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defaultThemeVersion="124226"/>
  <mc:AlternateContent xmlns:mc="http://schemas.openxmlformats.org/markup-compatibility/2006">
    <mc:Choice Requires="x15">
      <x15ac:absPath xmlns:x15ac="http://schemas.microsoft.com/office/spreadsheetml/2010/11/ac" url="O:\O_TO_S\PUD0783 - Pullman Disposal Services\General Rate Case\2019\Submittal\"/>
    </mc:Choice>
  </mc:AlternateContent>
  <bookViews>
    <workbookView xWindow="-28920" yWindow="1800" windowWidth="29040" windowHeight="15840" tabRatio="791" firstSheet="19" activeTab="26"/>
  </bookViews>
  <sheets>
    <sheet name="Fly Sheet" sheetId="41" r:id="rId1"/>
    <sheet name="LG Nonpublic 2018 V5.0c" sheetId="94" r:id="rId2"/>
    <sheet name="Operations" sheetId="71" r:id="rId3"/>
    <sheet name="Assumptions" sheetId="43" r:id="rId4"/>
    <sheet name="Sch 1 - Restated Exp" sheetId="18" r:id="rId5"/>
    <sheet name="Sch 1, pg 2 - Restated" sheetId="16" r:id="rId6"/>
    <sheet name="Sch 2 - Forecast Exp" sheetId="19" r:id="rId7"/>
    <sheet name="Sch 2, pg 2 - Forecast" sheetId="17" r:id="rId8"/>
    <sheet name="Sch 3 - Reclass Exp" sheetId="21" r:id="rId9"/>
    <sheet name="Sch 3, pg 2 - Reclass" sheetId="20" r:id="rId10"/>
    <sheet name="Sch 4 - 12 Months" sheetId="7" r:id="rId11"/>
    <sheet name="Work Papers" sheetId="42" r:id="rId12"/>
    <sheet name="WP-1 - Summary Depr" sheetId="63" r:id="rId13"/>
    <sheet name="WP-1, pg 2 - Depr" sheetId="64" r:id="rId14"/>
    <sheet name="WP-2 - Labor Analysis" sheetId="11" r:id="rId15"/>
    <sheet name="WP-2, pg 2 - Labor Increase" sheetId="28" r:id="rId16"/>
    <sheet name="WP-2, pg 3 - Benefits Analysis" sheetId="29" r:id="rId17"/>
    <sheet name="WP-4 - Dues &amp; Sub" sheetId="26" r:id="rId18"/>
    <sheet name="WP-5 - Capital Structure" sheetId="54" r:id="rId19"/>
    <sheet name="WP-5, pg 2 - Capital" sheetId="87" r:id="rId20"/>
    <sheet name="WP-6 - Affiliated " sheetId="66" r:id="rId21"/>
    <sheet name="WP-7 - Fuel" sheetId="49" r:id="rId22"/>
    <sheet name="WP-8 Bad Debts" sheetId="79" r:id="rId23"/>
    <sheet name="WP-9 Disposal" sheetId="77" r:id="rId24"/>
    <sheet name="WP-9, pg 2 - Disposal Recycling" sheetId="95" r:id="rId25"/>
    <sheet name="WP-10 Rate Case Cost" sheetId="86" r:id="rId26"/>
    <sheet name="IS-PBC" sheetId="4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#REF!</definedName>
    <definedName name="\c">'[1]10200'!$IU$8196</definedName>
    <definedName name="\E">'[2]#REF'!$AD$4</definedName>
    <definedName name="\R">'[2]#REF'!$AD$8</definedName>
    <definedName name="\y">'[1]10200'!$IU$8196</definedName>
    <definedName name="\z">#REF!</definedName>
    <definedName name="_123Graph_g" hidden="1">'[2]#REF'!$F$9:$F$83</definedName>
    <definedName name="_13054">'[3]10800-10899'!#REF!</definedName>
    <definedName name="_132" hidden="1">[1]XXXXXX!$B$10:$B$10</definedName>
    <definedName name="_132Graph_h" hidden="1">#REF!</definedName>
    <definedName name="_BUN1">'[4]2008 West Group IS'!$AJ$5</definedName>
    <definedName name="_BUN3">'[4]2008 Group Office IS'!$AJ$5</definedName>
    <definedName name="_Fill" hidden="1">#REF!</definedName>
    <definedName name="_Key1" hidden="1">#REF!</definedName>
    <definedName name="_Key2" hidden="1">'[2]#REF'!$D$12</definedName>
    <definedName name="_key5" hidden="1">[1]XXXXXX!$H$10</definedName>
    <definedName name="_max" hidden="1">#REF!</definedName>
    <definedName name="_Mon" hidden="1">#REF!</definedName>
    <definedName name="_Order1" hidden="1">255</definedName>
    <definedName name="_Order2" hidden="1">255</definedName>
    <definedName name="_Order3" hidden="1">0</definedName>
    <definedName name="_PER1">[4]WTB!$DC$8</definedName>
    <definedName name="_PER2">'[4]2008 West Group IS'!$AH$8</definedName>
    <definedName name="_PER3">'[4]2008 West Group IS'!$AI$5</definedName>
    <definedName name="_PER4">'[4]2008 Group Office IS'!$AH$8</definedName>
    <definedName name="_PER5">'[4]2008 Group Office IS'!$AI$5</definedName>
    <definedName name="_Regression_Int">0</definedName>
    <definedName name="_SFD1">'[4]2008 West Group IS'!$AK$5</definedName>
    <definedName name="_SFD3">'[4]2008 Group Office IS'!$AK$5</definedName>
    <definedName name="_SFV1">'[4]2008 West Group IS'!$AK$4</definedName>
    <definedName name="_SFV4">'[4]2008 Group Office IS'!$AK$4</definedName>
    <definedName name="_Sort" hidden="1">#REF!</definedName>
    <definedName name="_Sort1" hidden="1">'[2]#REF'!$A$10:$Z$281</definedName>
    <definedName name="_sort3" hidden="1">[1]XXXXXX!$G$10:$J$11</definedName>
    <definedName name="a">#REF!</definedName>
    <definedName name="aaaaaaa">rank</definedName>
    <definedName name="AD">'[1]ACC DEP 12XXX'!$A$4:$L$22</definedName>
    <definedName name="adfd">rank</definedName>
    <definedName name="ADK">'[1]10250_Recy Chkg'!$D$27</definedName>
    <definedName name="AOK">#REF!</definedName>
    <definedName name="APA">'[5]Income Statement (WMofWA)'!#REF!</definedName>
    <definedName name="APN">'[5]Income Statement (WMofWA)'!#REF!</definedName>
    <definedName name="ASD">'[5]Income Statement (WMofWA)'!#REF!</definedName>
    <definedName name="AST">'[5]Income Statement (WMofWA)'!#REF!</definedName>
    <definedName name="BEGCELL">#REF!</definedName>
    <definedName name="begin">#REF!</definedName>
    <definedName name="BREMAIR_COST_of_SERVICE_STUDY">#REF!</definedName>
    <definedName name="BUN">[4]WTB!$DD$5</definedName>
    <definedName name="BUV">'[5]Income Statement (WMofWA)'!#REF!</definedName>
    <definedName name="Calc">[4]WTB!#REF!</definedName>
    <definedName name="Calc0">[4]WTB!#REF!</definedName>
    <definedName name="Calc1">[4]WTB!#REF!</definedName>
    <definedName name="Calc10">[4]WTB!#REF!</definedName>
    <definedName name="Calc11">[4]WTB!#REF!</definedName>
    <definedName name="Calc12">[4]WTB!#REF!</definedName>
    <definedName name="Calc13">[4]WTB!#REF!</definedName>
    <definedName name="Calc14">[4]WTB!#REF!</definedName>
    <definedName name="Calc15">[4]WTB!#REF!</definedName>
    <definedName name="Calc16">[4]WTB!#REF!</definedName>
    <definedName name="Calc17">[4]WTB!#REF!</definedName>
    <definedName name="Calc18">[4]WTB!#REF!</definedName>
    <definedName name="Calc2">[4]WTB!#REF!</definedName>
    <definedName name="Calc3">[4]WTB!#REF!</definedName>
    <definedName name="Calc4">[4]WTB!#REF!</definedName>
    <definedName name="Calc5">[4]WTB!#REF!</definedName>
    <definedName name="Calc6">[4]WTB!#REF!</definedName>
    <definedName name="Calc7">[4]WTB!#REF!</definedName>
    <definedName name="Calc8">[4]WTB!#REF!</definedName>
    <definedName name="Calc9">[4]WTB!#REF!</definedName>
    <definedName name="clear">#REF!</definedName>
    <definedName name="CUR">'[6]O-9'!#REF!</definedName>
    <definedName name="CURRENCY">'[4]Balance Sheet'!$AD$8</definedName>
    <definedName name="CWR">'[1]SALES TAX RETURN_20140'!$A$1:$E$49</definedName>
    <definedName name="CWRS">#REF!</definedName>
    <definedName name="CYear">'[6]O-9'!#REF!</definedName>
    <definedName name="dasd">rank</definedName>
    <definedName name="_xlnm.Database">#REF!</definedName>
    <definedName name="Database_MI">#REF!</definedName>
    <definedName name="DAY">'[5]Income Statement (WMofWA)'!#REF!</definedName>
    <definedName name="DEBITS">'[1]ASSETS 11XXX'!$A$1:$L$19</definedName>
    <definedName name="Debt_Rate" localSheetId="1">'LG Nonpublic 2018 V5.0c'!$K$27</definedName>
    <definedName name="debtP" localSheetId="1">'LG Nonpublic 2018 V5.0c'!$I$27</definedName>
    <definedName name="deletion">#REF!</definedName>
    <definedName name="Detail">#REF!</definedName>
    <definedName name="End">'[7]IS-Murrey''s'!#REF!</definedName>
    <definedName name="EndTime">'[6]O-9'!#REF!</definedName>
    <definedName name="Equity_percent" localSheetId="1">'LG Nonpublic 2018 V5.0c'!$S$58</definedName>
    <definedName name="equityP" localSheetId="1">'LG Nonpublic 2018 V5.0c'!$I$26</definedName>
    <definedName name="expenses" localSheetId="1">'LG Nonpublic 2018 V5.0c'!$I$8</definedName>
    <definedName name="expenses">#REF!</definedName>
    <definedName name="Financial">[4]WTB!#REF!</definedName>
    <definedName name="FirstColCriteria">[4]WTB!#REF!</definedName>
    <definedName name="FirstHeaderCriteria">[4]WTB!#REF!</definedName>
    <definedName name="flag">[4]WTB!#REF!</definedName>
    <definedName name="Format_Column">#REF!</definedName>
    <definedName name="formata">#REF!</definedName>
    <definedName name="formatb">#REF!</definedName>
    <definedName name="FY">'[5]Income Statement (WMofWA)'!#REF!</definedName>
    <definedName name="Heading1">'[5]Income Statement (WMofWA)'!#REF!</definedName>
    <definedName name="IDN">'[5]Income Statement (WMofWA)'!#REF!</definedName>
    <definedName name="IFN">'[5]Income Statement (WMofWA)'!#REF!</definedName>
    <definedName name="income_statement">'Sch 4 - 12 Months'!$B$10:$O$98</definedName>
    <definedName name="INPUT" localSheetId="1">'LG Nonpublic 2018 V5.0c'!#REF!</definedName>
    <definedName name="INPUT">#REF!</definedName>
    <definedName name="INPUTc" localSheetId="1">#REF!</definedName>
    <definedName name="INPUTc">#REF!</definedName>
    <definedName name="InsertColRange">[4]WTB!#REF!</definedName>
    <definedName name="Investment" localSheetId="1">'LG Nonpublic 2018 V5.0c'!$J$28</definedName>
    <definedName name="LAST_ROW">'[8]Income Statement (Tonnage)'!#REF!</definedName>
    <definedName name="Lurito">#REF!</definedName>
    <definedName name="LYN">'[5]Income Statement (WMofWA)'!#REF!</definedName>
    <definedName name="master_def">'[7]IS-Murrey''s'!#REF!</definedName>
    <definedName name="MATRIX">#REF!</definedName>
    <definedName name="MthValue">'[6]O-9'!#REF!</definedName>
    <definedName name="New">#REF!</definedName>
    <definedName name="NewOnlyOrg">#REF!</definedName>
    <definedName name="NOTES">#REF!</definedName>
    <definedName name="NvsASD">"V2008-12-31"</definedName>
    <definedName name="NvsAutoDrillOk">"VN"</definedName>
    <definedName name="NvsElapsedTime">0.000729166669771075</definedName>
    <definedName name="NvsEndTime">39896.5868402778</definedName>
    <definedName name="NvsEndTime2">39823.1371643519</definedName>
    <definedName name="NvsEndTime3">39918.4137268519</definedName>
    <definedName name="NvsEndTime4">39825.0263078704</definedName>
    <definedName name="NvsEndTime5">39822.9425347222</definedName>
    <definedName name="NvsInstanceHook">rank</definedName>
    <definedName name="NvsInstanceHook1">rank</definedName>
    <definedName name="NvsInstLang">"VENG"</definedName>
    <definedName name="NvsInstSpec">"%,FBUSINESS_UNIT,V01815"</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"V01815"</definedName>
    <definedName name="NvsReqBUOnly">"VY"</definedName>
    <definedName name="NvsTransLed">"VN"</definedName>
    <definedName name="NvsTreeASD">"V2008-12-31"</definedName>
    <definedName name="NvsValTbl.ACCOUNT">"GL_ACCOUNT_TBL"</definedName>
    <definedName name="NvsValTbl.ACCOUNT_SUM">"ZGL_SACCT_VW"</definedName>
    <definedName name="NvsValTbl.ASSET_CLASS">"ASSET_CLASS_TBL"</definedName>
    <definedName name="NvsValTbl.BUSINESS_UNIT">"BUS_UNIT_TBL_GL"</definedName>
    <definedName name="NvsValTbl.CURRENCY_CD">"CURRENCY_CD_TBL"</definedName>
    <definedName name="NvsValTbl.DEPTID">"DEPT_TBL"</definedName>
    <definedName name="NvsValTbl.OPERATING_UNIT">"OPER_UNIT_TBL"</definedName>
    <definedName name="NvsValTbl.PRODUCT">"PRODUCT_TBL"</definedName>
    <definedName name="OfficerSalary">#REF!</definedName>
    <definedName name="Operations">'[5]Income Statement (WMofWA)'!#REF!</definedName>
    <definedName name="OPR">'[5]Income Statement (WMofWA)'!#REF!</definedName>
    <definedName name="Org11_13">#REF!</definedName>
    <definedName name="Org7_10">#REF!</definedName>
    <definedName name="ORIG2GALWT_">#REF!</definedName>
    <definedName name="ORIG2OH">#REF!</definedName>
    <definedName name="PAGE_1">'WP-1, pg 2 - Depr'!$B$1:$Z$78</definedName>
    <definedName name="PED">'[5]Income Statement (WMofWA)'!#REF!</definedName>
    <definedName name="PER">[4]WTB!$DC$5</definedName>
    <definedName name="Pfd_weighted" localSheetId="1">'LG Nonpublic 2018 V5.0c'!$U$57</definedName>
    <definedName name="_xlnm.Print_Area" localSheetId="3">Assumptions!$A$1:$I$9</definedName>
    <definedName name="_xlnm.Print_Area" localSheetId="26">'IS-PBC'!$A$1:$R$137</definedName>
    <definedName name="_xlnm.Print_Area" localSheetId="1">'LG Nonpublic 2018 V5.0c'!$F$2:$N$49</definedName>
    <definedName name="_xlnm.Print_Area" localSheetId="2">Operations!$A$1:$J$116</definedName>
    <definedName name="_xlnm.Print_Area" localSheetId="4">'Sch 1 - Restated Exp'!$A$1:$I$51</definedName>
    <definedName name="_xlnm.Print_Area" localSheetId="5">'Sch 1, pg 2 - Restated'!$A$1:$T$95</definedName>
    <definedName name="_xlnm.Print_Area" localSheetId="6">'Sch 2 - Forecast Exp'!$A$1:$I$29</definedName>
    <definedName name="_xlnm.Print_Area" localSheetId="7">'Sch 2, pg 2 - Forecast'!$A$1:$L$97</definedName>
    <definedName name="_xlnm.Print_Area" localSheetId="8">'Sch 3 - Reclass Exp'!$A$1:$I$14</definedName>
    <definedName name="_xlnm.Print_Area" localSheetId="9">'Sch 3, pg 2 - Reclass'!$A$1:$L$94</definedName>
    <definedName name="_xlnm.Print_Area" localSheetId="10">'Sch 4 - 12 Months'!$B$1:$V$107</definedName>
    <definedName name="_xlnm.Print_Area" localSheetId="12">'WP-1 - Summary Depr'!$A$1:$R$27</definedName>
    <definedName name="_xlnm.Print_Area" localSheetId="13">'WP-1, pg 2 - Depr'!$B$1:$AF$284</definedName>
    <definedName name="_xlnm.Print_Area" localSheetId="25">'WP-10 Rate Case Cost'!$A$1:$F$22</definedName>
    <definedName name="_xlnm.Print_Area" localSheetId="14">'WP-2 - Labor Analysis'!$A$1:$AA$64</definedName>
    <definedName name="_xlnm.Print_Area" localSheetId="15">'WP-2, pg 2 - Labor Increase'!$A$1:$AM$82</definedName>
    <definedName name="_xlnm.Print_Area" localSheetId="16">'WP-2, pg 3 - Benefits Analysis'!$A$1:$T$77</definedName>
    <definedName name="_xlnm.Print_Area" localSheetId="17">'WP-4 - Dues &amp; Sub'!$A$1:$L$31</definedName>
    <definedName name="_xlnm.Print_Area" localSheetId="18">'WP-5 - Capital Structure'!$A$1:$H$19</definedName>
    <definedName name="_xlnm.Print_Area" localSheetId="19">'WP-5, pg 2 - Capital'!$A$1:$F$24</definedName>
    <definedName name="_xlnm.Print_Area" localSheetId="20">'WP-6 - Affiliated '!$A$1:$H$10</definedName>
    <definedName name="_xlnm.Print_Area" localSheetId="21">'WP-7 - Fuel'!$A$1:$I$42</definedName>
    <definedName name="_xlnm.Print_Area" localSheetId="22">'WP-8 Bad Debts'!$A$1:$H$29</definedName>
    <definedName name="_xlnm.Print_Area" localSheetId="23">'WP-9 Disposal'!$A$1:$T$60</definedName>
    <definedName name="_xlnm.Print_Area" localSheetId="24">'WP-9, pg 2 - Disposal Recycling'!$A$1:$L$31</definedName>
    <definedName name="_xlnm.Print_Area">#REF!</definedName>
    <definedName name="Print_Area_MI" localSheetId="1">#REF!</definedName>
    <definedName name="Print_Area_MI">#REF!</definedName>
    <definedName name="Print_Area_MIc" localSheetId="1">#REF!</definedName>
    <definedName name="Print_Area_MIc">#REF!</definedName>
    <definedName name="_xlnm.Print_Titles" localSheetId="5">'Sch 1, pg 2 - Restated'!$1:$11</definedName>
    <definedName name="_xlnm.Print_Titles" localSheetId="7">'Sch 2, pg 2 - Forecast'!$1:$11</definedName>
    <definedName name="_xlnm.Print_Titles" localSheetId="9">'Sch 3, pg 2 - Reclass'!$1:$11</definedName>
    <definedName name="_xlnm.Print_Titles" localSheetId="10">'Sch 4 - 12 Months'!$1:$10</definedName>
    <definedName name="_xlnm.Print_Titles" localSheetId="13">'WP-1, pg 2 - Depr'!$1:$14</definedName>
    <definedName name="_xlnm.Print_Titles" localSheetId="15">'WP-2, pg 2 - Labor Increase'!$A:$A,'WP-2, pg 2 - Labor Increase'!$1:$5</definedName>
    <definedName name="Print_Titles_MI">#REF!</definedName>
    <definedName name="Print1">#REF!</definedName>
    <definedName name="Print2">#REF!</definedName>
    <definedName name="Prnit_Range">#REF!</definedName>
    <definedName name="PYear">'[6]O-9'!#REF!</definedName>
    <definedName name="QtrValue">#REF!</definedName>
    <definedName name="Quarter_Budget">#REF!</definedName>
    <definedName name="Quarter_Month">#REF!</definedName>
    <definedName name="RBU">'[5]Income Statement (WMofWA)'!#REF!</definedName>
    <definedName name="RCW_81.04.080">#REF!</definedName>
    <definedName name="RECAP">#REF!</definedName>
    <definedName name="RECAP2">#REF!</definedName>
    <definedName name="_xlnm.Recorder">#REF!</definedName>
    <definedName name="RecyDisposal">#REF!</definedName>
    <definedName name="regDebt_weighted" localSheetId="1">'LG Nonpublic 2018 V5.0c'!$U$56</definedName>
    <definedName name="RelatedSalary">#REF!</definedName>
    <definedName name="RevCust">'[9]Schedule 6'!#REF!</definedName>
    <definedName name="Revenue" localSheetId="1">'LG Nonpublic 2018 V5.0c'!$I$7</definedName>
    <definedName name="Revenue">#REF!</definedName>
    <definedName name="RID">'[5]Income Statement (WMofWA)'!#REF!</definedName>
    <definedName name="ROCE">#REF!,#REF!</definedName>
    <definedName name="ROW_SUPRESS">'[5]Income Statement (WMofWA)'!#REF!</definedName>
    <definedName name="RTT">'[5]Income Statement (WMofWA)'!#REF!</definedName>
    <definedName name="sale">#REF!</definedName>
    <definedName name="SALES_TAX_RETURN">#REF!</definedName>
    <definedName name="SCN">'[5]Income Statement (WMofWA)'!#REF!</definedName>
    <definedName name="SFD">[4]WTB!$DE$5</definedName>
    <definedName name="SFD_BU">'[5]Income Statement (WMofWA)'!#REF!</definedName>
    <definedName name="SFD_DEPTID">'[5]Income Statement (WMofWA)'!#REF!</definedName>
    <definedName name="SFD_OP">'[5]Income Statement (WMofWA)'!#REF!</definedName>
    <definedName name="SFD_PROD">'[5]Income Statement (WMofWA)'!#REF!</definedName>
    <definedName name="SFD_PROJ">'[5]Income Statement (WMofWA)'!#REF!</definedName>
    <definedName name="sfdbusunit">#REF!</definedName>
    <definedName name="SFV">[4]WTB!$DE$4</definedName>
    <definedName name="SFV_BU">'[5]Income Statement (WMofWA)'!#REF!</definedName>
    <definedName name="SFV_CUR">#REF!</definedName>
    <definedName name="SFV_CUR1">'[4]2008 West Group IS'!$AM$9</definedName>
    <definedName name="SFV_CUR5">'[4]2008 Group Office IS'!$AM$9</definedName>
    <definedName name="SFV_DEPTID">'[5]Income Statement (WMofWA)'!#REF!</definedName>
    <definedName name="SFV_OP">'[5]Income Statement (WMofWA)'!#REF!</definedName>
    <definedName name="SFV_PROD">'[5]Income Statement (WMofWA)'!#REF!</definedName>
    <definedName name="SFV_PROJ">'[5]Income Statement (WMofWA)'!#REF!</definedName>
    <definedName name="slope" localSheetId="1">'LG Nonpublic 2018 V5.0c'!$Y$58</definedName>
    <definedName name="slope">#REF!</definedName>
    <definedName name="sort">#REF!</definedName>
    <definedName name="Sort1">#REF!</definedName>
    <definedName name="sortcol">'[7]IS-Murrey''s'!#REF!</definedName>
    <definedName name="start">#REF!</definedName>
    <definedName name="Stop">'[6]O-9'!#REF!</definedName>
    <definedName name="SUMMARY">#REF!</definedName>
    <definedName name="Summary_DistrictName">[10]Summary!$B$7</definedName>
    <definedName name="Summary_DistrictNo">[10]Summary!$B$5</definedName>
    <definedName name="SWDisposal">#REF!</definedName>
    <definedName name="taxrate" localSheetId="1">'LG Nonpublic 2018 V5.0c'!$J$38</definedName>
    <definedName name="test">'[11]Sch 4 - 12months'!$B$10:$O$86</definedName>
    <definedName name="Title2">'[6]O-9'!#REF!</definedName>
    <definedName name="TOP">'[3]10800-10899'!#REF!</definedName>
    <definedName name="Total_Interest">'[12]Amortization Table'!$F$18</definedName>
    <definedName name="Variables">'[5]Income Statement (WMofWA)'!#REF!</definedName>
    <definedName name="Waste_Management__Inc.">#REF!</definedName>
    <definedName name="WM">#REF!</definedName>
    <definedName name="x">rank</definedName>
    <definedName name="xx">rank</definedName>
    <definedName name="xxx">rank</definedName>
    <definedName name="y_inter1" localSheetId="1">'LG Nonpublic 2018 V5.0c'!$X$55</definedName>
    <definedName name="y_inter1">#REF!</definedName>
    <definedName name="y_inter2" localSheetId="1">'LG Nonpublic 2018 V5.0c'!$X$56</definedName>
    <definedName name="y_inter2">#REF!</definedName>
    <definedName name="y_inter3" localSheetId="1">'LG Nonpublic 2018 V5.0c'!$Z$55</definedName>
    <definedName name="y_inter3">#REF!</definedName>
    <definedName name="y_inter4" localSheetId="1">'LG Nonpublic 2018 V5.0c'!$Z$56</definedName>
    <definedName name="y_inter4">#REF!</definedName>
    <definedName name="YEAR4">#REF!</definedName>
    <definedName name="yrCur">'[13]Report Template'!$B$2002</definedName>
    <definedName name="yrNext">'[13]Report Template'!$B$2003</definedName>
    <definedName name="YWMedWasteDisp">#REF!</definedName>
    <definedName name="Zero_Format">#REF!</definedName>
  </definedNames>
  <calcPr calcId="162913" iterate="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 i="28" l="1"/>
  <c r="R58" i="16" l="1"/>
  <c r="F17" i="54" l="1"/>
  <c r="K26" i="26"/>
  <c r="U58" i="28" l="1"/>
  <c r="S58" i="28"/>
  <c r="U57" i="28"/>
  <c r="S57" i="28"/>
  <c r="U49" i="28"/>
  <c r="U50" i="28"/>
  <c r="U51" i="28"/>
  <c r="S51" i="28"/>
  <c r="S50" i="28"/>
  <c r="S49" i="28"/>
  <c r="U35" i="28" l="1"/>
  <c r="S35" i="28"/>
  <c r="U34" i="28"/>
  <c r="S34" i="28"/>
  <c r="U33" i="28"/>
  <c r="U32" i="28"/>
  <c r="S33" i="28"/>
  <c r="S32" i="28"/>
  <c r="U55" i="28"/>
  <c r="U45" i="28"/>
  <c r="U46" i="28"/>
  <c r="U47" i="28"/>
  <c r="U48" i="28"/>
  <c r="U44" i="28"/>
  <c r="U39" i="28"/>
  <c r="U40" i="28"/>
  <c r="U38" i="28"/>
  <c r="S55" i="28"/>
  <c r="S45" i="28"/>
  <c r="S46" i="28"/>
  <c r="S47" i="28"/>
  <c r="S48" i="28"/>
  <c r="S44" i="28"/>
  <c r="S40" i="28"/>
  <c r="S39" i="28"/>
  <c r="S38" i="28"/>
  <c r="U30" i="28"/>
  <c r="U27" i="28"/>
  <c r="U25" i="28"/>
  <c r="U24" i="28"/>
  <c r="U23" i="28"/>
  <c r="U22" i="28"/>
  <c r="U20" i="28"/>
  <c r="S30" i="28"/>
  <c r="S27" i="28"/>
  <c r="S25" i="28"/>
  <c r="S24" i="28"/>
  <c r="S23" i="28"/>
  <c r="S22" i="28"/>
  <c r="S20" i="28"/>
  <c r="U14" i="28"/>
  <c r="S14" i="28"/>
  <c r="AF58" i="28"/>
  <c r="AF57" i="28"/>
  <c r="AF51" i="28"/>
  <c r="AF50" i="28"/>
  <c r="AF49" i="28"/>
  <c r="AF35" i="28"/>
  <c r="AF33" i="28"/>
  <c r="AF32" i="28"/>
  <c r="AB11" i="28" l="1"/>
  <c r="A5" i="26" l="1"/>
  <c r="A1" i="26"/>
  <c r="J94" i="20" l="1"/>
  <c r="Q59" i="29" l="1"/>
  <c r="S59" i="29"/>
  <c r="P59" i="29"/>
  <c r="R57" i="29"/>
  <c r="R58" i="29"/>
  <c r="R50" i="29"/>
  <c r="R49" i="29"/>
  <c r="Q36" i="29"/>
  <c r="S36" i="29"/>
  <c r="P36" i="29"/>
  <c r="R32" i="29"/>
  <c r="R33" i="29"/>
  <c r="R34" i="29"/>
  <c r="R35" i="29"/>
  <c r="AH57" i="28" l="1"/>
  <c r="AH58" i="28"/>
  <c r="AH49" i="28"/>
  <c r="AH50" i="28"/>
  <c r="AH32" i="28"/>
  <c r="AH33" i="28"/>
  <c r="AH34" i="28"/>
  <c r="AH35" i="28"/>
  <c r="AG32" i="28"/>
  <c r="AG33" i="28"/>
  <c r="AG34" i="28"/>
  <c r="AG35" i="28"/>
  <c r="AF34" i="28"/>
  <c r="L66" i="64" l="1"/>
  <c r="AE64" i="64"/>
  <c r="AD64" i="64"/>
  <c r="AB64" i="64"/>
  <c r="N64" i="64"/>
  <c r="O64" i="64" s="1"/>
  <c r="C287" i="64" s="1"/>
  <c r="C289" i="64" s="1"/>
  <c r="D64" i="64"/>
  <c r="AA64" i="64" s="1"/>
  <c r="I64" i="64" l="1"/>
  <c r="AC64" i="64" s="1"/>
  <c r="V49" i="28"/>
  <c r="V50" i="28"/>
  <c r="V51" i="28"/>
  <c r="V57" i="28"/>
  <c r="V58" i="28"/>
  <c r="V32" i="28"/>
  <c r="V33" i="28"/>
  <c r="V34" i="28"/>
  <c r="V35" i="28"/>
  <c r="S52" i="29"/>
  <c r="P52" i="29"/>
  <c r="N52" i="29"/>
  <c r="Q51" i="29"/>
  <c r="R51" i="29" s="1"/>
  <c r="AH51" i="28" s="1"/>
  <c r="O51" i="29"/>
  <c r="K52" i="29"/>
  <c r="J52" i="29"/>
  <c r="I52" i="29"/>
  <c r="H52" i="29"/>
  <c r="G52" i="29"/>
  <c r="X35" i="28" l="1"/>
  <c r="W35" i="28"/>
  <c r="Z35" i="28" s="1"/>
  <c r="W58" i="28"/>
  <c r="Z58" i="28" s="1"/>
  <c r="X58" i="28"/>
  <c r="X49" i="28"/>
  <c r="W49" i="28"/>
  <c r="X33" i="28"/>
  <c r="W33" i="28"/>
  <c r="W51" i="28"/>
  <c r="X51" i="28"/>
  <c r="X32" i="28"/>
  <c r="Z32" i="28" s="1"/>
  <c r="W32" i="28"/>
  <c r="X50" i="28"/>
  <c r="W50" i="28"/>
  <c r="Z50" i="28" s="1"/>
  <c r="X34" i="28"/>
  <c r="W34" i="28"/>
  <c r="X57" i="28"/>
  <c r="W57" i="28"/>
  <c r="Z57" i="28" s="1"/>
  <c r="L33" i="20"/>
  <c r="L34" i="20"/>
  <c r="L35" i="20"/>
  <c r="L36" i="20"/>
  <c r="L37" i="20"/>
  <c r="L38" i="20"/>
  <c r="L39" i="20"/>
  <c r="L40" i="20"/>
  <c r="L41" i="20"/>
  <c r="L42" i="20"/>
  <c r="L43" i="20"/>
  <c r="L44" i="20"/>
  <c r="L45" i="20"/>
  <c r="L46" i="20"/>
  <c r="L47" i="20"/>
  <c r="L50" i="20"/>
  <c r="L51" i="20"/>
  <c r="L52" i="20"/>
  <c r="L54" i="20"/>
  <c r="L55" i="20"/>
  <c r="L56" i="20"/>
  <c r="L57" i="20"/>
  <c r="L59" i="20"/>
  <c r="L60" i="20"/>
  <c r="L61" i="20"/>
  <c r="L62" i="20"/>
  <c r="L63" i="20"/>
  <c r="L64" i="20"/>
  <c r="L65" i="20"/>
  <c r="L66" i="20"/>
  <c r="L67" i="20"/>
  <c r="L68" i="20"/>
  <c r="L69" i="20"/>
  <c r="L70" i="20"/>
  <c r="L71" i="20"/>
  <c r="L72" i="20"/>
  <c r="L73" i="20"/>
  <c r="L74" i="20"/>
  <c r="L75" i="20"/>
  <c r="L76" i="20"/>
  <c r="L77" i="20"/>
  <c r="L78" i="20"/>
  <c r="L79" i="20"/>
  <c r="L80" i="20"/>
  <c r="L81" i="20"/>
  <c r="L82" i="20"/>
  <c r="L83" i="20"/>
  <c r="L84" i="20"/>
  <c r="L85" i="20"/>
  <c r="L86" i="20"/>
  <c r="L87" i="20"/>
  <c r="L88" i="20"/>
  <c r="L89" i="20"/>
  <c r="L90" i="20"/>
  <c r="L91" i="20"/>
  <c r="L14" i="20"/>
  <c r="L15" i="20"/>
  <c r="L16" i="20"/>
  <c r="L17" i="20"/>
  <c r="L13" i="20"/>
  <c r="F19" i="20"/>
  <c r="F22" i="20" s="1"/>
  <c r="H19" i="20"/>
  <c r="H22" i="20" s="1"/>
  <c r="L22" i="20" s="1"/>
  <c r="F20" i="20"/>
  <c r="H20" i="20"/>
  <c r="H23" i="20" s="1"/>
  <c r="L20" i="17"/>
  <c r="L21" i="17"/>
  <c r="L22" i="17"/>
  <c r="T19" i="16"/>
  <c r="T20" i="16"/>
  <c r="T21" i="16"/>
  <c r="E20" i="71" s="1"/>
  <c r="T22" i="16"/>
  <c r="T23" i="16"/>
  <c r="AD58" i="28" l="1"/>
  <c r="AA58" i="28"/>
  <c r="AE57" i="28"/>
  <c r="AC57" i="28"/>
  <c r="Z49" i="28"/>
  <c r="Z34" i="28"/>
  <c r="Z33" i="28"/>
  <c r="AE32" i="28"/>
  <c r="AB32" i="28"/>
  <c r="AA32" i="28"/>
  <c r="AC32" i="28"/>
  <c r="AA50" i="28"/>
  <c r="AB50" i="28"/>
  <c r="AE50" i="28"/>
  <c r="AD50" i="28"/>
  <c r="AI50" i="28" s="1"/>
  <c r="AC50" i="28"/>
  <c r="AC49" i="28"/>
  <c r="AE49" i="28"/>
  <c r="AB49" i="28"/>
  <c r="AA49" i="28"/>
  <c r="AD35" i="28"/>
  <c r="AB35" i="28"/>
  <c r="AE35" i="28"/>
  <c r="AC35" i="28"/>
  <c r="AA35" i="28"/>
  <c r="AE34" i="28"/>
  <c r="AC34" i="28"/>
  <c r="AA34" i="28"/>
  <c r="AB34" i="28"/>
  <c r="AE33" i="28"/>
  <c r="AD33" i="28"/>
  <c r="AA33" i="28"/>
  <c r="AC33" i="28"/>
  <c r="AB33" i="28"/>
  <c r="AA57" i="28"/>
  <c r="AB58" i="28"/>
  <c r="AB57" i="28"/>
  <c r="AC58" i="28"/>
  <c r="AD57" i="28"/>
  <c r="AI57" i="28" s="1"/>
  <c r="AE58" i="28"/>
  <c r="L20" i="20"/>
  <c r="L19" i="20"/>
  <c r="F23" i="20"/>
  <c r="L23" i="20" s="1"/>
  <c r="AI49" i="28"/>
  <c r="Z51" i="28"/>
  <c r="P13" i="29"/>
  <c r="AI58" i="28" l="1"/>
  <c r="AI33" i="28"/>
  <c r="AA51" i="28"/>
  <c r="AB51" i="28"/>
  <c r="AC51" i="28"/>
  <c r="AE51" i="28"/>
  <c r="AD51" i="28"/>
  <c r="AG55" i="28"/>
  <c r="AG56" i="28"/>
  <c r="AG54" i="28"/>
  <c r="AG39" i="28"/>
  <c r="AG40" i="28"/>
  <c r="AG41" i="28"/>
  <c r="AG42" i="28"/>
  <c r="AG43" i="28"/>
  <c r="AG44" i="28"/>
  <c r="AG45" i="28"/>
  <c r="AG46" i="28"/>
  <c r="AG47" i="28"/>
  <c r="AG48" i="28"/>
  <c r="AG38" i="28"/>
  <c r="AG19" i="28"/>
  <c r="AG20" i="28"/>
  <c r="AG21" i="28"/>
  <c r="AG22" i="28"/>
  <c r="AG23" i="28"/>
  <c r="AG24" i="28"/>
  <c r="AG25" i="28"/>
  <c r="AG26" i="28"/>
  <c r="AG27" i="28"/>
  <c r="AG28" i="28"/>
  <c r="AG29" i="28"/>
  <c r="AG30" i="28"/>
  <c r="AG31" i="28"/>
  <c r="AG12" i="28"/>
  <c r="AG13" i="28"/>
  <c r="AG14" i="28"/>
  <c r="P14" i="29"/>
  <c r="Q47" i="29"/>
  <c r="R47" i="29" s="1"/>
  <c r="AH47" i="28" s="1"/>
  <c r="R55" i="29"/>
  <c r="AH55" i="28" s="1"/>
  <c r="R56" i="29"/>
  <c r="AH56" i="28" s="1"/>
  <c r="R39" i="29"/>
  <c r="R40" i="29"/>
  <c r="AH40" i="28" s="1"/>
  <c r="R41" i="29"/>
  <c r="AH41" i="28" s="1"/>
  <c r="R42" i="29"/>
  <c r="R43" i="29"/>
  <c r="AH43" i="28" s="1"/>
  <c r="R45" i="29"/>
  <c r="AH45" i="28" s="1"/>
  <c r="R46" i="29"/>
  <c r="AH46" i="28" s="1"/>
  <c r="R48" i="29"/>
  <c r="AH48" i="28" s="1"/>
  <c r="R19" i="29"/>
  <c r="AH19" i="28" s="1"/>
  <c r="R20" i="29"/>
  <c r="AH20" i="28" s="1"/>
  <c r="R21" i="29"/>
  <c r="AH21" i="28" s="1"/>
  <c r="R22" i="29"/>
  <c r="AH22" i="28" s="1"/>
  <c r="R23" i="29"/>
  <c r="AH23" i="28" s="1"/>
  <c r="R24" i="29"/>
  <c r="AH24" i="28" s="1"/>
  <c r="R25" i="29"/>
  <c r="AH25" i="28" s="1"/>
  <c r="R26" i="29"/>
  <c r="AH26" i="28" s="1"/>
  <c r="R27" i="29"/>
  <c r="AH27" i="28" s="1"/>
  <c r="R28" i="29"/>
  <c r="AH28" i="28" s="1"/>
  <c r="R29" i="29"/>
  <c r="AH29" i="28" s="1"/>
  <c r="R30" i="29"/>
  <c r="AH30" i="28" s="1"/>
  <c r="R31" i="29"/>
  <c r="AH31" i="28" s="1"/>
  <c r="R13" i="29"/>
  <c r="AH12" i="28" s="1"/>
  <c r="R15" i="29"/>
  <c r="AH14" i="28" s="1"/>
  <c r="Q44" i="29"/>
  <c r="R44" i="29" s="1"/>
  <c r="AH44" i="28" s="1"/>
  <c r="Q14" i="29"/>
  <c r="Q52" i="29" l="1"/>
  <c r="R14" i="29"/>
  <c r="AH13" i="28" s="1"/>
  <c r="AI51" i="28"/>
  <c r="AH39" i="28"/>
  <c r="AI35" i="28"/>
  <c r="AG52" i="28"/>
  <c r="AG59" i="28"/>
  <c r="C33" i="77"/>
  <c r="M18" i="77"/>
  <c r="L18" i="77"/>
  <c r="K18" i="77"/>
  <c r="J18" i="77"/>
  <c r="I18" i="77"/>
  <c r="H18" i="77"/>
  <c r="G18" i="77"/>
  <c r="F18" i="77"/>
  <c r="E18" i="77"/>
  <c r="D18" i="77"/>
  <c r="C18" i="77"/>
  <c r="B18" i="77"/>
  <c r="O14" i="77"/>
  <c r="H18" i="20"/>
  <c r="J53" i="20" l="1"/>
  <c r="J49" i="20"/>
  <c r="H21" i="20"/>
  <c r="H24" i="20" s="1"/>
  <c r="O20" i="77"/>
  <c r="C43" i="77"/>
  <c r="O18" i="77"/>
  <c r="L49" i="20" l="1"/>
  <c r="D53" i="71"/>
  <c r="L53" i="20"/>
  <c r="D57" i="71"/>
  <c r="G28" i="95"/>
  <c r="J10" i="95"/>
  <c r="K10" i="95" s="1"/>
  <c r="J11" i="95"/>
  <c r="K11" i="95" s="1"/>
  <c r="J12" i="95"/>
  <c r="K12" i="95" s="1"/>
  <c r="J13" i="95"/>
  <c r="K13" i="95" s="1"/>
  <c r="J14" i="95"/>
  <c r="K14" i="95" s="1"/>
  <c r="J15" i="95"/>
  <c r="K15" i="95" s="1"/>
  <c r="J16" i="95"/>
  <c r="K16" i="95" s="1"/>
  <c r="J17" i="95"/>
  <c r="K17" i="95" s="1"/>
  <c r="J18" i="95"/>
  <c r="K18" i="95" s="1"/>
  <c r="J19" i="95"/>
  <c r="K19" i="95" s="1"/>
  <c r="J20" i="95"/>
  <c r="K20" i="95" s="1"/>
  <c r="J9" i="95"/>
  <c r="K9" i="95" s="1"/>
  <c r="G21" i="95"/>
  <c r="E20" i="95"/>
  <c r="F20" i="95" s="1"/>
  <c r="E19" i="95"/>
  <c r="F19" i="95" s="1"/>
  <c r="E18" i="95"/>
  <c r="F18" i="95" s="1"/>
  <c r="E17" i="95"/>
  <c r="F17" i="95" s="1"/>
  <c r="E16" i="95"/>
  <c r="F16" i="95" s="1"/>
  <c r="K21" i="95" l="1"/>
  <c r="E15" i="95"/>
  <c r="F15" i="95" s="1"/>
  <c r="E14" i="95"/>
  <c r="F14" i="95" s="1"/>
  <c r="E13" i="95"/>
  <c r="F13" i="95" s="1"/>
  <c r="E12" i="95"/>
  <c r="F12" i="95" s="1"/>
  <c r="E11" i="95"/>
  <c r="F11" i="95" s="1"/>
  <c r="E10" i="95"/>
  <c r="F10" i="95" s="1"/>
  <c r="E9" i="95"/>
  <c r="F9" i="95" s="1"/>
  <c r="C42" i="18" l="1"/>
  <c r="C31" i="18"/>
  <c r="C33" i="18" s="1"/>
  <c r="E31" i="49" l="1"/>
  <c r="C31" i="49"/>
  <c r="G31" i="49" l="1"/>
  <c r="S43" i="28"/>
  <c r="V56" i="28"/>
  <c r="X56" i="28" s="1"/>
  <c r="V55" i="28"/>
  <c r="W54" i="28"/>
  <c r="S54" i="28"/>
  <c r="W43" i="28"/>
  <c r="V39" i="28"/>
  <c r="V40" i="28"/>
  <c r="V41" i="28"/>
  <c r="V42" i="28"/>
  <c r="V44" i="28"/>
  <c r="V45" i="28"/>
  <c r="V46" i="28"/>
  <c r="V47" i="28"/>
  <c r="V48" i="28"/>
  <c r="V38" i="28"/>
  <c r="V19" i="28"/>
  <c r="V20" i="28"/>
  <c r="V21" i="28"/>
  <c r="V22" i="28"/>
  <c r="V23" i="28"/>
  <c r="V24" i="28"/>
  <c r="V25" i="28"/>
  <c r="V26" i="28"/>
  <c r="V27" i="28"/>
  <c r="V28" i="28"/>
  <c r="V29" i="28"/>
  <c r="V30" i="28"/>
  <c r="V31" i="28"/>
  <c r="V18" i="28"/>
  <c r="V14" i="28"/>
  <c r="W13" i="28"/>
  <c r="W12" i="28"/>
  <c r="W11" i="28"/>
  <c r="S13" i="28"/>
  <c r="S12" i="28"/>
  <c r="S11" i="28"/>
  <c r="X39" i="28" l="1"/>
  <c r="W39" i="28"/>
  <c r="X27" i="28"/>
  <c r="W27" i="28"/>
  <c r="X23" i="28"/>
  <c r="W23" i="28"/>
  <c r="W46" i="28"/>
  <c r="X46" i="28"/>
  <c r="X25" i="28"/>
  <c r="W25" i="28"/>
  <c r="X48" i="28"/>
  <c r="W48" i="28"/>
  <c r="X44" i="28"/>
  <c r="W44" i="28"/>
  <c r="X55" i="28"/>
  <c r="W55" i="28"/>
  <c r="X24" i="28"/>
  <c r="W24" i="28"/>
  <c r="X20" i="28"/>
  <c r="W20" i="28"/>
  <c r="X47" i="28"/>
  <c r="W47" i="28"/>
  <c r="X30" i="28"/>
  <c r="W30" i="28"/>
  <c r="X22" i="28"/>
  <c r="W22" i="28"/>
  <c r="X38" i="28"/>
  <c r="W38" i="28"/>
  <c r="X45" i="28"/>
  <c r="W45" i="28"/>
  <c r="X40" i="28"/>
  <c r="W40" i="28"/>
  <c r="X14" i="28"/>
  <c r="W14" i="28"/>
  <c r="Z43" i="28"/>
  <c r="Z54" i="28"/>
  <c r="F92" i="20"/>
  <c r="J92" i="71" l="1"/>
  <c r="N14" i="29" l="1"/>
  <c r="L54" i="29" l="1"/>
  <c r="L46" i="29"/>
  <c r="L43" i="29"/>
  <c r="L14" i="29"/>
  <c r="O13" i="77" l="1"/>
  <c r="O15" i="77" s="1"/>
  <c r="C39" i="77" s="1"/>
  <c r="I21" i="49"/>
  <c r="M59" i="29" l="1"/>
  <c r="M36" i="29"/>
  <c r="M16" i="29"/>
  <c r="M40" i="29"/>
  <c r="L40" i="29" s="1"/>
  <c r="M41" i="29"/>
  <c r="L41" i="29" s="1"/>
  <c r="M44" i="29"/>
  <c r="L44" i="29" s="1"/>
  <c r="M52" i="29" l="1"/>
  <c r="M61" i="29" s="1"/>
  <c r="D15" i="86"/>
  <c r="B24" i="79" l="1"/>
  <c r="H38" i="16" s="1"/>
  <c r="AD54" i="28" l="1"/>
  <c r="Z12" i="28"/>
  <c r="Z13" i="28"/>
  <c r="Z11" i="28"/>
  <c r="AD11" i="28" s="1"/>
  <c r="AD12" i="28" l="1"/>
  <c r="AE12" i="28"/>
  <c r="AD13" i="28"/>
  <c r="AE13" i="28"/>
  <c r="AB13" i="28"/>
  <c r="AC13" i="28"/>
  <c r="AC12" i="28"/>
  <c r="AB12" i="28"/>
  <c r="L52" i="29" l="1"/>
  <c r="K59" i="29"/>
  <c r="L59" i="29"/>
  <c r="K36" i="29"/>
  <c r="L36" i="29"/>
  <c r="K16" i="29"/>
  <c r="L16" i="29"/>
  <c r="K61" i="29" l="1"/>
  <c r="L61" i="29"/>
  <c r="C22" i="18"/>
  <c r="C21" i="18"/>
  <c r="D50" i="71"/>
  <c r="C23" i="18" l="1"/>
  <c r="C24" i="18" s="1"/>
  <c r="J33" i="16" s="1"/>
  <c r="F36" i="29"/>
  <c r="G36" i="29"/>
  <c r="H36" i="29"/>
  <c r="I36" i="29"/>
  <c r="J36" i="29"/>
  <c r="N36" i="29"/>
  <c r="E36" i="29"/>
  <c r="D36" i="29"/>
  <c r="O55" i="29"/>
  <c r="O56" i="29"/>
  <c r="O54" i="29"/>
  <c r="O39" i="29"/>
  <c r="O40" i="29"/>
  <c r="O41" i="29"/>
  <c r="O42" i="29"/>
  <c r="O43" i="29"/>
  <c r="O44" i="29"/>
  <c r="O45" i="29"/>
  <c r="O46" i="29"/>
  <c r="O47" i="29"/>
  <c r="O48" i="29"/>
  <c r="O38" i="29"/>
  <c r="O19" i="29"/>
  <c r="O20" i="29"/>
  <c r="O21" i="29"/>
  <c r="O22" i="29"/>
  <c r="O23" i="29"/>
  <c r="O24" i="29"/>
  <c r="O25" i="29"/>
  <c r="O26" i="29"/>
  <c r="O27" i="29"/>
  <c r="O28" i="29"/>
  <c r="O29" i="29"/>
  <c r="O30" i="29"/>
  <c r="O31" i="29"/>
  <c r="O18" i="29"/>
  <c r="O13" i="29"/>
  <c r="O14" i="29"/>
  <c r="O15" i="29"/>
  <c r="O12" i="29"/>
  <c r="E59" i="29"/>
  <c r="F59" i="29"/>
  <c r="G59" i="29"/>
  <c r="H59" i="29"/>
  <c r="I59" i="29"/>
  <c r="J59" i="29"/>
  <c r="E52" i="29"/>
  <c r="F52" i="29"/>
  <c r="E16" i="29"/>
  <c r="F16" i="29"/>
  <c r="G16" i="29"/>
  <c r="H16" i="29"/>
  <c r="I16" i="29"/>
  <c r="J16" i="29"/>
  <c r="O36" i="29" l="1"/>
  <c r="J61" i="29"/>
  <c r="G61" i="29"/>
  <c r="I61" i="29"/>
  <c r="AG64" i="28" s="1"/>
  <c r="H61" i="29"/>
  <c r="F61" i="29"/>
  <c r="E61" i="29"/>
  <c r="E41" i="71" l="1"/>
  <c r="N60" i="11"/>
  <c r="Q60" i="11"/>
  <c r="T60" i="11"/>
  <c r="W60" i="11"/>
  <c r="L203" i="64"/>
  <c r="M12" i="77" l="1"/>
  <c r="L12" i="77"/>
  <c r="K12" i="77"/>
  <c r="J12" i="77"/>
  <c r="I12" i="77"/>
  <c r="H12" i="77"/>
  <c r="G12" i="77"/>
  <c r="F12" i="77"/>
  <c r="E12" i="77"/>
  <c r="D12" i="77"/>
  <c r="C12" i="77"/>
  <c r="B12" i="77"/>
  <c r="C30" i="49" l="1"/>
  <c r="G30" i="49" s="1"/>
  <c r="C29" i="49"/>
  <c r="G29" i="49" s="1"/>
  <c r="C28" i="49"/>
  <c r="G28" i="49" s="1"/>
  <c r="C27" i="49"/>
  <c r="G27" i="49" s="1"/>
  <c r="C26" i="49"/>
  <c r="G26" i="49" s="1"/>
  <c r="C25" i="49"/>
  <c r="C24" i="49"/>
  <c r="C23" i="49"/>
  <c r="C22" i="49"/>
  <c r="C21" i="49"/>
  <c r="C20" i="49"/>
  <c r="C19" i="49"/>
  <c r="C18" i="49"/>
  <c r="C17" i="49"/>
  <c r="C16" i="49"/>
  <c r="C15" i="49"/>
  <c r="C13" i="49"/>
  <c r="C14" i="49"/>
  <c r="C12" i="49"/>
  <c r="C11" i="49"/>
  <c r="C33" i="49" l="1"/>
  <c r="C32" i="49"/>
  <c r="AE207" i="64"/>
  <c r="AE208" i="64"/>
  <c r="AE209" i="64"/>
  <c r="AE210" i="64"/>
  <c r="AE211" i="64"/>
  <c r="AE212" i="64"/>
  <c r="AE213" i="64"/>
  <c r="AE214" i="64"/>
  <c r="AE215" i="64"/>
  <c r="AE216" i="64"/>
  <c r="AE217" i="64"/>
  <c r="AE218" i="64"/>
  <c r="AE219" i="64"/>
  <c r="AE220" i="64"/>
  <c r="AE221" i="64"/>
  <c r="AE222" i="64"/>
  <c r="AE223" i="64"/>
  <c r="AE224" i="64"/>
  <c r="AE225" i="64"/>
  <c r="AE226" i="64"/>
  <c r="AE227" i="64"/>
  <c r="AE228" i="64"/>
  <c r="AE229" i="64"/>
  <c r="AE230" i="64"/>
  <c r="AE231" i="64"/>
  <c r="AE232" i="64"/>
  <c r="AE233" i="64"/>
  <c r="AE234" i="64"/>
  <c r="AE235" i="64"/>
  <c r="AE236" i="64"/>
  <c r="AE237" i="64"/>
  <c r="AE238" i="64"/>
  <c r="AE239" i="64"/>
  <c r="AE240" i="64"/>
  <c r="AE241" i="64"/>
  <c r="AE242" i="64"/>
  <c r="AE243" i="64"/>
  <c r="AE244" i="64"/>
  <c r="AE245" i="64"/>
  <c r="AE246" i="64"/>
  <c r="AE247" i="64"/>
  <c r="AE248" i="64"/>
  <c r="AE249" i="64"/>
  <c r="AE250" i="64"/>
  <c r="AE251" i="64"/>
  <c r="AE252" i="64"/>
  <c r="AE253" i="64"/>
  <c r="AE254" i="64"/>
  <c r="AE255" i="64"/>
  <c r="AE256" i="64"/>
  <c r="AE257" i="64"/>
  <c r="AE258" i="64"/>
  <c r="AE259" i="64"/>
  <c r="AE260" i="64"/>
  <c r="AE261" i="64"/>
  <c r="AE262" i="64"/>
  <c r="AE263" i="64"/>
  <c r="AE264" i="64"/>
  <c r="AE265" i="64"/>
  <c r="AE266" i="64"/>
  <c r="AE267" i="64"/>
  <c r="AE268" i="64"/>
  <c r="AE269" i="64"/>
  <c r="AE270" i="64"/>
  <c r="AE271" i="64"/>
  <c r="AE272" i="64"/>
  <c r="AE273" i="64"/>
  <c r="AE274" i="64"/>
  <c r="AE275" i="64"/>
  <c r="AE276" i="64"/>
  <c r="AE277" i="64"/>
  <c r="AE278" i="64"/>
  <c r="AE279" i="64"/>
  <c r="N207" i="64"/>
  <c r="O207" i="64" s="1"/>
  <c r="Q207" i="64"/>
  <c r="N208" i="64"/>
  <c r="O208" i="64" s="1"/>
  <c r="Q208" i="64"/>
  <c r="N209" i="64"/>
  <c r="O209" i="64" s="1"/>
  <c r="Q209" i="64"/>
  <c r="N210" i="64"/>
  <c r="O210" i="64" s="1"/>
  <c r="Q210" i="64"/>
  <c r="N211" i="64"/>
  <c r="O211" i="64" s="1"/>
  <c r="Q211" i="64"/>
  <c r="N212" i="64"/>
  <c r="O212" i="64" s="1"/>
  <c r="Q212" i="64"/>
  <c r="N213" i="64"/>
  <c r="O213" i="64" s="1"/>
  <c r="Q213" i="64"/>
  <c r="N214" i="64"/>
  <c r="O214" i="64" s="1"/>
  <c r="Q214" i="64"/>
  <c r="N215" i="64"/>
  <c r="O215" i="64" s="1"/>
  <c r="Q215" i="64"/>
  <c r="N216" i="64"/>
  <c r="O216" i="64" s="1"/>
  <c r="Q216" i="64"/>
  <c r="N217" i="64"/>
  <c r="O217" i="64" s="1"/>
  <c r="Q217" i="64"/>
  <c r="N218" i="64"/>
  <c r="O218" i="64" s="1"/>
  <c r="Q218" i="64"/>
  <c r="N219" i="64"/>
  <c r="O219" i="64" s="1"/>
  <c r="Q219" i="64"/>
  <c r="N220" i="64"/>
  <c r="O220" i="64" s="1"/>
  <c r="Q220" i="64"/>
  <c r="N221" i="64"/>
  <c r="O221" i="64" s="1"/>
  <c r="Q221" i="64"/>
  <c r="N222" i="64"/>
  <c r="O222" i="64" s="1"/>
  <c r="Q222" i="64"/>
  <c r="N223" i="64"/>
  <c r="O223" i="64" s="1"/>
  <c r="Q223" i="64"/>
  <c r="N224" i="64"/>
  <c r="O224" i="64" s="1"/>
  <c r="Q224" i="64"/>
  <c r="N225" i="64"/>
  <c r="O225" i="64" s="1"/>
  <c r="Q225" i="64"/>
  <c r="N226" i="64"/>
  <c r="O226" i="64" s="1"/>
  <c r="Q226" i="64"/>
  <c r="N227" i="64"/>
  <c r="O227" i="64" s="1"/>
  <c r="Q227" i="64"/>
  <c r="N228" i="64"/>
  <c r="O228" i="64" s="1"/>
  <c r="Q228" i="64"/>
  <c r="N229" i="64"/>
  <c r="O229" i="64" s="1"/>
  <c r="Q229" i="64"/>
  <c r="N230" i="64"/>
  <c r="O230" i="64" s="1"/>
  <c r="Q230" i="64"/>
  <c r="N231" i="64"/>
  <c r="O231" i="64" s="1"/>
  <c r="Q231" i="64"/>
  <c r="N232" i="64"/>
  <c r="O232" i="64" s="1"/>
  <c r="Q232" i="64"/>
  <c r="N233" i="64"/>
  <c r="O233" i="64" s="1"/>
  <c r="Q233" i="64"/>
  <c r="N234" i="64"/>
  <c r="O234" i="64" s="1"/>
  <c r="Q234" i="64"/>
  <c r="N235" i="64"/>
  <c r="O235" i="64" s="1"/>
  <c r="Q235" i="64"/>
  <c r="N236" i="64"/>
  <c r="O236" i="64" s="1"/>
  <c r="Q236" i="64"/>
  <c r="N237" i="64"/>
  <c r="O237" i="64" s="1"/>
  <c r="Q237" i="64"/>
  <c r="N238" i="64"/>
  <c r="O238" i="64" s="1"/>
  <c r="Q238" i="64"/>
  <c r="N239" i="64"/>
  <c r="O239" i="64" s="1"/>
  <c r="Q239" i="64"/>
  <c r="N240" i="64"/>
  <c r="O240" i="64" s="1"/>
  <c r="Q240" i="64"/>
  <c r="N241" i="64"/>
  <c r="O241" i="64" s="1"/>
  <c r="Q241" i="64"/>
  <c r="N242" i="64"/>
  <c r="O242" i="64" s="1"/>
  <c r="Q242" i="64"/>
  <c r="N243" i="64"/>
  <c r="O243" i="64" s="1"/>
  <c r="Q243" i="64"/>
  <c r="N244" i="64"/>
  <c r="O244" i="64" s="1"/>
  <c r="Q244" i="64"/>
  <c r="N245" i="64"/>
  <c r="O245" i="64" s="1"/>
  <c r="Q245" i="64"/>
  <c r="N246" i="64"/>
  <c r="O246" i="64" s="1"/>
  <c r="Q246" i="64"/>
  <c r="N247" i="64"/>
  <c r="O247" i="64" s="1"/>
  <c r="Q247" i="64"/>
  <c r="N248" i="64"/>
  <c r="O248" i="64" s="1"/>
  <c r="Q248" i="64"/>
  <c r="N249" i="64"/>
  <c r="O249" i="64" s="1"/>
  <c r="Q249" i="64"/>
  <c r="N250" i="64"/>
  <c r="O250" i="64" s="1"/>
  <c r="Q250" i="64"/>
  <c r="N251" i="64"/>
  <c r="O251" i="64" s="1"/>
  <c r="Q251" i="64"/>
  <c r="N252" i="64"/>
  <c r="O252" i="64" s="1"/>
  <c r="Q252" i="64"/>
  <c r="N253" i="64"/>
  <c r="O253" i="64" s="1"/>
  <c r="Q253" i="64"/>
  <c r="N254" i="64"/>
  <c r="O254" i="64" s="1"/>
  <c r="Q254" i="64"/>
  <c r="N255" i="64"/>
  <c r="O255" i="64" s="1"/>
  <c r="Q255" i="64"/>
  <c r="N256" i="64"/>
  <c r="O256" i="64" s="1"/>
  <c r="Q256" i="64"/>
  <c r="N257" i="64"/>
  <c r="O257" i="64" s="1"/>
  <c r="Q257" i="64"/>
  <c r="N258" i="64"/>
  <c r="O258" i="64" s="1"/>
  <c r="Q258" i="64"/>
  <c r="N259" i="64"/>
  <c r="O259" i="64" s="1"/>
  <c r="Q259" i="64"/>
  <c r="N260" i="64"/>
  <c r="O260" i="64" s="1"/>
  <c r="Q260" i="64"/>
  <c r="N261" i="64"/>
  <c r="O261" i="64" s="1"/>
  <c r="Q261" i="64"/>
  <c r="N262" i="64"/>
  <c r="O262" i="64" s="1"/>
  <c r="Q262" i="64"/>
  <c r="N263" i="64"/>
  <c r="O263" i="64" s="1"/>
  <c r="Q263" i="64"/>
  <c r="N264" i="64"/>
  <c r="O264" i="64" s="1"/>
  <c r="Q264" i="64"/>
  <c r="N265" i="64"/>
  <c r="O265" i="64" s="1"/>
  <c r="Q265" i="64"/>
  <c r="N266" i="64"/>
  <c r="O266" i="64" s="1"/>
  <c r="Q266" i="64"/>
  <c r="N267" i="64"/>
  <c r="O267" i="64" s="1"/>
  <c r="Q267" i="64"/>
  <c r="N268" i="64"/>
  <c r="O268" i="64" s="1"/>
  <c r="Q268" i="64"/>
  <c r="N269" i="64"/>
  <c r="O269" i="64" s="1"/>
  <c r="Q269" i="64"/>
  <c r="N270" i="64"/>
  <c r="O270" i="64" s="1"/>
  <c r="Q270" i="64"/>
  <c r="N271" i="64"/>
  <c r="O271" i="64" s="1"/>
  <c r="Q271" i="64"/>
  <c r="N272" i="64"/>
  <c r="O272" i="64" s="1"/>
  <c r="Q272" i="64"/>
  <c r="N273" i="64"/>
  <c r="O273" i="64" s="1"/>
  <c r="Q273" i="64"/>
  <c r="N274" i="64"/>
  <c r="O274" i="64" s="1"/>
  <c r="Q274" i="64"/>
  <c r="N275" i="64"/>
  <c r="O275" i="64" s="1"/>
  <c r="Q275" i="64"/>
  <c r="N276" i="64"/>
  <c r="O276" i="64" s="1"/>
  <c r="Q276" i="64"/>
  <c r="N277" i="64"/>
  <c r="O277" i="64" s="1"/>
  <c r="Q277" i="64"/>
  <c r="N278" i="64"/>
  <c r="O278" i="64" s="1"/>
  <c r="Q278" i="64"/>
  <c r="N279" i="64"/>
  <c r="O279" i="64" s="1"/>
  <c r="Q279" i="64"/>
  <c r="N148" i="64"/>
  <c r="O148" i="64" s="1"/>
  <c r="Q148" i="64"/>
  <c r="N149" i="64"/>
  <c r="O149" i="64" s="1"/>
  <c r="Q149" i="64"/>
  <c r="N150" i="64"/>
  <c r="O150" i="64" s="1"/>
  <c r="Q150" i="64"/>
  <c r="N151" i="64"/>
  <c r="O151" i="64" s="1"/>
  <c r="Q151" i="64"/>
  <c r="N152" i="64"/>
  <c r="O152" i="64" s="1"/>
  <c r="Q152" i="64"/>
  <c r="N153" i="64"/>
  <c r="O153" i="64" s="1"/>
  <c r="Q153" i="64"/>
  <c r="N154" i="64"/>
  <c r="O154" i="64" s="1"/>
  <c r="Q154" i="64"/>
  <c r="N155" i="64"/>
  <c r="O155" i="64" s="1"/>
  <c r="Q155" i="64"/>
  <c r="N156" i="64"/>
  <c r="O156" i="64" s="1"/>
  <c r="Q156" i="64"/>
  <c r="N157" i="64"/>
  <c r="O157" i="64" s="1"/>
  <c r="Q157" i="64"/>
  <c r="N158" i="64"/>
  <c r="O158" i="64" s="1"/>
  <c r="Q158" i="64"/>
  <c r="N159" i="64"/>
  <c r="O159" i="64" s="1"/>
  <c r="Q159" i="64"/>
  <c r="N160" i="64"/>
  <c r="O160" i="64" s="1"/>
  <c r="Q160" i="64"/>
  <c r="N161" i="64"/>
  <c r="O161" i="64" s="1"/>
  <c r="Q161" i="64"/>
  <c r="N162" i="64"/>
  <c r="O162" i="64" s="1"/>
  <c r="Q162" i="64"/>
  <c r="N163" i="64"/>
  <c r="O163" i="64" s="1"/>
  <c r="Q163" i="64"/>
  <c r="N164" i="64"/>
  <c r="O164" i="64" s="1"/>
  <c r="Q164" i="64"/>
  <c r="N165" i="64"/>
  <c r="O165" i="64" s="1"/>
  <c r="Q165" i="64"/>
  <c r="N166" i="64"/>
  <c r="O166" i="64" s="1"/>
  <c r="Q166" i="64"/>
  <c r="N167" i="64"/>
  <c r="O167" i="64" s="1"/>
  <c r="Q167" i="64"/>
  <c r="N168" i="64"/>
  <c r="O168" i="64" s="1"/>
  <c r="Q168" i="64"/>
  <c r="N169" i="64"/>
  <c r="O169" i="64" s="1"/>
  <c r="Q169" i="64"/>
  <c r="N170" i="64"/>
  <c r="O170" i="64" s="1"/>
  <c r="Q170" i="64"/>
  <c r="N171" i="64"/>
  <c r="O171" i="64" s="1"/>
  <c r="Q171" i="64"/>
  <c r="N172" i="64"/>
  <c r="O172" i="64" s="1"/>
  <c r="Q172" i="64"/>
  <c r="N173" i="64"/>
  <c r="O173" i="64" s="1"/>
  <c r="Q173" i="64"/>
  <c r="N174" i="64"/>
  <c r="O174" i="64" s="1"/>
  <c r="Q174" i="64"/>
  <c r="N175" i="64"/>
  <c r="O175" i="64" s="1"/>
  <c r="Q175" i="64"/>
  <c r="N176" i="64"/>
  <c r="O176" i="64" s="1"/>
  <c r="Q176" i="64"/>
  <c r="N177" i="64"/>
  <c r="O177" i="64" s="1"/>
  <c r="Q177" i="64"/>
  <c r="N178" i="64"/>
  <c r="O178" i="64" s="1"/>
  <c r="Q178" i="64"/>
  <c r="N179" i="64"/>
  <c r="O179" i="64" s="1"/>
  <c r="Q179" i="64"/>
  <c r="N180" i="64"/>
  <c r="O180" i="64" s="1"/>
  <c r="Q180" i="64"/>
  <c r="N181" i="64"/>
  <c r="O181" i="64" s="1"/>
  <c r="Q181" i="64"/>
  <c r="N182" i="64"/>
  <c r="O182" i="64" s="1"/>
  <c r="Q182" i="64"/>
  <c r="N183" i="64"/>
  <c r="O183" i="64" s="1"/>
  <c r="Q183" i="64"/>
  <c r="N184" i="64"/>
  <c r="O184" i="64" s="1"/>
  <c r="Q184" i="64"/>
  <c r="N185" i="64"/>
  <c r="O185" i="64" s="1"/>
  <c r="Q185" i="64"/>
  <c r="N186" i="64"/>
  <c r="O186" i="64" s="1"/>
  <c r="Q186" i="64"/>
  <c r="N187" i="64"/>
  <c r="O187" i="64" s="1"/>
  <c r="Q187" i="64"/>
  <c r="N188" i="64"/>
  <c r="O188" i="64" s="1"/>
  <c r="Q188" i="64"/>
  <c r="N189" i="64"/>
  <c r="O189" i="64" s="1"/>
  <c r="Q189" i="64"/>
  <c r="N190" i="64"/>
  <c r="O190" i="64" s="1"/>
  <c r="Q190" i="64"/>
  <c r="N191" i="64"/>
  <c r="O191" i="64" s="1"/>
  <c r="Q191" i="64"/>
  <c r="N192" i="64"/>
  <c r="O192" i="64" s="1"/>
  <c r="Q192" i="64"/>
  <c r="N193" i="64"/>
  <c r="O193" i="64" s="1"/>
  <c r="Q193" i="64"/>
  <c r="N194" i="64"/>
  <c r="O194" i="64" s="1"/>
  <c r="Q194" i="64"/>
  <c r="N195" i="64"/>
  <c r="O195" i="64" s="1"/>
  <c r="Q195" i="64"/>
  <c r="N196" i="64"/>
  <c r="O196" i="64" s="1"/>
  <c r="Q196" i="64"/>
  <c r="N197" i="64"/>
  <c r="O197" i="64" s="1"/>
  <c r="Q197" i="64"/>
  <c r="N198" i="64"/>
  <c r="O198" i="64" s="1"/>
  <c r="Q198" i="64"/>
  <c r="N199" i="64"/>
  <c r="O199" i="64" s="1"/>
  <c r="Q199" i="64"/>
  <c r="N200" i="64"/>
  <c r="O200" i="64" s="1"/>
  <c r="Q200" i="64"/>
  <c r="AE148" i="64"/>
  <c r="AE149" i="64"/>
  <c r="AE150" i="64"/>
  <c r="AE151" i="64"/>
  <c r="AE152" i="64"/>
  <c r="AE153" i="64"/>
  <c r="AE154" i="64"/>
  <c r="AE155" i="64"/>
  <c r="AE156" i="64"/>
  <c r="AE157" i="64"/>
  <c r="AE158" i="64"/>
  <c r="AE159" i="64"/>
  <c r="AE160" i="64"/>
  <c r="AE161" i="64"/>
  <c r="AE162" i="64"/>
  <c r="AE163" i="64"/>
  <c r="AE164" i="64"/>
  <c r="AE165" i="64"/>
  <c r="AE166" i="64"/>
  <c r="AE167" i="64"/>
  <c r="AE168" i="64"/>
  <c r="AE169" i="64"/>
  <c r="AE170" i="64"/>
  <c r="AE171" i="64"/>
  <c r="AE172" i="64"/>
  <c r="AE173" i="64"/>
  <c r="AE174" i="64"/>
  <c r="AE175" i="64"/>
  <c r="AE176" i="64"/>
  <c r="AE177" i="64"/>
  <c r="AE178" i="64"/>
  <c r="AE179" i="64"/>
  <c r="AE180" i="64"/>
  <c r="AE181" i="64"/>
  <c r="AE182" i="64"/>
  <c r="AE183" i="64"/>
  <c r="AE184" i="64"/>
  <c r="AE185" i="64"/>
  <c r="AE186" i="64"/>
  <c r="AE187" i="64"/>
  <c r="AE188" i="64"/>
  <c r="AE189" i="64"/>
  <c r="AE190" i="64"/>
  <c r="AE191" i="64"/>
  <c r="AE192" i="64"/>
  <c r="AE193" i="64"/>
  <c r="AE194" i="64"/>
  <c r="AE195" i="64"/>
  <c r="AE196" i="64"/>
  <c r="AE197" i="64"/>
  <c r="AE198" i="64"/>
  <c r="AE199" i="64"/>
  <c r="AE111" i="64"/>
  <c r="AE112" i="64"/>
  <c r="AE113" i="64"/>
  <c r="AE114" i="64"/>
  <c r="AE115" i="64"/>
  <c r="AE116" i="64"/>
  <c r="AE117" i="64"/>
  <c r="AE118" i="64"/>
  <c r="AE119" i="64"/>
  <c r="AE120" i="64"/>
  <c r="AE121" i="64"/>
  <c r="AE122" i="64"/>
  <c r="AE123" i="64"/>
  <c r="AE124" i="64"/>
  <c r="AE125" i="64"/>
  <c r="AE126" i="64"/>
  <c r="AE127" i="64"/>
  <c r="AE128" i="64"/>
  <c r="AE129" i="64"/>
  <c r="AE130" i="64"/>
  <c r="AE131" i="64"/>
  <c r="AE132" i="64"/>
  <c r="AE133" i="64"/>
  <c r="AE134" i="64"/>
  <c r="AE135" i="64"/>
  <c r="AE136" i="64"/>
  <c r="AE137" i="64"/>
  <c r="AE138" i="64"/>
  <c r="AE139" i="64"/>
  <c r="AE140" i="64"/>
  <c r="AE141" i="64"/>
  <c r="AE142" i="64"/>
  <c r="Q111" i="64"/>
  <c r="Q112" i="64"/>
  <c r="Q113" i="64"/>
  <c r="Q114" i="64"/>
  <c r="Q115" i="64"/>
  <c r="Q116" i="64"/>
  <c r="Q117" i="64"/>
  <c r="Q118" i="64"/>
  <c r="Q119" i="64"/>
  <c r="Q120" i="64"/>
  <c r="Q121" i="64"/>
  <c r="Q122" i="64"/>
  <c r="Q123" i="64"/>
  <c r="Q124" i="64"/>
  <c r="Q125" i="64"/>
  <c r="Q126" i="64"/>
  <c r="Q127" i="64"/>
  <c r="Q128" i="64"/>
  <c r="Q129" i="64"/>
  <c r="Q130" i="64"/>
  <c r="Q131" i="64"/>
  <c r="Q132" i="64"/>
  <c r="Q133" i="64"/>
  <c r="Q134" i="64"/>
  <c r="Q135" i="64"/>
  <c r="Q136" i="64"/>
  <c r="Q137" i="64"/>
  <c r="Q138" i="64"/>
  <c r="Q139" i="64"/>
  <c r="Q140" i="64"/>
  <c r="Q141" i="64"/>
  <c r="Q142" i="64"/>
  <c r="N111" i="64"/>
  <c r="N112" i="64"/>
  <c r="O112" i="64" s="1"/>
  <c r="N113" i="64"/>
  <c r="O113" i="64" s="1"/>
  <c r="N114" i="64"/>
  <c r="O114" i="64" s="1"/>
  <c r="N115" i="64"/>
  <c r="O115" i="64" s="1"/>
  <c r="N116" i="64"/>
  <c r="O116" i="64" s="1"/>
  <c r="N117" i="64"/>
  <c r="O117" i="64" s="1"/>
  <c r="N118" i="64"/>
  <c r="O118" i="64" s="1"/>
  <c r="N119" i="64"/>
  <c r="N120" i="64"/>
  <c r="O120" i="64" s="1"/>
  <c r="N121" i="64"/>
  <c r="O121" i="64" s="1"/>
  <c r="N122" i="64"/>
  <c r="O122" i="64" s="1"/>
  <c r="N123" i="64"/>
  <c r="O123" i="64" s="1"/>
  <c r="N124" i="64"/>
  <c r="O124" i="64" s="1"/>
  <c r="N125" i="64"/>
  <c r="O125" i="64" s="1"/>
  <c r="N126" i="64"/>
  <c r="O126" i="64" s="1"/>
  <c r="N127" i="64"/>
  <c r="N128" i="64"/>
  <c r="O128" i="64" s="1"/>
  <c r="N129" i="64"/>
  <c r="O129" i="64" s="1"/>
  <c r="N130" i="64"/>
  <c r="O130" i="64" s="1"/>
  <c r="N131" i="64"/>
  <c r="O131" i="64" s="1"/>
  <c r="N132" i="64"/>
  <c r="O132" i="64" s="1"/>
  <c r="N133" i="64"/>
  <c r="O133" i="64" s="1"/>
  <c r="N134" i="64"/>
  <c r="O134" i="64" s="1"/>
  <c r="N135" i="64"/>
  <c r="N136" i="64"/>
  <c r="O136" i="64" s="1"/>
  <c r="N137" i="64"/>
  <c r="O137" i="64" s="1"/>
  <c r="N138" i="64"/>
  <c r="O138" i="64" s="1"/>
  <c r="N139" i="64"/>
  <c r="O139" i="64" s="1"/>
  <c r="N140" i="64"/>
  <c r="O140" i="64" s="1"/>
  <c r="N141" i="64"/>
  <c r="O141" i="64" s="1"/>
  <c r="N142" i="64"/>
  <c r="O142" i="64" s="1"/>
  <c r="AE39" i="64"/>
  <c r="AE40" i="64"/>
  <c r="AE41" i="64"/>
  <c r="AE42" i="64"/>
  <c r="AE43" i="64"/>
  <c r="AE44" i="64"/>
  <c r="AE45" i="64"/>
  <c r="AE46" i="64"/>
  <c r="AE47" i="64"/>
  <c r="AE48" i="64"/>
  <c r="AE49" i="64"/>
  <c r="AE50" i="64"/>
  <c r="AE51" i="64"/>
  <c r="AE52" i="64"/>
  <c r="AE53" i="64"/>
  <c r="AE54" i="64"/>
  <c r="AE55" i="64"/>
  <c r="AE56" i="64"/>
  <c r="AE57" i="64"/>
  <c r="AE58" i="64"/>
  <c r="AE59" i="64"/>
  <c r="AE60" i="64"/>
  <c r="AE61" i="64"/>
  <c r="AE62" i="64"/>
  <c r="AE63" i="64"/>
  <c r="Q39" i="64"/>
  <c r="Q40" i="64"/>
  <c r="Q41" i="64"/>
  <c r="Q42" i="64"/>
  <c r="Q43" i="64"/>
  <c r="Q44" i="64"/>
  <c r="Q45" i="64"/>
  <c r="Q46" i="64"/>
  <c r="Q47" i="64"/>
  <c r="Q48" i="64"/>
  <c r="Q49" i="64"/>
  <c r="Q50" i="64"/>
  <c r="Q51" i="64"/>
  <c r="Q52" i="64"/>
  <c r="Q53" i="64"/>
  <c r="Q54" i="64"/>
  <c r="Q55" i="64"/>
  <c r="Q56" i="64"/>
  <c r="Q57" i="64"/>
  <c r="Q58" i="64"/>
  <c r="Q59" i="64"/>
  <c r="Q60" i="64"/>
  <c r="Q61" i="64"/>
  <c r="Q62" i="64"/>
  <c r="Q63" i="64"/>
  <c r="N39" i="64"/>
  <c r="O39" i="64" s="1"/>
  <c r="N40" i="64"/>
  <c r="O40" i="64" s="1"/>
  <c r="N41" i="64"/>
  <c r="O41" i="64" s="1"/>
  <c r="N42" i="64"/>
  <c r="O42" i="64" s="1"/>
  <c r="N43" i="64"/>
  <c r="O43" i="64" s="1"/>
  <c r="N44" i="64"/>
  <c r="O44" i="64" s="1"/>
  <c r="N45" i="64"/>
  <c r="O45" i="64" s="1"/>
  <c r="N46" i="64"/>
  <c r="O46" i="64" s="1"/>
  <c r="N47" i="64"/>
  <c r="O47" i="64" s="1"/>
  <c r="N48" i="64"/>
  <c r="O48" i="64" s="1"/>
  <c r="N49" i="64"/>
  <c r="O49" i="64" s="1"/>
  <c r="N50" i="64"/>
  <c r="O50" i="64" s="1"/>
  <c r="N51" i="64"/>
  <c r="O51" i="64" s="1"/>
  <c r="N52" i="64"/>
  <c r="O52" i="64" s="1"/>
  <c r="N53" i="64"/>
  <c r="O53" i="64" s="1"/>
  <c r="N54" i="64"/>
  <c r="O54" i="64" s="1"/>
  <c r="N55" i="64"/>
  <c r="O55" i="64" s="1"/>
  <c r="N56" i="64"/>
  <c r="O56" i="64" s="1"/>
  <c r="N57" i="64"/>
  <c r="O57" i="64" s="1"/>
  <c r="N58" i="64"/>
  <c r="O58" i="64" s="1"/>
  <c r="N59" i="64"/>
  <c r="O59" i="64" s="1"/>
  <c r="N60" i="64"/>
  <c r="O60" i="64" s="1"/>
  <c r="N61" i="64"/>
  <c r="O61" i="64" s="1"/>
  <c r="N62" i="64"/>
  <c r="O62" i="64" s="1"/>
  <c r="N63" i="64"/>
  <c r="O63" i="64" s="1"/>
  <c r="O135" i="64" l="1"/>
  <c r="O119" i="64"/>
  <c r="O127" i="64"/>
  <c r="O111" i="64"/>
  <c r="D279" i="64"/>
  <c r="D207" i="64"/>
  <c r="D208" i="64"/>
  <c r="D209" i="64"/>
  <c r="D210" i="64"/>
  <c r="D211" i="64"/>
  <c r="D212" i="64"/>
  <c r="D213" i="64"/>
  <c r="D214" i="64"/>
  <c r="D215" i="64"/>
  <c r="D216" i="64"/>
  <c r="D217" i="64"/>
  <c r="D218" i="64"/>
  <c r="D219" i="64"/>
  <c r="D220" i="64"/>
  <c r="D221" i="64"/>
  <c r="D222" i="64"/>
  <c r="D223" i="64"/>
  <c r="D224" i="64"/>
  <c r="D225" i="64"/>
  <c r="D226" i="64"/>
  <c r="D227" i="64"/>
  <c r="D228" i="64"/>
  <c r="D229" i="64"/>
  <c r="D230" i="64"/>
  <c r="D231" i="64"/>
  <c r="D232" i="64"/>
  <c r="D233" i="64"/>
  <c r="D234" i="64"/>
  <c r="D235" i="64"/>
  <c r="D236" i="64"/>
  <c r="D237" i="64"/>
  <c r="D238" i="64"/>
  <c r="D239" i="64"/>
  <c r="D240" i="64"/>
  <c r="D241" i="64"/>
  <c r="D242" i="64"/>
  <c r="D243" i="64"/>
  <c r="D244" i="64"/>
  <c r="D245" i="64"/>
  <c r="D246" i="64"/>
  <c r="D247" i="64"/>
  <c r="D248" i="64"/>
  <c r="D249" i="64"/>
  <c r="D250" i="64"/>
  <c r="D251" i="64"/>
  <c r="D252" i="64"/>
  <c r="D253" i="64"/>
  <c r="D254" i="64"/>
  <c r="D255" i="64"/>
  <c r="D256" i="64"/>
  <c r="D257" i="64"/>
  <c r="D258" i="64"/>
  <c r="D259" i="64"/>
  <c r="D260" i="64"/>
  <c r="D261" i="64"/>
  <c r="D262" i="64"/>
  <c r="D263" i="64"/>
  <c r="D264" i="64"/>
  <c r="D265" i="64"/>
  <c r="D266" i="64"/>
  <c r="D267" i="64"/>
  <c r="D268" i="64"/>
  <c r="D269" i="64"/>
  <c r="D270" i="64"/>
  <c r="D271" i="64"/>
  <c r="D272" i="64"/>
  <c r="D273" i="64"/>
  <c r="D274" i="64"/>
  <c r="D275" i="64"/>
  <c r="D276" i="64"/>
  <c r="D277" i="64"/>
  <c r="D278" i="64"/>
  <c r="D206" i="64"/>
  <c r="D112" i="64"/>
  <c r="D113" i="64"/>
  <c r="D114" i="64"/>
  <c r="D115" i="64"/>
  <c r="D116" i="64"/>
  <c r="D117" i="64"/>
  <c r="D118" i="64"/>
  <c r="D119" i="64"/>
  <c r="D120" i="64"/>
  <c r="D121" i="64"/>
  <c r="D122" i="64"/>
  <c r="D123" i="64"/>
  <c r="D124" i="64"/>
  <c r="D125" i="64"/>
  <c r="D126" i="64"/>
  <c r="D127" i="64"/>
  <c r="D128" i="64"/>
  <c r="D129" i="64"/>
  <c r="D130" i="64"/>
  <c r="D131" i="64"/>
  <c r="D132" i="64"/>
  <c r="D133" i="64"/>
  <c r="D134" i="64"/>
  <c r="D135" i="64"/>
  <c r="D136" i="64"/>
  <c r="D137" i="64"/>
  <c r="D138" i="64"/>
  <c r="D139" i="64"/>
  <c r="D140" i="64"/>
  <c r="D141" i="64"/>
  <c r="D142" i="64"/>
  <c r="D143" i="64"/>
  <c r="D144" i="64"/>
  <c r="I144" i="64" s="1"/>
  <c r="D145" i="64"/>
  <c r="I145" i="64" s="1"/>
  <c r="D146" i="64"/>
  <c r="I146" i="64" s="1"/>
  <c r="D147" i="64"/>
  <c r="I147" i="64" s="1"/>
  <c r="D148" i="64"/>
  <c r="D149" i="64"/>
  <c r="D150" i="64"/>
  <c r="D151" i="64"/>
  <c r="D152" i="64"/>
  <c r="D153" i="64"/>
  <c r="D154" i="64"/>
  <c r="D155" i="64"/>
  <c r="D156" i="64"/>
  <c r="D157" i="64"/>
  <c r="D158" i="64"/>
  <c r="D159" i="64"/>
  <c r="D160" i="64"/>
  <c r="D161" i="64"/>
  <c r="D162" i="64"/>
  <c r="D163" i="64"/>
  <c r="D164" i="64"/>
  <c r="D165" i="64"/>
  <c r="D166" i="64"/>
  <c r="D167" i="64"/>
  <c r="D168" i="64"/>
  <c r="D169" i="64"/>
  <c r="D170" i="64"/>
  <c r="D171" i="64"/>
  <c r="D172" i="64"/>
  <c r="D173" i="64"/>
  <c r="D174" i="64"/>
  <c r="D175" i="64"/>
  <c r="D176" i="64"/>
  <c r="D177" i="64"/>
  <c r="D178" i="64"/>
  <c r="D179" i="64"/>
  <c r="D180" i="64"/>
  <c r="D181" i="64"/>
  <c r="D182" i="64"/>
  <c r="D183" i="64"/>
  <c r="D184" i="64"/>
  <c r="D185" i="64"/>
  <c r="D186" i="64"/>
  <c r="D187" i="64"/>
  <c r="D188" i="64"/>
  <c r="D189" i="64"/>
  <c r="D190" i="64"/>
  <c r="D191" i="64"/>
  <c r="D192" i="64"/>
  <c r="D193" i="64"/>
  <c r="D194" i="64"/>
  <c r="D195" i="64"/>
  <c r="D196" i="64"/>
  <c r="D197" i="64"/>
  <c r="D198" i="64"/>
  <c r="D199" i="64"/>
  <c r="D200" i="64"/>
  <c r="I200" i="64" s="1"/>
  <c r="D111" i="64"/>
  <c r="D82" i="64"/>
  <c r="D83" i="64"/>
  <c r="D84" i="64"/>
  <c r="D85" i="64"/>
  <c r="D86" i="64"/>
  <c r="D87" i="64"/>
  <c r="D88" i="64"/>
  <c r="D89" i="64"/>
  <c r="D90" i="64"/>
  <c r="D91" i="64"/>
  <c r="D92" i="64"/>
  <c r="D93" i="64"/>
  <c r="D94" i="64"/>
  <c r="D95" i="64"/>
  <c r="D96" i="64"/>
  <c r="D97" i="64"/>
  <c r="D98" i="64"/>
  <c r="D99" i="64"/>
  <c r="D100" i="64"/>
  <c r="D101" i="64"/>
  <c r="D81" i="64"/>
  <c r="D72" i="64"/>
  <c r="D73" i="64"/>
  <c r="D74" i="64"/>
  <c r="D71" i="64"/>
  <c r="D18" i="64"/>
  <c r="D19" i="64"/>
  <c r="D20" i="64"/>
  <c r="D21" i="64"/>
  <c r="D22" i="64"/>
  <c r="D23" i="64"/>
  <c r="D24" i="64"/>
  <c r="D25" i="64"/>
  <c r="D26" i="64"/>
  <c r="D27" i="64"/>
  <c r="D28" i="64"/>
  <c r="D29" i="64"/>
  <c r="D30" i="64"/>
  <c r="D31" i="64"/>
  <c r="D32" i="64"/>
  <c r="D33" i="64"/>
  <c r="D34" i="64"/>
  <c r="D35" i="64"/>
  <c r="D36" i="64"/>
  <c r="D37" i="64"/>
  <c r="D38" i="64"/>
  <c r="D39" i="64"/>
  <c r="D40" i="64"/>
  <c r="D41" i="64"/>
  <c r="D42" i="64"/>
  <c r="D43" i="64"/>
  <c r="D44" i="64"/>
  <c r="D45" i="64"/>
  <c r="D46" i="64"/>
  <c r="D47" i="64"/>
  <c r="D48" i="64"/>
  <c r="D49" i="64"/>
  <c r="D50" i="64"/>
  <c r="D51" i="64"/>
  <c r="D52" i="64"/>
  <c r="D53" i="64"/>
  <c r="D54" i="64"/>
  <c r="D55" i="64"/>
  <c r="D56" i="64"/>
  <c r="D57" i="64"/>
  <c r="D58" i="64"/>
  <c r="D59" i="64"/>
  <c r="D60" i="64"/>
  <c r="D61" i="64"/>
  <c r="D62" i="64"/>
  <c r="D63" i="64"/>
  <c r="D17" i="64"/>
  <c r="L103" i="64"/>
  <c r="AA52" i="64" l="1"/>
  <c r="I52" i="64"/>
  <c r="AC52" i="64" s="1"/>
  <c r="I62" i="64"/>
  <c r="AC62" i="64" s="1"/>
  <c r="AA62" i="64"/>
  <c r="I58" i="64"/>
  <c r="AC58" i="64" s="1"/>
  <c r="AA58" i="64"/>
  <c r="I54" i="64"/>
  <c r="AC54" i="64" s="1"/>
  <c r="AA54" i="64"/>
  <c r="I50" i="64"/>
  <c r="AC50" i="64" s="1"/>
  <c r="AA50" i="64"/>
  <c r="I46" i="64"/>
  <c r="AC46" i="64" s="1"/>
  <c r="AA46" i="64"/>
  <c r="I42" i="64"/>
  <c r="AC42" i="64" s="1"/>
  <c r="AA42" i="64"/>
  <c r="I196" i="64"/>
  <c r="AC196" i="64" s="1"/>
  <c r="AA196" i="64"/>
  <c r="I192" i="64"/>
  <c r="AC192" i="64" s="1"/>
  <c r="AA192" i="64"/>
  <c r="I188" i="64"/>
  <c r="AC188" i="64" s="1"/>
  <c r="AA188" i="64"/>
  <c r="AA184" i="64"/>
  <c r="I184" i="64"/>
  <c r="AC184" i="64" s="1"/>
  <c r="I180" i="64"/>
  <c r="AC180" i="64" s="1"/>
  <c r="AA180" i="64"/>
  <c r="AA176" i="64"/>
  <c r="I176" i="64"/>
  <c r="AC176" i="64" s="1"/>
  <c r="I172" i="64"/>
  <c r="AC172" i="64" s="1"/>
  <c r="AA172" i="64"/>
  <c r="I168" i="64"/>
  <c r="AC168" i="64" s="1"/>
  <c r="AA168" i="64"/>
  <c r="AA164" i="64"/>
  <c r="I164" i="64"/>
  <c r="AC164" i="64" s="1"/>
  <c r="I160" i="64"/>
  <c r="AC160" i="64" s="1"/>
  <c r="AA160" i="64"/>
  <c r="I156" i="64"/>
  <c r="AC156" i="64" s="1"/>
  <c r="AA156" i="64"/>
  <c r="I152" i="64"/>
  <c r="AC152" i="64" s="1"/>
  <c r="AA152" i="64"/>
  <c r="AA148" i="64"/>
  <c r="I148" i="64"/>
  <c r="AC148" i="64" s="1"/>
  <c r="I140" i="64"/>
  <c r="AC140" i="64" s="1"/>
  <c r="AA140" i="64"/>
  <c r="I136" i="64"/>
  <c r="AC136" i="64" s="1"/>
  <c r="AA136" i="64"/>
  <c r="I132" i="64"/>
  <c r="AC132" i="64" s="1"/>
  <c r="AA132" i="64"/>
  <c r="I128" i="64"/>
  <c r="AC128" i="64" s="1"/>
  <c r="AA128" i="64"/>
  <c r="I124" i="64"/>
  <c r="AC124" i="64" s="1"/>
  <c r="AA124" i="64"/>
  <c r="I120" i="64"/>
  <c r="AC120" i="64" s="1"/>
  <c r="AA120" i="64"/>
  <c r="I116" i="64"/>
  <c r="AC116" i="64" s="1"/>
  <c r="AA116" i="64"/>
  <c r="I112" i="64"/>
  <c r="AC112" i="64" s="1"/>
  <c r="AA112" i="64"/>
  <c r="AA276" i="64"/>
  <c r="I276" i="64"/>
  <c r="AC276" i="64" s="1"/>
  <c r="AA272" i="64"/>
  <c r="I272" i="64"/>
  <c r="AC272" i="64" s="1"/>
  <c r="AA268" i="64"/>
  <c r="I268" i="64"/>
  <c r="AC268" i="64" s="1"/>
  <c r="AA264" i="64"/>
  <c r="I264" i="64"/>
  <c r="AC264" i="64" s="1"/>
  <c r="AA260" i="64"/>
  <c r="I260" i="64"/>
  <c r="AC260" i="64" s="1"/>
  <c r="AA256" i="64"/>
  <c r="I256" i="64"/>
  <c r="AC256" i="64" s="1"/>
  <c r="AA252" i="64"/>
  <c r="I252" i="64"/>
  <c r="AC252" i="64" s="1"/>
  <c r="AA248" i="64"/>
  <c r="I248" i="64"/>
  <c r="AC248" i="64" s="1"/>
  <c r="AA244" i="64"/>
  <c r="I244" i="64"/>
  <c r="AC244" i="64" s="1"/>
  <c r="AA240" i="64"/>
  <c r="I240" i="64"/>
  <c r="AC240" i="64" s="1"/>
  <c r="AA236" i="64"/>
  <c r="I236" i="64"/>
  <c r="AC236" i="64" s="1"/>
  <c r="AA232" i="64"/>
  <c r="I232" i="64"/>
  <c r="AC232" i="64" s="1"/>
  <c r="AA228" i="64"/>
  <c r="I228" i="64"/>
  <c r="AC228" i="64" s="1"/>
  <c r="AA224" i="64"/>
  <c r="I224" i="64"/>
  <c r="AC224" i="64" s="1"/>
  <c r="AA220" i="64"/>
  <c r="I220" i="64"/>
  <c r="AC220" i="64" s="1"/>
  <c r="AA216" i="64"/>
  <c r="I216" i="64"/>
  <c r="AC216" i="64" s="1"/>
  <c r="AA212" i="64"/>
  <c r="I212" i="64"/>
  <c r="AC212" i="64" s="1"/>
  <c r="AA208" i="64"/>
  <c r="I208" i="64"/>
  <c r="AC208" i="64" s="1"/>
  <c r="AA44" i="64"/>
  <c r="I44" i="64"/>
  <c r="AC44" i="64" s="1"/>
  <c r="I61" i="64"/>
  <c r="AC61" i="64" s="1"/>
  <c r="AA61" i="64"/>
  <c r="I57" i="64"/>
  <c r="AC57" i="64" s="1"/>
  <c r="AA57" i="64"/>
  <c r="I53" i="64"/>
  <c r="AC53" i="64" s="1"/>
  <c r="AA53" i="64"/>
  <c r="I49" i="64"/>
  <c r="AC49" i="64" s="1"/>
  <c r="AA49" i="64"/>
  <c r="I45" i="64"/>
  <c r="AC45" i="64" s="1"/>
  <c r="AA45" i="64"/>
  <c r="I41" i="64"/>
  <c r="AC41" i="64" s="1"/>
  <c r="AA41" i="64"/>
  <c r="I199" i="64"/>
  <c r="AC199" i="64" s="1"/>
  <c r="AA199" i="64"/>
  <c r="I195" i="64"/>
  <c r="AC195" i="64" s="1"/>
  <c r="AA195" i="64"/>
  <c r="I191" i="64"/>
  <c r="AC191" i="64" s="1"/>
  <c r="AA191" i="64"/>
  <c r="I187" i="64"/>
  <c r="AC187" i="64" s="1"/>
  <c r="AA187" i="64"/>
  <c r="I183" i="64"/>
  <c r="AC183" i="64" s="1"/>
  <c r="AA183" i="64"/>
  <c r="I179" i="64"/>
  <c r="AC179" i="64" s="1"/>
  <c r="AA179" i="64"/>
  <c r="I175" i="64"/>
  <c r="AC175" i="64" s="1"/>
  <c r="AA175" i="64"/>
  <c r="I171" i="64"/>
  <c r="AC171" i="64" s="1"/>
  <c r="AA171" i="64"/>
  <c r="I167" i="64"/>
  <c r="AC167" i="64" s="1"/>
  <c r="AA167" i="64"/>
  <c r="I163" i="64"/>
  <c r="AC163" i="64" s="1"/>
  <c r="AA163" i="64"/>
  <c r="I159" i="64"/>
  <c r="AC159" i="64" s="1"/>
  <c r="AA159" i="64"/>
  <c r="I155" i="64"/>
  <c r="AC155" i="64" s="1"/>
  <c r="AA155" i="64"/>
  <c r="I151" i="64"/>
  <c r="AC151" i="64" s="1"/>
  <c r="AA151" i="64"/>
  <c r="I139" i="64"/>
  <c r="AC139" i="64" s="1"/>
  <c r="AA139" i="64"/>
  <c r="I135" i="64"/>
  <c r="AC135" i="64" s="1"/>
  <c r="AA135" i="64"/>
  <c r="I131" i="64"/>
  <c r="AC131" i="64" s="1"/>
  <c r="AA131" i="64"/>
  <c r="I127" i="64"/>
  <c r="AC127" i="64" s="1"/>
  <c r="AA127" i="64"/>
  <c r="I123" i="64"/>
  <c r="AC123" i="64" s="1"/>
  <c r="AA123" i="64"/>
  <c r="I119" i="64"/>
  <c r="AC119" i="64" s="1"/>
  <c r="AA119" i="64"/>
  <c r="I115" i="64"/>
  <c r="AC115" i="64" s="1"/>
  <c r="AA115" i="64"/>
  <c r="I275" i="64"/>
  <c r="AC275" i="64" s="1"/>
  <c r="AA275" i="64"/>
  <c r="AA271" i="64"/>
  <c r="I271" i="64"/>
  <c r="AC271" i="64" s="1"/>
  <c r="I267" i="64"/>
  <c r="AC267" i="64" s="1"/>
  <c r="AA267" i="64"/>
  <c r="I263" i="64"/>
  <c r="AC263" i="64" s="1"/>
  <c r="AA263" i="64"/>
  <c r="I259" i="64"/>
  <c r="AC259" i="64" s="1"/>
  <c r="AA259" i="64"/>
  <c r="AA255" i="64"/>
  <c r="I255" i="64"/>
  <c r="AC255" i="64" s="1"/>
  <c r="I251" i="64"/>
  <c r="AC251" i="64" s="1"/>
  <c r="AA251" i="64"/>
  <c r="AA247" i="64"/>
  <c r="I247" i="64"/>
  <c r="AC247" i="64" s="1"/>
  <c r="I243" i="64"/>
  <c r="AC243" i="64" s="1"/>
  <c r="AA243" i="64"/>
  <c r="I239" i="64"/>
  <c r="AC239" i="64" s="1"/>
  <c r="AA239" i="64"/>
  <c r="AA235" i="64"/>
  <c r="I235" i="64"/>
  <c r="AC235" i="64" s="1"/>
  <c r="AA231" i="64"/>
  <c r="I231" i="64"/>
  <c r="AC231" i="64" s="1"/>
  <c r="I227" i="64"/>
  <c r="AC227" i="64" s="1"/>
  <c r="AA227" i="64"/>
  <c r="I223" i="64"/>
  <c r="AC223" i="64" s="1"/>
  <c r="AA223" i="64"/>
  <c r="AA219" i="64"/>
  <c r="I219" i="64"/>
  <c r="AC219" i="64" s="1"/>
  <c r="I215" i="64"/>
  <c r="AC215" i="64" s="1"/>
  <c r="AA215" i="64"/>
  <c r="I211" i="64"/>
  <c r="AC211" i="64" s="1"/>
  <c r="AA211" i="64"/>
  <c r="AA207" i="64"/>
  <c r="I207" i="64"/>
  <c r="AC207" i="64" s="1"/>
  <c r="AA56" i="64"/>
  <c r="I56" i="64"/>
  <c r="AC56" i="64" s="1"/>
  <c r="I198" i="64"/>
  <c r="AC198" i="64" s="1"/>
  <c r="AA198" i="64"/>
  <c r="I194" i="64"/>
  <c r="AC194" i="64" s="1"/>
  <c r="AA194" i="64"/>
  <c r="I190" i="64"/>
  <c r="AC190" i="64" s="1"/>
  <c r="AA190" i="64"/>
  <c r="I186" i="64"/>
  <c r="AC186" i="64" s="1"/>
  <c r="AA186" i="64"/>
  <c r="I182" i="64"/>
  <c r="AC182" i="64" s="1"/>
  <c r="AA182" i="64"/>
  <c r="I178" i="64"/>
  <c r="AC178" i="64" s="1"/>
  <c r="AA178" i="64"/>
  <c r="I174" i="64"/>
  <c r="AC174" i="64" s="1"/>
  <c r="AA174" i="64"/>
  <c r="I170" i="64"/>
  <c r="AC170" i="64" s="1"/>
  <c r="AA170" i="64"/>
  <c r="I166" i="64"/>
  <c r="AC166" i="64" s="1"/>
  <c r="AA166" i="64"/>
  <c r="I162" i="64"/>
  <c r="AC162" i="64" s="1"/>
  <c r="AA162" i="64"/>
  <c r="I158" i="64"/>
  <c r="AC158" i="64" s="1"/>
  <c r="AA158" i="64"/>
  <c r="I154" i="64"/>
  <c r="AC154" i="64" s="1"/>
  <c r="AA154" i="64"/>
  <c r="I150" i="64"/>
  <c r="AC150" i="64" s="1"/>
  <c r="AA150" i="64"/>
  <c r="I142" i="64"/>
  <c r="AC142" i="64" s="1"/>
  <c r="AA142" i="64"/>
  <c r="AA138" i="64"/>
  <c r="I138" i="64"/>
  <c r="AC138" i="64" s="1"/>
  <c r="AA134" i="64"/>
  <c r="I134" i="64"/>
  <c r="AC134" i="64" s="1"/>
  <c r="I130" i="64"/>
  <c r="AC130" i="64" s="1"/>
  <c r="AA130" i="64"/>
  <c r="I126" i="64"/>
  <c r="AC126" i="64" s="1"/>
  <c r="AA126" i="64"/>
  <c r="I122" i="64"/>
  <c r="AC122" i="64" s="1"/>
  <c r="AA122" i="64"/>
  <c r="AA118" i="64"/>
  <c r="I118" i="64"/>
  <c r="AC118" i="64" s="1"/>
  <c r="I114" i="64"/>
  <c r="AC114" i="64" s="1"/>
  <c r="AA114" i="64"/>
  <c r="AA278" i="64"/>
  <c r="I278" i="64"/>
  <c r="AC278" i="64" s="1"/>
  <c r="AA274" i="64"/>
  <c r="I274" i="64"/>
  <c r="AC274" i="64" s="1"/>
  <c r="AA270" i="64"/>
  <c r="I270" i="64"/>
  <c r="AC270" i="64" s="1"/>
  <c r="AA266" i="64"/>
  <c r="I266" i="64"/>
  <c r="AC266" i="64" s="1"/>
  <c r="AA262" i="64"/>
  <c r="I262" i="64"/>
  <c r="AC262" i="64" s="1"/>
  <c r="AA258" i="64"/>
  <c r="I258" i="64"/>
  <c r="AC258" i="64" s="1"/>
  <c r="AA254" i="64"/>
  <c r="I254" i="64"/>
  <c r="AC254" i="64" s="1"/>
  <c r="AA250" i="64"/>
  <c r="I250" i="64"/>
  <c r="AC250" i="64" s="1"/>
  <c r="AA246" i="64"/>
  <c r="I246" i="64"/>
  <c r="AC246" i="64" s="1"/>
  <c r="AA242" i="64"/>
  <c r="I242" i="64"/>
  <c r="AC242" i="64" s="1"/>
  <c r="AA238" i="64"/>
  <c r="I238" i="64"/>
  <c r="AC238" i="64" s="1"/>
  <c r="AA234" i="64"/>
  <c r="I234" i="64"/>
  <c r="AC234" i="64" s="1"/>
  <c r="AA230" i="64"/>
  <c r="I230" i="64"/>
  <c r="AC230" i="64" s="1"/>
  <c r="AA226" i="64"/>
  <c r="I226" i="64"/>
  <c r="AC226" i="64" s="1"/>
  <c r="AA222" i="64"/>
  <c r="I222" i="64"/>
  <c r="AC222" i="64" s="1"/>
  <c r="AA218" i="64"/>
  <c r="I218" i="64"/>
  <c r="AC218" i="64" s="1"/>
  <c r="AA214" i="64"/>
  <c r="I214" i="64"/>
  <c r="AC214" i="64" s="1"/>
  <c r="AA210" i="64"/>
  <c r="I210" i="64"/>
  <c r="AC210" i="64" s="1"/>
  <c r="I279" i="64"/>
  <c r="AC279" i="64" s="1"/>
  <c r="AA279" i="64"/>
  <c r="AA60" i="64"/>
  <c r="I60" i="64"/>
  <c r="AC60" i="64" s="1"/>
  <c r="AA48" i="64"/>
  <c r="I48" i="64"/>
  <c r="AC48" i="64" s="1"/>
  <c r="AA40" i="64"/>
  <c r="I40" i="64"/>
  <c r="AC40" i="64" s="1"/>
  <c r="I63" i="64"/>
  <c r="AC63" i="64" s="1"/>
  <c r="AA63" i="64"/>
  <c r="I59" i="64"/>
  <c r="AC59" i="64" s="1"/>
  <c r="AA59" i="64"/>
  <c r="I55" i="64"/>
  <c r="AC55" i="64" s="1"/>
  <c r="AA55" i="64"/>
  <c r="I51" i="64"/>
  <c r="AC51" i="64" s="1"/>
  <c r="AA51" i="64"/>
  <c r="I47" i="64"/>
  <c r="AC47" i="64" s="1"/>
  <c r="AA47" i="64"/>
  <c r="I43" i="64"/>
  <c r="AC43" i="64" s="1"/>
  <c r="AA43" i="64"/>
  <c r="I39" i="64"/>
  <c r="AC39" i="64" s="1"/>
  <c r="AA39" i="64"/>
  <c r="I111" i="64"/>
  <c r="AC111" i="64" s="1"/>
  <c r="AA111" i="64"/>
  <c r="I197" i="64"/>
  <c r="AC197" i="64" s="1"/>
  <c r="AA197" i="64"/>
  <c r="I193" i="64"/>
  <c r="AC193" i="64" s="1"/>
  <c r="AA193" i="64"/>
  <c r="I189" i="64"/>
  <c r="AC189" i="64" s="1"/>
  <c r="AA189" i="64"/>
  <c r="I185" i="64"/>
  <c r="AC185" i="64" s="1"/>
  <c r="AA185" i="64"/>
  <c r="I181" i="64"/>
  <c r="AC181" i="64" s="1"/>
  <c r="AA181" i="64"/>
  <c r="I177" i="64"/>
  <c r="AC177" i="64" s="1"/>
  <c r="AA177" i="64"/>
  <c r="I173" i="64"/>
  <c r="AC173" i="64" s="1"/>
  <c r="AA173" i="64"/>
  <c r="I169" i="64"/>
  <c r="AC169" i="64" s="1"/>
  <c r="AA169" i="64"/>
  <c r="I165" i="64"/>
  <c r="AC165" i="64" s="1"/>
  <c r="AA165" i="64"/>
  <c r="I161" i="64"/>
  <c r="AC161" i="64" s="1"/>
  <c r="AA161" i="64"/>
  <c r="I157" i="64"/>
  <c r="AC157" i="64" s="1"/>
  <c r="AA157" i="64"/>
  <c r="I153" i="64"/>
  <c r="AC153" i="64" s="1"/>
  <c r="AA153" i="64"/>
  <c r="I149" i="64"/>
  <c r="AC149" i="64" s="1"/>
  <c r="AA149" i="64"/>
  <c r="AA141" i="64"/>
  <c r="I141" i="64"/>
  <c r="AC141" i="64" s="1"/>
  <c r="I137" i="64"/>
  <c r="AC137" i="64" s="1"/>
  <c r="AA137" i="64"/>
  <c r="I133" i="64"/>
  <c r="AC133" i="64" s="1"/>
  <c r="AA133" i="64"/>
  <c r="I129" i="64"/>
  <c r="AC129" i="64" s="1"/>
  <c r="AA129" i="64"/>
  <c r="I125" i="64"/>
  <c r="AC125" i="64" s="1"/>
  <c r="AA125" i="64"/>
  <c r="I121" i="64"/>
  <c r="AC121" i="64" s="1"/>
  <c r="AA121" i="64"/>
  <c r="I117" i="64"/>
  <c r="AC117" i="64" s="1"/>
  <c r="AA117" i="64"/>
  <c r="I113" i="64"/>
  <c r="AC113" i="64" s="1"/>
  <c r="AA113" i="64"/>
  <c r="AA277" i="64"/>
  <c r="I277" i="64"/>
  <c r="AC277" i="64" s="1"/>
  <c r="AA273" i="64"/>
  <c r="I273" i="64"/>
  <c r="AC273" i="64" s="1"/>
  <c r="I269" i="64"/>
  <c r="AC269" i="64" s="1"/>
  <c r="AA269" i="64"/>
  <c r="AA265" i="64"/>
  <c r="I265" i="64"/>
  <c r="AC265" i="64" s="1"/>
  <c r="AA261" i="64"/>
  <c r="I261" i="64"/>
  <c r="AC261" i="64" s="1"/>
  <c r="AA257" i="64"/>
  <c r="I257" i="64"/>
  <c r="AC257" i="64" s="1"/>
  <c r="AA253" i="64"/>
  <c r="I253" i="64"/>
  <c r="AC253" i="64" s="1"/>
  <c r="AA249" i="64"/>
  <c r="I249" i="64"/>
  <c r="AC249" i="64" s="1"/>
  <c r="I245" i="64"/>
  <c r="AC245" i="64" s="1"/>
  <c r="AA245" i="64"/>
  <c r="AA241" i="64"/>
  <c r="I241" i="64"/>
  <c r="AC241" i="64" s="1"/>
  <c r="AA237" i="64"/>
  <c r="I237" i="64"/>
  <c r="AC237" i="64" s="1"/>
  <c r="AA233" i="64"/>
  <c r="I233" i="64"/>
  <c r="AC233" i="64" s="1"/>
  <c r="AA229" i="64"/>
  <c r="I229" i="64"/>
  <c r="AC229" i="64" s="1"/>
  <c r="AA225" i="64"/>
  <c r="I225" i="64"/>
  <c r="AC225" i="64" s="1"/>
  <c r="AA221" i="64"/>
  <c r="I221" i="64"/>
  <c r="AC221" i="64" s="1"/>
  <c r="AA217" i="64"/>
  <c r="I217" i="64"/>
  <c r="AC217" i="64" s="1"/>
  <c r="I213" i="64"/>
  <c r="AC213" i="64" s="1"/>
  <c r="AA213" i="64"/>
  <c r="AA209" i="64"/>
  <c r="I209" i="64"/>
  <c r="AC209" i="64" s="1"/>
  <c r="P31" i="40" l="1"/>
  <c r="P44" i="40" s="1"/>
  <c r="L28" i="40"/>
  <c r="B50" i="40"/>
  <c r="C50" i="40"/>
  <c r="D50" i="40"/>
  <c r="E50" i="40"/>
  <c r="F50" i="40"/>
  <c r="G50" i="40"/>
  <c r="H50" i="40"/>
  <c r="I50" i="40"/>
  <c r="J50" i="40"/>
  <c r="K50" i="40"/>
  <c r="L50" i="40"/>
  <c r="M50" i="40"/>
  <c r="C28" i="40"/>
  <c r="D28" i="40"/>
  <c r="E28" i="40"/>
  <c r="F28" i="40"/>
  <c r="G28" i="40"/>
  <c r="H28" i="40"/>
  <c r="I28" i="40"/>
  <c r="J28" i="40"/>
  <c r="K28" i="40"/>
  <c r="M28" i="40"/>
  <c r="B28" i="40"/>
  <c r="A12" i="28" l="1"/>
  <c r="A13" i="29" s="1"/>
  <c r="A54" i="28" l="1"/>
  <c r="A54" i="29" s="1"/>
  <c r="A56" i="28"/>
  <c r="A56" i="29" s="1"/>
  <c r="A55" i="28"/>
  <c r="A55" i="29" s="1"/>
  <c r="A48" i="29"/>
  <c r="A47" i="28"/>
  <c r="A47" i="29" s="1"/>
  <c r="A46" i="28"/>
  <c r="A46" i="29" s="1"/>
  <c r="A45" i="28"/>
  <c r="A45" i="29" s="1"/>
  <c r="A44" i="28"/>
  <c r="A44" i="29" s="1"/>
  <c r="A43" i="28"/>
  <c r="A43" i="29" s="1"/>
  <c r="A42" i="28"/>
  <c r="A42" i="29" s="1"/>
  <c r="A41" i="28"/>
  <c r="A41" i="29" s="1"/>
  <c r="A40" i="28"/>
  <c r="A40" i="29" s="1"/>
  <c r="A39" i="28"/>
  <c r="A39" i="29" s="1"/>
  <c r="A38" i="28"/>
  <c r="A38" i="29" s="1"/>
  <c r="A31" i="28"/>
  <c r="A31" i="29" s="1"/>
  <c r="A30" i="28"/>
  <c r="A30" i="29" s="1"/>
  <c r="A29" i="28"/>
  <c r="A29" i="29" s="1"/>
  <c r="A28" i="28"/>
  <c r="A28" i="29" s="1"/>
  <c r="A27" i="28"/>
  <c r="A27" i="29" s="1"/>
  <c r="A26" i="28"/>
  <c r="A26" i="29" s="1"/>
  <c r="A25" i="28"/>
  <c r="A25" i="29" s="1"/>
  <c r="A24" i="28"/>
  <c r="A24" i="29" s="1"/>
  <c r="A23" i="28"/>
  <c r="A23" i="29" s="1"/>
  <c r="A22" i="28"/>
  <c r="A22" i="29" s="1"/>
  <c r="A21" i="28"/>
  <c r="A21" i="29" s="1"/>
  <c r="A20" i="28"/>
  <c r="A20" i="29" s="1"/>
  <c r="A19" i="28"/>
  <c r="A19" i="29" s="1"/>
  <c r="A18" i="28"/>
  <c r="A18" i="29" s="1"/>
  <c r="A14" i="28"/>
  <c r="A15" i="29" s="1"/>
  <c r="A13" i="28"/>
  <c r="A14" i="29" s="1"/>
  <c r="A11" i="28"/>
  <c r="A12" i="29" s="1"/>
  <c r="E15" i="11" l="1"/>
  <c r="C15" i="11"/>
  <c r="C32" i="11"/>
  <c r="E32" i="11"/>
  <c r="F32" i="11"/>
  <c r="G32" i="11"/>
  <c r="H32" i="11"/>
  <c r="I32" i="11"/>
  <c r="F57" i="11"/>
  <c r="G57" i="11"/>
  <c r="H57" i="11"/>
  <c r="I57" i="11"/>
  <c r="E57" i="11"/>
  <c r="G25" i="26" l="1"/>
  <c r="E25" i="26"/>
  <c r="L15" i="11" l="1"/>
  <c r="M15" i="11"/>
  <c r="O15" i="11"/>
  <c r="P15" i="11"/>
  <c r="R15" i="11"/>
  <c r="R32" i="11" s="1"/>
  <c r="R49" i="11" s="1"/>
  <c r="R60" i="11" s="1"/>
  <c r="S15" i="11"/>
  <c r="S32" i="11" s="1"/>
  <c r="S49" i="11" s="1"/>
  <c r="S60" i="11" s="1"/>
  <c r="U15" i="11"/>
  <c r="V15" i="11"/>
  <c r="L32" i="11"/>
  <c r="D27" i="7"/>
  <c r="E27" i="7"/>
  <c r="F27" i="7"/>
  <c r="G27" i="7"/>
  <c r="H27" i="7"/>
  <c r="I27" i="7"/>
  <c r="J27" i="7"/>
  <c r="K27" i="7"/>
  <c r="L27" i="7"/>
  <c r="M27" i="7"/>
  <c r="N27" i="7"/>
  <c r="C54" i="11"/>
  <c r="C57" i="11" s="1"/>
  <c r="L49" i="11" l="1"/>
  <c r="L60" i="11" s="1"/>
  <c r="P32" i="11"/>
  <c r="P49" i="11" s="1"/>
  <c r="P60" i="11" s="1"/>
  <c r="U32" i="11"/>
  <c r="U49" i="11" s="1"/>
  <c r="U60" i="11" s="1"/>
  <c r="O32" i="11"/>
  <c r="O49" i="11" s="1"/>
  <c r="O60" i="11" s="1"/>
  <c r="M32" i="11"/>
  <c r="M49" i="11" s="1"/>
  <c r="M60" i="11" s="1"/>
  <c r="V32" i="11"/>
  <c r="V49" i="11" s="1"/>
  <c r="V60" i="11" s="1"/>
  <c r="E49" i="11"/>
  <c r="E60" i="11" s="1"/>
  <c r="F49" i="11"/>
  <c r="G49" i="11"/>
  <c r="H49" i="11"/>
  <c r="I49" i="11"/>
  <c r="C49" i="11"/>
  <c r="C60" i="11" s="1"/>
  <c r="V62" i="11" l="1"/>
  <c r="J47" i="11"/>
  <c r="X47" i="11" s="1"/>
  <c r="M47" i="28" s="1"/>
  <c r="AF47" i="28" s="1"/>
  <c r="J48" i="11"/>
  <c r="X48" i="11" s="1"/>
  <c r="M48" i="28" s="1"/>
  <c r="AF48" i="28" s="1"/>
  <c r="J31" i="11"/>
  <c r="X31" i="11" s="1"/>
  <c r="M31" i="28" s="1"/>
  <c r="Y31" i="11"/>
  <c r="N31" i="28" s="1"/>
  <c r="Y48" i="11"/>
  <c r="N48" i="28" s="1"/>
  <c r="Y47" i="11"/>
  <c r="N47" i="28" s="1"/>
  <c r="W31" i="28" l="1"/>
  <c r="X31" i="28"/>
  <c r="U31" i="28"/>
  <c r="S31" i="28"/>
  <c r="Y18" i="11"/>
  <c r="N18" i="28" s="1"/>
  <c r="Y19" i="11"/>
  <c r="N19" i="28" s="1"/>
  <c r="Y20" i="11"/>
  <c r="N20" i="28" s="1"/>
  <c r="Y54" i="11"/>
  <c r="N54" i="28" s="1"/>
  <c r="Y38" i="11"/>
  <c r="N38" i="28" s="1"/>
  <c r="Y39" i="11"/>
  <c r="N39" i="28" s="1"/>
  <c r="Y21" i="11"/>
  <c r="N21" i="28" s="1"/>
  <c r="Y55" i="11"/>
  <c r="N55" i="28" s="1"/>
  <c r="Y40" i="11"/>
  <c r="N40" i="28" s="1"/>
  <c r="Y41" i="11"/>
  <c r="N41" i="28" s="1"/>
  <c r="Y22" i="11"/>
  <c r="N22" i="28" s="1"/>
  <c r="Y11" i="11"/>
  <c r="N11" i="28" s="1"/>
  <c r="Y23" i="11"/>
  <c r="N23" i="28" s="1"/>
  <c r="Y13" i="11"/>
  <c r="N13" i="28" s="1"/>
  <c r="AA13" i="28" s="1"/>
  <c r="Y12" i="11"/>
  <c r="Y56" i="11"/>
  <c r="N56" i="28" s="1"/>
  <c r="Y43" i="11"/>
  <c r="N43" i="28" s="1"/>
  <c r="Y24" i="11"/>
  <c r="N24" i="28" s="1"/>
  <c r="Y44" i="11"/>
  <c r="N44" i="28" s="1"/>
  <c r="Y25" i="11"/>
  <c r="N25" i="28" s="1"/>
  <c r="Y42" i="11"/>
  <c r="N42" i="28" s="1"/>
  <c r="Y45" i="11"/>
  <c r="N45" i="28" s="1"/>
  <c r="Y26" i="11"/>
  <c r="N26" i="28" s="1"/>
  <c r="Y27" i="11"/>
  <c r="N27" i="28" s="1"/>
  <c r="Y28" i="11"/>
  <c r="N28" i="28" s="1"/>
  <c r="Y46" i="11"/>
  <c r="N46" i="28" s="1"/>
  <c r="Y14" i="11"/>
  <c r="N14" i="28" s="1"/>
  <c r="Y29" i="11"/>
  <c r="N29" i="28" s="1"/>
  <c r="Y30" i="11"/>
  <c r="N30" i="28" s="1"/>
  <c r="J18" i="11"/>
  <c r="J19" i="11"/>
  <c r="J20" i="11"/>
  <c r="X20" i="11" s="1"/>
  <c r="M20" i="28" s="1"/>
  <c r="AF20" i="28" s="1"/>
  <c r="J54" i="11"/>
  <c r="J38" i="11"/>
  <c r="X38" i="11" s="1"/>
  <c r="M38" i="28" s="1"/>
  <c r="AF38" i="28" s="1"/>
  <c r="J39" i="11"/>
  <c r="X39" i="11" s="1"/>
  <c r="M39" i="28" s="1"/>
  <c r="AF39" i="28" s="1"/>
  <c r="J21" i="11"/>
  <c r="X21" i="11" s="1"/>
  <c r="M21" i="28" s="1"/>
  <c r="AF21" i="28" s="1"/>
  <c r="J55" i="11"/>
  <c r="X55" i="11" s="1"/>
  <c r="M55" i="28" s="1"/>
  <c r="AF55" i="28" s="1"/>
  <c r="J40" i="11"/>
  <c r="X40" i="11" s="1"/>
  <c r="M40" i="28" s="1"/>
  <c r="AF40" i="28" s="1"/>
  <c r="J41" i="11"/>
  <c r="X41" i="11" s="1"/>
  <c r="M41" i="28" s="1"/>
  <c r="J22" i="11"/>
  <c r="X22" i="11" s="1"/>
  <c r="M22" i="28" s="1"/>
  <c r="AF22" i="28" s="1"/>
  <c r="J11" i="11"/>
  <c r="X11" i="11" s="1"/>
  <c r="M11" i="28" s="1"/>
  <c r="AF11" i="28" s="1"/>
  <c r="J23" i="11"/>
  <c r="X23" i="11" s="1"/>
  <c r="M23" i="28" s="1"/>
  <c r="AF23" i="28" s="1"/>
  <c r="J13" i="11"/>
  <c r="X13" i="11" s="1"/>
  <c r="M13" i="28" s="1"/>
  <c r="AF13" i="28" s="1"/>
  <c r="AI13" i="28" s="1"/>
  <c r="J12" i="11"/>
  <c r="J56" i="11"/>
  <c r="X56" i="11" s="1"/>
  <c r="M56" i="28" s="1"/>
  <c r="J43" i="11"/>
  <c r="X43" i="11" s="1"/>
  <c r="M43" i="28" s="1"/>
  <c r="AF43" i="28" s="1"/>
  <c r="J24" i="11"/>
  <c r="X24" i="11" s="1"/>
  <c r="M24" i="28" s="1"/>
  <c r="AF24" i="28" s="1"/>
  <c r="J44" i="11"/>
  <c r="X44" i="11" s="1"/>
  <c r="M44" i="28" s="1"/>
  <c r="AF44" i="28" s="1"/>
  <c r="J25" i="11"/>
  <c r="X25" i="11" s="1"/>
  <c r="M25" i="28" s="1"/>
  <c r="AF25" i="28" s="1"/>
  <c r="J42" i="11"/>
  <c r="X42" i="11" s="1"/>
  <c r="M42" i="28" s="1"/>
  <c r="J45" i="11"/>
  <c r="X45" i="11" s="1"/>
  <c r="M45" i="28" s="1"/>
  <c r="AF45" i="28" s="1"/>
  <c r="J26" i="11"/>
  <c r="X26" i="11" s="1"/>
  <c r="M26" i="28" s="1"/>
  <c r="AF26" i="28" s="1"/>
  <c r="J27" i="11"/>
  <c r="X27" i="11" s="1"/>
  <c r="M27" i="28" s="1"/>
  <c r="AF27" i="28" s="1"/>
  <c r="J28" i="11"/>
  <c r="X28" i="11" s="1"/>
  <c r="M28" i="28" s="1"/>
  <c r="J46" i="11"/>
  <c r="X46" i="11" s="1"/>
  <c r="M46" i="28" s="1"/>
  <c r="AF46" i="28" s="1"/>
  <c r="J14" i="11"/>
  <c r="X14" i="11" s="1"/>
  <c r="M14" i="28" s="1"/>
  <c r="AF14" i="28" s="1"/>
  <c r="J29" i="11"/>
  <c r="X29" i="11" s="1"/>
  <c r="M29" i="28" s="1"/>
  <c r="J30" i="11"/>
  <c r="X30" i="11" s="1"/>
  <c r="M30" i="28" s="1"/>
  <c r="AF30" i="28" s="1"/>
  <c r="Y59" i="11"/>
  <c r="J59" i="11"/>
  <c r="X59" i="11" s="1"/>
  <c r="D62" i="7"/>
  <c r="E62" i="7"/>
  <c r="F62" i="7"/>
  <c r="G62" i="7"/>
  <c r="H62" i="7"/>
  <c r="I62" i="7"/>
  <c r="J62" i="7"/>
  <c r="K62" i="7"/>
  <c r="L62" i="7"/>
  <c r="M62" i="7"/>
  <c r="N62" i="7"/>
  <c r="C62" i="7"/>
  <c r="D69" i="7"/>
  <c r="E69" i="7"/>
  <c r="F69" i="7"/>
  <c r="G69" i="7"/>
  <c r="H69" i="7"/>
  <c r="I69" i="7"/>
  <c r="J69" i="7"/>
  <c r="K69" i="7"/>
  <c r="L69" i="7"/>
  <c r="M69" i="7"/>
  <c r="N69" i="7"/>
  <c r="C69" i="7"/>
  <c r="D68" i="7"/>
  <c r="E68" i="7"/>
  <c r="F68" i="7"/>
  <c r="G68" i="7"/>
  <c r="H68" i="7"/>
  <c r="I68" i="7"/>
  <c r="J68" i="7"/>
  <c r="K68" i="7"/>
  <c r="L68" i="7"/>
  <c r="M68" i="7"/>
  <c r="N68" i="7"/>
  <c r="C68" i="7"/>
  <c r="D66" i="7"/>
  <c r="E66" i="7"/>
  <c r="F66" i="7"/>
  <c r="G66" i="7"/>
  <c r="H66" i="7"/>
  <c r="I66" i="7"/>
  <c r="J66" i="7"/>
  <c r="K66" i="7"/>
  <c r="L66" i="7"/>
  <c r="M66" i="7"/>
  <c r="N66" i="7"/>
  <c r="C66" i="7"/>
  <c r="D93" i="7"/>
  <c r="E93" i="7"/>
  <c r="F93" i="7"/>
  <c r="G93" i="7"/>
  <c r="H93" i="7"/>
  <c r="I93" i="7"/>
  <c r="J93" i="7"/>
  <c r="K93" i="7"/>
  <c r="L93" i="7"/>
  <c r="M93" i="7"/>
  <c r="N93" i="7"/>
  <c r="C93" i="7"/>
  <c r="D94" i="7"/>
  <c r="E94" i="7"/>
  <c r="F94" i="7"/>
  <c r="G94" i="7"/>
  <c r="H94" i="7"/>
  <c r="I94" i="7"/>
  <c r="J94" i="7"/>
  <c r="K94" i="7"/>
  <c r="L94" i="7"/>
  <c r="M94" i="7"/>
  <c r="N94" i="7"/>
  <c r="C94" i="7"/>
  <c r="D95" i="7"/>
  <c r="E95" i="7"/>
  <c r="F95" i="7"/>
  <c r="G95" i="7"/>
  <c r="H95" i="7"/>
  <c r="I95" i="7"/>
  <c r="J95" i="7"/>
  <c r="K95" i="7"/>
  <c r="L95" i="7"/>
  <c r="M95" i="7"/>
  <c r="N95" i="7"/>
  <c r="C95" i="7"/>
  <c r="C60" i="7"/>
  <c r="D92" i="7"/>
  <c r="E92" i="7"/>
  <c r="F92" i="7"/>
  <c r="G92" i="7"/>
  <c r="H92" i="7"/>
  <c r="I92" i="7"/>
  <c r="J92" i="7"/>
  <c r="K92" i="7"/>
  <c r="L92" i="7"/>
  <c r="M92" i="7"/>
  <c r="N92" i="7"/>
  <c r="C92" i="7"/>
  <c r="D91" i="7"/>
  <c r="E91" i="7"/>
  <c r="F91" i="7"/>
  <c r="G91" i="7"/>
  <c r="H91" i="7"/>
  <c r="I91" i="7"/>
  <c r="J91" i="7"/>
  <c r="K91" i="7"/>
  <c r="L91" i="7"/>
  <c r="M91" i="7"/>
  <c r="N91" i="7"/>
  <c r="C91" i="7"/>
  <c r="D90" i="7"/>
  <c r="E90" i="7"/>
  <c r="F90" i="7"/>
  <c r="G90" i="7"/>
  <c r="H90" i="7"/>
  <c r="I90" i="7"/>
  <c r="J90" i="7"/>
  <c r="K90" i="7"/>
  <c r="L90" i="7"/>
  <c r="M90" i="7"/>
  <c r="N90" i="7"/>
  <c r="C90" i="7"/>
  <c r="D89" i="7"/>
  <c r="E89" i="7"/>
  <c r="F89" i="7"/>
  <c r="G89" i="7"/>
  <c r="H89" i="7"/>
  <c r="I89" i="7"/>
  <c r="J89" i="7"/>
  <c r="K89" i="7"/>
  <c r="L89" i="7"/>
  <c r="M89" i="7"/>
  <c r="N89" i="7"/>
  <c r="C89" i="7"/>
  <c r="D88" i="7"/>
  <c r="E88" i="7"/>
  <c r="F88" i="7"/>
  <c r="G88" i="7"/>
  <c r="H88" i="7"/>
  <c r="I88" i="7"/>
  <c r="J88" i="7"/>
  <c r="K88" i="7"/>
  <c r="L88" i="7"/>
  <c r="M88" i="7"/>
  <c r="N88" i="7"/>
  <c r="C88" i="7"/>
  <c r="D87" i="7"/>
  <c r="E87" i="7"/>
  <c r="F87" i="7"/>
  <c r="G87" i="7"/>
  <c r="H87" i="7"/>
  <c r="I87" i="7"/>
  <c r="J87" i="7"/>
  <c r="K87" i="7"/>
  <c r="L87" i="7"/>
  <c r="M87" i="7"/>
  <c r="N87" i="7"/>
  <c r="C87" i="7"/>
  <c r="D86" i="7"/>
  <c r="E86" i="7"/>
  <c r="F86" i="7"/>
  <c r="G86" i="7"/>
  <c r="H86" i="7"/>
  <c r="I86" i="7"/>
  <c r="J86" i="7"/>
  <c r="K86" i="7"/>
  <c r="L86" i="7"/>
  <c r="M86" i="7"/>
  <c r="N86" i="7"/>
  <c r="C86" i="7"/>
  <c r="D85" i="7"/>
  <c r="E85" i="7"/>
  <c r="F85" i="7"/>
  <c r="G85" i="7"/>
  <c r="H85" i="7"/>
  <c r="I85" i="7"/>
  <c r="J85" i="7"/>
  <c r="K85" i="7"/>
  <c r="L85" i="7"/>
  <c r="M85" i="7"/>
  <c r="N85" i="7"/>
  <c r="C85" i="7"/>
  <c r="D84" i="7"/>
  <c r="E84" i="7"/>
  <c r="F84" i="7"/>
  <c r="G84" i="7"/>
  <c r="H84" i="7"/>
  <c r="I84" i="7"/>
  <c r="J84" i="7"/>
  <c r="K84" i="7"/>
  <c r="L84" i="7"/>
  <c r="M84" i="7"/>
  <c r="N84" i="7"/>
  <c r="C84" i="7"/>
  <c r="D83" i="7"/>
  <c r="E83" i="7"/>
  <c r="F83" i="7"/>
  <c r="G83" i="7"/>
  <c r="H83" i="7"/>
  <c r="I83" i="7"/>
  <c r="J83" i="7"/>
  <c r="K83" i="7"/>
  <c r="L83" i="7"/>
  <c r="M83" i="7"/>
  <c r="N83" i="7"/>
  <c r="C83" i="7"/>
  <c r="D82" i="7"/>
  <c r="E82" i="7"/>
  <c r="F82" i="7"/>
  <c r="G82" i="7"/>
  <c r="H82" i="7"/>
  <c r="I82" i="7"/>
  <c r="J82" i="7"/>
  <c r="K82" i="7"/>
  <c r="L82" i="7"/>
  <c r="M82" i="7"/>
  <c r="N82" i="7"/>
  <c r="C82" i="7"/>
  <c r="D81" i="7"/>
  <c r="E81" i="7"/>
  <c r="F81" i="7"/>
  <c r="G81" i="7"/>
  <c r="H81" i="7"/>
  <c r="I81" i="7"/>
  <c r="J81" i="7"/>
  <c r="K81" i="7"/>
  <c r="L81" i="7"/>
  <c r="M81" i="7"/>
  <c r="N81" i="7"/>
  <c r="C81" i="7"/>
  <c r="D80" i="7"/>
  <c r="E80" i="7"/>
  <c r="F80" i="7"/>
  <c r="G80" i="7"/>
  <c r="H80" i="7"/>
  <c r="I80" i="7"/>
  <c r="J80" i="7"/>
  <c r="K80" i="7"/>
  <c r="L80" i="7"/>
  <c r="M80" i="7"/>
  <c r="N80" i="7"/>
  <c r="C80" i="7"/>
  <c r="D79" i="7"/>
  <c r="E79" i="7"/>
  <c r="F79" i="7"/>
  <c r="G79" i="7"/>
  <c r="H79" i="7"/>
  <c r="I79" i="7"/>
  <c r="J79" i="7"/>
  <c r="K79" i="7"/>
  <c r="L79" i="7"/>
  <c r="M79" i="7"/>
  <c r="N79" i="7"/>
  <c r="C79" i="7"/>
  <c r="D55" i="7"/>
  <c r="E55" i="7"/>
  <c r="F55" i="7"/>
  <c r="G55" i="7"/>
  <c r="H55" i="7"/>
  <c r="I55" i="7"/>
  <c r="J55" i="7"/>
  <c r="K55" i="7"/>
  <c r="L55" i="7"/>
  <c r="M55" i="7"/>
  <c r="N55" i="7"/>
  <c r="C55" i="7"/>
  <c r="D54" i="7"/>
  <c r="E54" i="7"/>
  <c r="F54" i="7"/>
  <c r="G54" i="7"/>
  <c r="H54" i="7"/>
  <c r="I54" i="7"/>
  <c r="J54" i="7"/>
  <c r="K54" i="7"/>
  <c r="L54" i="7"/>
  <c r="M54" i="7"/>
  <c r="N54" i="7"/>
  <c r="C54" i="7"/>
  <c r="D78" i="7"/>
  <c r="E78" i="7"/>
  <c r="F78" i="7"/>
  <c r="G78" i="7"/>
  <c r="H78" i="7"/>
  <c r="I78" i="7"/>
  <c r="J78" i="7"/>
  <c r="K78" i="7"/>
  <c r="L78" i="7"/>
  <c r="M78" i="7"/>
  <c r="N78" i="7"/>
  <c r="C78" i="7"/>
  <c r="D77" i="7"/>
  <c r="E77" i="7"/>
  <c r="F77" i="7"/>
  <c r="G77" i="7"/>
  <c r="H77" i="7"/>
  <c r="I77" i="7"/>
  <c r="J77" i="7"/>
  <c r="K77" i="7"/>
  <c r="L77" i="7"/>
  <c r="M77" i="7"/>
  <c r="N77" i="7"/>
  <c r="C77" i="7"/>
  <c r="D76" i="7"/>
  <c r="E76" i="7"/>
  <c r="F76" i="7"/>
  <c r="G76" i="7"/>
  <c r="H76" i="7"/>
  <c r="I76" i="7"/>
  <c r="J76" i="7"/>
  <c r="K76" i="7"/>
  <c r="L76" i="7"/>
  <c r="M76" i="7"/>
  <c r="N76" i="7"/>
  <c r="C76" i="7"/>
  <c r="D75" i="7"/>
  <c r="E75" i="7"/>
  <c r="F75" i="7"/>
  <c r="G75" i="7"/>
  <c r="H75" i="7"/>
  <c r="I75" i="7"/>
  <c r="J75" i="7"/>
  <c r="K75" i="7"/>
  <c r="L75" i="7"/>
  <c r="M75" i="7"/>
  <c r="N75" i="7"/>
  <c r="C75" i="7"/>
  <c r="D74" i="7"/>
  <c r="E74" i="7"/>
  <c r="F74" i="7"/>
  <c r="G74" i="7"/>
  <c r="H74" i="7"/>
  <c r="I74" i="7"/>
  <c r="J74" i="7"/>
  <c r="K74" i="7"/>
  <c r="L74" i="7"/>
  <c r="M74" i="7"/>
  <c r="N74" i="7"/>
  <c r="C74" i="7"/>
  <c r="D36" i="7"/>
  <c r="E36" i="7"/>
  <c r="F36" i="7"/>
  <c r="G36" i="7"/>
  <c r="H36" i="7"/>
  <c r="I36" i="7"/>
  <c r="J36" i="7"/>
  <c r="K36" i="7"/>
  <c r="L36" i="7"/>
  <c r="M36" i="7"/>
  <c r="N36" i="7"/>
  <c r="C36" i="7"/>
  <c r="Z48" i="28" l="1"/>
  <c r="AD48" i="28" s="1"/>
  <c r="Z31" i="28"/>
  <c r="AE31" i="28" s="1"/>
  <c r="X41" i="28"/>
  <c r="W41" i="28"/>
  <c r="S41" i="28"/>
  <c r="U41" i="28"/>
  <c r="S26" i="28"/>
  <c r="U26" i="28"/>
  <c r="W26" i="28"/>
  <c r="X26" i="28"/>
  <c r="U28" i="28"/>
  <c r="S28" i="28"/>
  <c r="X28" i="28"/>
  <c r="W28" i="28"/>
  <c r="W42" i="28"/>
  <c r="S42" i="28"/>
  <c r="U42" i="28"/>
  <c r="X42" i="28"/>
  <c r="X21" i="28"/>
  <c r="S21" i="28"/>
  <c r="U21" i="28"/>
  <c r="W21" i="28"/>
  <c r="X29" i="28"/>
  <c r="S29" i="28"/>
  <c r="U29" i="28"/>
  <c r="W29" i="28"/>
  <c r="W56" i="28"/>
  <c r="U56" i="28"/>
  <c r="S56" i="28"/>
  <c r="Z47" i="28"/>
  <c r="AD47" i="28" s="1"/>
  <c r="AD43" i="28"/>
  <c r="X12" i="11"/>
  <c r="X15" i="11" s="1"/>
  <c r="N12" i="28"/>
  <c r="O62" i="7"/>
  <c r="C101" i="71" s="1"/>
  <c r="X49" i="11"/>
  <c r="Y15" i="11"/>
  <c r="Y57" i="11"/>
  <c r="X18" i="11"/>
  <c r="M18" i="28" s="1"/>
  <c r="Y49" i="11"/>
  <c r="B28" i="20" s="1"/>
  <c r="L28" i="20" s="1"/>
  <c r="X54" i="11"/>
  <c r="J57" i="11"/>
  <c r="O69" i="7"/>
  <c r="O68" i="7"/>
  <c r="X19" i="11"/>
  <c r="M19" i="28" s="1"/>
  <c r="D53" i="7"/>
  <c r="E53" i="7"/>
  <c r="F53" i="7"/>
  <c r="G53" i="7"/>
  <c r="H53" i="7"/>
  <c r="I53" i="7"/>
  <c r="J53" i="7"/>
  <c r="K53" i="7"/>
  <c r="L53" i="7"/>
  <c r="M53" i="7"/>
  <c r="N53" i="7"/>
  <c r="C53" i="7"/>
  <c r="D47" i="7"/>
  <c r="E47" i="7"/>
  <c r="F47" i="7"/>
  <c r="G47" i="7"/>
  <c r="H47" i="7"/>
  <c r="I47" i="7"/>
  <c r="J47" i="7"/>
  <c r="K47" i="7"/>
  <c r="L47" i="7"/>
  <c r="M47" i="7"/>
  <c r="N47" i="7"/>
  <c r="C47" i="7"/>
  <c r="D73" i="7"/>
  <c r="E73" i="7"/>
  <c r="F73" i="7"/>
  <c r="G73" i="7"/>
  <c r="H73" i="7"/>
  <c r="I73" i="7"/>
  <c r="J73" i="7"/>
  <c r="K73" i="7"/>
  <c r="L73" i="7"/>
  <c r="M73" i="7"/>
  <c r="N73" i="7"/>
  <c r="C73" i="7"/>
  <c r="D72" i="7"/>
  <c r="E72" i="7"/>
  <c r="F72" i="7"/>
  <c r="G72" i="7"/>
  <c r="H72" i="7"/>
  <c r="I72" i="7"/>
  <c r="J72" i="7"/>
  <c r="K72" i="7"/>
  <c r="L72" i="7"/>
  <c r="M72" i="7"/>
  <c r="N72" i="7"/>
  <c r="C72" i="7"/>
  <c r="D71" i="7"/>
  <c r="E71" i="7"/>
  <c r="F71" i="7"/>
  <c r="G71" i="7"/>
  <c r="H71" i="7"/>
  <c r="I71" i="7"/>
  <c r="J71" i="7"/>
  <c r="K71" i="7"/>
  <c r="L71" i="7"/>
  <c r="M71" i="7"/>
  <c r="N71" i="7"/>
  <c r="C71" i="7"/>
  <c r="D70" i="7"/>
  <c r="E70" i="7"/>
  <c r="F70" i="7"/>
  <c r="G70" i="7"/>
  <c r="H70" i="7"/>
  <c r="I70" i="7"/>
  <c r="J70" i="7"/>
  <c r="K70" i="7"/>
  <c r="L70" i="7"/>
  <c r="M70" i="7"/>
  <c r="N70" i="7"/>
  <c r="C70" i="7"/>
  <c r="D67" i="7"/>
  <c r="E67" i="7"/>
  <c r="F67" i="7"/>
  <c r="G67" i="7"/>
  <c r="H67" i="7"/>
  <c r="I67" i="7"/>
  <c r="J67" i="7"/>
  <c r="K67" i="7"/>
  <c r="L67" i="7"/>
  <c r="M67" i="7"/>
  <c r="N67" i="7"/>
  <c r="C67" i="7"/>
  <c r="D64" i="7"/>
  <c r="E64" i="7"/>
  <c r="F64" i="7"/>
  <c r="G64" i="7"/>
  <c r="H64" i="7"/>
  <c r="I64" i="7"/>
  <c r="J64" i="7"/>
  <c r="K64" i="7"/>
  <c r="L64" i="7"/>
  <c r="M64" i="7"/>
  <c r="N64" i="7"/>
  <c r="C64" i="7"/>
  <c r="D63" i="7"/>
  <c r="E63" i="7"/>
  <c r="F63" i="7"/>
  <c r="G63" i="7"/>
  <c r="H63" i="7"/>
  <c r="I63" i="7"/>
  <c r="J63" i="7"/>
  <c r="K63" i="7"/>
  <c r="L63" i="7"/>
  <c r="M63" i="7"/>
  <c r="N63" i="7"/>
  <c r="C63" i="7"/>
  <c r="D65" i="7"/>
  <c r="E65" i="7"/>
  <c r="F65" i="7"/>
  <c r="G65" i="7"/>
  <c r="H65" i="7"/>
  <c r="I65" i="7"/>
  <c r="J65" i="7"/>
  <c r="K65" i="7"/>
  <c r="L65" i="7"/>
  <c r="M65" i="7"/>
  <c r="N65" i="7"/>
  <c r="C65" i="7"/>
  <c r="D61" i="7"/>
  <c r="E61" i="7"/>
  <c r="F61" i="7"/>
  <c r="G61" i="7"/>
  <c r="H61" i="7"/>
  <c r="I61" i="7"/>
  <c r="J61" i="7"/>
  <c r="K61" i="7"/>
  <c r="L61" i="7"/>
  <c r="M61" i="7"/>
  <c r="N61" i="7"/>
  <c r="C61" i="7"/>
  <c r="D60" i="7"/>
  <c r="E60" i="7"/>
  <c r="F60" i="7"/>
  <c r="G60" i="7"/>
  <c r="H60" i="7"/>
  <c r="I60" i="7"/>
  <c r="J60" i="7"/>
  <c r="K60" i="7"/>
  <c r="L60" i="7"/>
  <c r="M60" i="7"/>
  <c r="N60" i="7"/>
  <c r="D59" i="7"/>
  <c r="E59" i="7"/>
  <c r="F59" i="7"/>
  <c r="G59" i="7"/>
  <c r="H59" i="7"/>
  <c r="I59" i="7"/>
  <c r="J59" i="7"/>
  <c r="K59" i="7"/>
  <c r="L59" i="7"/>
  <c r="M59" i="7"/>
  <c r="N59" i="7"/>
  <c r="C59" i="7"/>
  <c r="D58" i="7"/>
  <c r="E58" i="7"/>
  <c r="F58" i="7"/>
  <c r="G58" i="7"/>
  <c r="H58" i="7"/>
  <c r="I58" i="7"/>
  <c r="J58" i="7"/>
  <c r="K58" i="7"/>
  <c r="L58" i="7"/>
  <c r="M58" i="7"/>
  <c r="N58" i="7"/>
  <c r="C58" i="7"/>
  <c r="D57" i="7"/>
  <c r="E57" i="7"/>
  <c r="F57" i="7"/>
  <c r="G57" i="7"/>
  <c r="H57" i="7"/>
  <c r="I57" i="7"/>
  <c r="J57" i="7"/>
  <c r="K57" i="7"/>
  <c r="L57" i="7"/>
  <c r="M57" i="7"/>
  <c r="N57" i="7"/>
  <c r="C57" i="7"/>
  <c r="D56" i="7"/>
  <c r="E56" i="7"/>
  <c r="F56" i="7"/>
  <c r="G56" i="7"/>
  <c r="H56" i="7"/>
  <c r="I56" i="7"/>
  <c r="J56" i="7"/>
  <c r="K56" i="7"/>
  <c r="L56" i="7"/>
  <c r="M56" i="7"/>
  <c r="N56" i="7"/>
  <c r="C56" i="7"/>
  <c r="D52" i="7"/>
  <c r="E52" i="7"/>
  <c r="F52" i="7"/>
  <c r="G52" i="7"/>
  <c r="H52" i="7"/>
  <c r="I52" i="7"/>
  <c r="J52" i="7"/>
  <c r="K52" i="7"/>
  <c r="L52" i="7"/>
  <c r="M52" i="7"/>
  <c r="N52" i="7"/>
  <c r="C52" i="7"/>
  <c r="D51" i="7"/>
  <c r="E51" i="7"/>
  <c r="F51" i="7"/>
  <c r="G51" i="7"/>
  <c r="H51" i="7"/>
  <c r="I51" i="7"/>
  <c r="J51" i="7"/>
  <c r="K51" i="7"/>
  <c r="L51" i="7"/>
  <c r="M51" i="7"/>
  <c r="N51" i="7"/>
  <c r="C51" i="7"/>
  <c r="D50" i="7"/>
  <c r="E50" i="7"/>
  <c r="F50" i="7"/>
  <c r="G50" i="7"/>
  <c r="H50" i="7"/>
  <c r="I50" i="7"/>
  <c r="J50" i="7"/>
  <c r="K50" i="7"/>
  <c r="L50" i="7"/>
  <c r="M50" i="7"/>
  <c r="N50" i="7"/>
  <c r="C50" i="7"/>
  <c r="D49" i="7"/>
  <c r="E49" i="7"/>
  <c r="F49" i="7"/>
  <c r="G49" i="7"/>
  <c r="H49" i="7"/>
  <c r="I49" i="7"/>
  <c r="J49" i="7"/>
  <c r="K49" i="7"/>
  <c r="L49" i="7"/>
  <c r="M49" i="7"/>
  <c r="N49" i="7"/>
  <c r="C49" i="7"/>
  <c r="D48" i="7"/>
  <c r="E48" i="7"/>
  <c r="F48" i="7"/>
  <c r="G48" i="7"/>
  <c r="H48" i="7"/>
  <c r="I48" i="7"/>
  <c r="J48" i="7"/>
  <c r="K48" i="7"/>
  <c r="L48" i="7"/>
  <c r="M48" i="7"/>
  <c r="N48" i="7"/>
  <c r="C48" i="7"/>
  <c r="D46" i="7"/>
  <c r="E46" i="7"/>
  <c r="F46" i="7"/>
  <c r="G46" i="7"/>
  <c r="H46" i="7"/>
  <c r="I46" i="7"/>
  <c r="J46" i="7"/>
  <c r="K46" i="7"/>
  <c r="L46" i="7"/>
  <c r="M46" i="7"/>
  <c r="N46" i="7"/>
  <c r="C46" i="7"/>
  <c r="D45" i="7"/>
  <c r="E45" i="7"/>
  <c r="F45" i="7"/>
  <c r="G45" i="7"/>
  <c r="H45" i="7"/>
  <c r="I45" i="7"/>
  <c r="J45" i="7"/>
  <c r="K45" i="7"/>
  <c r="L45" i="7"/>
  <c r="M45" i="7"/>
  <c r="N45" i="7"/>
  <c r="C45" i="7"/>
  <c r="D44" i="7"/>
  <c r="E44" i="7"/>
  <c r="F44" i="7"/>
  <c r="G44" i="7"/>
  <c r="H44" i="7"/>
  <c r="I44" i="7"/>
  <c r="J44" i="7"/>
  <c r="K44" i="7"/>
  <c r="L44" i="7"/>
  <c r="M44" i="7"/>
  <c r="N44" i="7"/>
  <c r="C44" i="7"/>
  <c r="D43" i="7"/>
  <c r="E43" i="7"/>
  <c r="F43" i="7"/>
  <c r="G43" i="7"/>
  <c r="H43" i="7"/>
  <c r="I43" i="7"/>
  <c r="J43" i="7"/>
  <c r="K43" i="7"/>
  <c r="L43" i="7"/>
  <c r="M43" i="7"/>
  <c r="N43" i="7"/>
  <c r="C43" i="7"/>
  <c r="D42" i="7"/>
  <c r="E42" i="7"/>
  <c r="F42" i="7"/>
  <c r="G42" i="7"/>
  <c r="H42" i="7"/>
  <c r="I42" i="7"/>
  <c r="J42" i="7"/>
  <c r="K42" i="7"/>
  <c r="L42" i="7"/>
  <c r="M42" i="7"/>
  <c r="N42" i="7"/>
  <c r="C42" i="7"/>
  <c r="D41" i="7"/>
  <c r="E41" i="7"/>
  <c r="F41" i="7"/>
  <c r="G41" i="7"/>
  <c r="H41" i="7"/>
  <c r="I41" i="7"/>
  <c r="J41" i="7"/>
  <c r="K41" i="7"/>
  <c r="L41" i="7"/>
  <c r="M41" i="7"/>
  <c r="N41" i="7"/>
  <c r="C41" i="7"/>
  <c r="D40" i="7"/>
  <c r="E40" i="7"/>
  <c r="F40" i="7"/>
  <c r="G40" i="7"/>
  <c r="H40" i="7"/>
  <c r="I40" i="7"/>
  <c r="J40" i="7"/>
  <c r="K40" i="7"/>
  <c r="L40" i="7"/>
  <c r="M40" i="7"/>
  <c r="N40" i="7"/>
  <c r="C40" i="7"/>
  <c r="D39" i="7"/>
  <c r="B9" i="79" s="1"/>
  <c r="E39" i="7"/>
  <c r="B10" i="79" s="1"/>
  <c r="F39" i="7"/>
  <c r="B11" i="79" s="1"/>
  <c r="G39" i="7"/>
  <c r="B12" i="79" s="1"/>
  <c r="H39" i="7"/>
  <c r="B13" i="79" s="1"/>
  <c r="I39" i="7"/>
  <c r="B14" i="79" s="1"/>
  <c r="J39" i="7"/>
  <c r="B15" i="79" s="1"/>
  <c r="K39" i="7"/>
  <c r="B16" i="79" s="1"/>
  <c r="L39" i="7"/>
  <c r="B17" i="79" s="1"/>
  <c r="M39" i="7"/>
  <c r="B18" i="79" s="1"/>
  <c r="N39" i="7"/>
  <c r="B19" i="79" s="1"/>
  <c r="C39" i="7"/>
  <c r="B8" i="79" s="1"/>
  <c r="D38" i="7"/>
  <c r="E38" i="7"/>
  <c r="F38" i="7"/>
  <c r="G38" i="7"/>
  <c r="H38" i="7"/>
  <c r="I38" i="7"/>
  <c r="J38" i="7"/>
  <c r="K38" i="7"/>
  <c r="L38" i="7"/>
  <c r="M38" i="7"/>
  <c r="N38" i="7"/>
  <c r="C38" i="7"/>
  <c r="D37" i="7"/>
  <c r="E37" i="7"/>
  <c r="F37" i="7"/>
  <c r="G37" i="7"/>
  <c r="H37" i="7"/>
  <c r="I37" i="7"/>
  <c r="J37" i="7"/>
  <c r="K37" i="7"/>
  <c r="L37" i="7"/>
  <c r="M37" i="7"/>
  <c r="N37" i="7"/>
  <c r="C37" i="7"/>
  <c r="D35" i="7"/>
  <c r="E35" i="7"/>
  <c r="F35" i="7"/>
  <c r="G35" i="7"/>
  <c r="H35" i="7"/>
  <c r="I35" i="7"/>
  <c r="J35" i="7"/>
  <c r="K35" i="7"/>
  <c r="L35" i="7"/>
  <c r="M35" i="7"/>
  <c r="N35" i="7"/>
  <c r="C35" i="7"/>
  <c r="D34" i="7"/>
  <c r="E34" i="7"/>
  <c r="F34" i="7"/>
  <c r="G34" i="7"/>
  <c r="H34" i="7"/>
  <c r="I34" i="7"/>
  <c r="J34" i="7"/>
  <c r="K34" i="7"/>
  <c r="L34" i="7"/>
  <c r="M34" i="7"/>
  <c r="N34" i="7"/>
  <c r="C34" i="7"/>
  <c r="D96" i="7"/>
  <c r="E96" i="7"/>
  <c r="F96" i="7"/>
  <c r="G96" i="7"/>
  <c r="H96" i="7"/>
  <c r="I96" i="7"/>
  <c r="J96" i="7"/>
  <c r="K96" i="7"/>
  <c r="L96" i="7"/>
  <c r="M96" i="7"/>
  <c r="N96" i="7"/>
  <c r="C96" i="7"/>
  <c r="D105" i="7"/>
  <c r="E105" i="7"/>
  <c r="F105" i="7"/>
  <c r="G105" i="7"/>
  <c r="H105" i="7"/>
  <c r="I105" i="7"/>
  <c r="J105" i="7"/>
  <c r="K105" i="7"/>
  <c r="L105" i="7"/>
  <c r="M105" i="7"/>
  <c r="N105" i="7"/>
  <c r="C105" i="7"/>
  <c r="D104" i="7"/>
  <c r="E104" i="7"/>
  <c r="F104" i="7"/>
  <c r="G104" i="7"/>
  <c r="H104" i="7"/>
  <c r="I104" i="7"/>
  <c r="J104" i="7"/>
  <c r="K104" i="7"/>
  <c r="L104" i="7"/>
  <c r="M104" i="7"/>
  <c r="N104" i="7"/>
  <c r="C104" i="7"/>
  <c r="O54" i="40"/>
  <c r="O55" i="40"/>
  <c r="O56" i="40"/>
  <c r="O57" i="40"/>
  <c r="O58" i="40"/>
  <c r="O59" i="40"/>
  <c r="O60" i="40"/>
  <c r="O61" i="40"/>
  <c r="O62" i="40"/>
  <c r="O63" i="40"/>
  <c r="O64" i="40"/>
  <c r="O65" i="40"/>
  <c r="O66" i="40"/>
  <c r="O67" i="40"/>
  <c r="O68" i="40"/>
  <c r="O69" i="40"/>
  <c r="O70" i="40"/>
  <c r="O71" i="40"/>
  <c r="O72" i="40"/>
  <c r="O73" i="40"/>
  <c r="O74" i="40"/>
  <c r="O75" i="40"/>
  <c r="O76" i="40"/>
  <c r="G23" i="95" s="1"/>
  <c r="O77" i="40"/>
  <c r="O78" i="40"/>
  <c r="O79" i="40"/>
  <c r="O80" i="40"/>
  <c r="O81" i="40"/>
  <c r="O82" i="40"/>
  <c r="C43" i="18" s="1"/>
  <c r="C44" i="18" s="1"/>
  <c r="O83" i="40"/>
  <c r="O84" i="40"/>
  <c r="O85" i="40"/>
  <c r="O86" i="40"/>
  <c r="O87" i="40"/>
  <c r="O88" i="40"/>
  <c r="O89" i="40"/>
  <c r="O90" i="40"/>
  <c r="O91" i="40"/>
  <c r="O92" i="40"/>
  <c r="O93" i="40"/>
  <c r="O94" i="40"/>
  <c r="O95" i="40"/>
  <c r="O96" i="40"/>
  <c r="O97" i="40"/>
  <c r="O98" i="40"/>
  <c r="O99" i="40"/>
  <c r="O100" i="40"/>
  <c r="O101" i="40"/>
  <c r="O102" i="40"/>
  <c r="O103" i="40"/>
  <c r="O104" i="40"/>
  <c r="G22" i="95" s="1"/>
  <c r="G24" i="95" s="1"/>
  <c r="O105" i="40"/>
  <c r="O106" i="40"/>
  <c r="O107" i="40"/>
  <c r="O108" i="40"/>
  <c r="O109" i="40"/>
  <c r="O110" i="40"/>
  <c r="O111" i="40"/>
  <c r="O112" i="40"/>
  <c r="O113" i="40"/>
  <c r="O114" i="40"/>
  <c r="O115" i="40"/>
  <c r="O116" i="40"/>
  <c r="O117" i="40"/>
  <c r="O118" i="40"/>
  <c r="O119" i="40"/>
  <c r="O120" i="40"/>
  <c r="C27" i="7" s="1"/>
  <c r="O121" i="40"/>
  <c r="C34" i="18" s="1"/>
  <c r="C35" i="18" s="1"/>
  <c r="O122" i="40"/>
  <c r="O123" i="40"/>
  <c r="C47" i="18" s="1"/>
  <c r="C48" i="18" s="1"/>
  <c r="O124" i="40"/>
  <c r="O125" i="40"/>
  <c r="O126" i="40"/>
  <c r="O127" i="40"/>
  <c r="O128" i="40"/>
  <c r="O129" i="40"/>
  <c r="O130" i="40"/>
  <c r="O131" i="40"/>
  <c r="O132" i="40"/>
  <c r="O133" i="40"/>
  <c r="O47" i="40"/>
  <c r="O48" i="40"/>
  <c r="O53" i="40"/>
  <c r="O6" i="40"/>
  <c r="O7" i="40"/>
  <c r="O8" i="40"/>
  <c r="O9" i="40"/>
  <c r="O10" i="40"/>
  <c r="O11" i="40"/>
  <c r="O12" i="40"/>
  <c r="O13" i="40"/>
  <c r="O14" i="40"/>
  <c r="O15" i="40"/>
  <c r="O16" i="40"/>
  <c r="O17" i="40"/>
  <c r="O18" i="40"/>
  <c r="O19" i="40"/>
  <c r="O20" i="40"/>
  <c r="O21" i="40"/>
  <c r="O22" i="40"/>
  <c r="O23" i="40"/>
  <c r="O24" i="40"/>
  <c r="O25" i="40"/>
  <c r="O26" i="40"/>
  <c r="O5" i="40"/>
  <c r="AA48" i="28" l="1"/>
  <c r="AB48" i="28"/>
  <c r="C50" i="18"/>
  <c r="N33" i="16" s="1"/>
  <c r="AE48" i="28"/>
  <c r="AF36" i="28"/>
  <c r="Z55" i="28"/>
  <c r="Z56" i="28"/>
  <c r="Z25" i="28"/>
  <c r="AE25" i="28" s="1"/>
  <c r="Z44" i="28"/>
  <c r="AD44" i="28" s="1"/>
  <c r="Z24" i="28"/>
  <c r="AE24" i="28" s="1"/>
  <c r="Z45" i="28"/>
  <c r="AD45" i="28" s="1"/>
  <c r="Z46" i="28"/>
  <c r="AD46" i="28" s="1"/>
  <c r="D32" i="71"/>
  <c r="U18" i="28"/>
  <c r="W18" i="28"/>
  <c r="S18" i="28"/>
  <c r="X18" i="28"/>
  <c r="Z27" i="28"/>
  <c r="AE27" i="28" s="1"/>
  <c r="Z40" i="28"/>
  <c r="AD40" i="28" s="1"/>
  <c r="Z23" i="28"/>
  <c r="AE23" i="28" s="1"/>
  <c r="Z39" i="28"/>
  <c r="AD39" i="28" s="1"/>
  <c r="Z41" i="28"/>
  <c r="AD41" i="28" s="1"/>
  <c r="W19" i="28"/>
  <c r="X19" i="28"/>
  <c r="U19" i="28"/>
  <c r="S19" i="28"/>
  <c r="Z29" i="28"/>
  <c r="AA29" i="28" s="1"/>
  <c r="Z21" i="28"/>
  <c r="AE21" i="28" s="1"/>
  <c r="Z38" i="28"/>
  <c r="Z42" i="28"/>
  <c r="AD42" i="28" s="1"/>
  <c r="Z28" i="28"/>
  <c r="AE28" i="28" s="1"/>
  <c r="Z20" i="28"/>
  <c r="D75" i="29"/>
  <c r="Z30" i="28"/>
  <c r="AE30" i="28" s="1"/>
  <c r="Z26" i="28"/>
  <c r="AE26" i="28" s="1"/>
  <c r="Z22" i="28"/>
  <c r="AE22" i="28" s="1"/>
  <c r="Z14" i="28"/>
  <c r="Z15" i="28" s="1"/>
  <c r="B29" i="20"/>
  <c r="L29" i="20" s="1"/>
  <c r="N36" i="28"/>
  <c r="AA12" i="28"/>
  <c r="AA47" i="28"/>
  <c r="AB47" i="28"/>
  <c r="AE47" i="28"/>
  <c r="AC47" i="28"/>
  <c r="AE43" i="28"/>
  <c r="AB43" i="28"/>
  <c r="AA43" i="28"/>
  <c r="AB31" i="28"/>
  <c r="AC31" i="28"/>
  <c r="AA31" i="28"/>
  <c r="N15" i="28"/>
  <c r="B31" i="20"/>
  <c r="L31" i="20" s="1"/>
  <c r="X57" i="11"/>
  <c r="M54" i="28"/>
  <c r="AF54" i="28" s="1"/>
  <c r="M12" i="28"/>
  <c r="AF12" i="28" s="1"/>
  <c r="Q62" i="7"/>
  <c r="O50" i="40"/>
  <c r="O28" i="40"/>
  <c r="C66" i="71"/>
  <c r="Q68" i="7"/>
  <c r="C67" i="71"/>
  <c r="Q69" i="7"/>
  <c r="O53" i="7"/>
  <c r="O63" i="7"/>
  <c r="O67" i="7"/>
  <c r="O65" i="7"/>
  <c r="O64" i="7"/>
  <c r="O61" i="7"/>
  <c r="Q61" i="7" s="1"/>
  <c r="O35" i="7"/>
  <c r="P34" i="16" s="1"/>
  <c r="F8" i="94"/>
  <c r="F9" i="94" s="1"/>
  <c r="F10" i="94" s="1"/>
  <c r="F11" i="94" s="1"/>
  <c r="F12" i="94" s="1"/>
  <c r="F13" i="94" s="1"/>
  <c r="F14" i="94" s="1"/>
  <c r="F15" i="94" s="1"/>
  <c r="F16" i="94" s="1"/>
  <c r="F17" i="94" s="1"/>
  <c r="F18" i="94" s="1"/>
  <c r="F19" i="94" s="1"/>
  <c r="F20" i="94" s="1"/>
  <c r="F21" i="94" s="1"/>
  <c r="F22" i="94" s="1"/>
  <c r="F23" i="94" s="1"/>
  <c r="F24" i="94" s="1"/>
  <c r="F25" i="94" s="1"/>
  <c r="F26" i="94" s="1"/>
  <c r="F27" i="94" s="1"/>
  <c r="F28" i="94" s="1"/>
  <c r="F29" i="94" s="1"/>
  <c r="F30" i="94" s="1"/>
  <c r="F31" i="94" s="1"/>
  <c r="F32" i="94" s="1"/>
  <c r="F33" i="94" s="1"/>
  <c r="F34" i="94" s="1"/>
  <c r="F35" i="94" s="1"/>
  <c r="F36" i="94" s="1"/>
  <c r="F37" i="94" s="1"/>
  <c r="F38" i="94" s="1"/>
  <c r="F39" i="94" s="1"/>
  <c r="F40" i="94" s="1"/>
  <c r="F41" i="94" s="1"/>
  <c r="F42" i="94" s="1"/>
  <c r="F43" i="94" s="1"/>
  <c r="F44" i="94" s="1"/>
  <c r="F45" i="94" s="1"/>
  <c r="F46" i="94" s="1"/>
  <c r="F47" i="94" s="1"/>
  <c r="F48" i="94" s="1"/>
  <c r="F49" i="94" s="1"/>
  <c r="I27" i="94"/>
  <c r="J38" i="94"/>
  <c r="K38" i="94" s="1"/>
  <c r="Z68" i="94" s="1"/>
  <c r="J43" i="94"/>
  <c r="J44" i="94"/>
  <c r="J45" i="94"/>
  <c r="U56" i="94"/>
  <c r="V19" i="94" s="1"/>
  <c r="U57" i="94"/>
  <c r="S59" i="94"/>
  <c r="AB27" i="28" l="1"/>
  <c r="AI47" i="28"/>
  <c r="Z59" i="28"/>
  <c r="AD38" i="28"/>
  <c r="AD52" i="28" s="1"/>
  <c r="Z52" i="28"/>
  <c r="AC29" i="28"/>
  <c r="AA28" i="28"/>
  <c r="AI12" i="28"/>
  <c r="AF15" i="28"/>
  <c r="D35" i="71"/>
  <c r="D33" i="71"/>
  <c r="AD22" i="28"/>
  <c r="AB21" i="28"/>
  <c r="AB29" i="28"/>
  <c r="AE29" i="28"/>
  <c r="AI31" i="28"/>
  <c r="AD20" i="28"/>
  <c r="AE20" i="28"/>
  <c r="AC26" i="28"/>
  <c r="AD30" i="28"/>
  <c r="AD14" i="28"/>
  <c r="AD15" i="28" s="1"/>
  <c r="AE14" i="28"/>
  <c r="Z18" i="28"/>
  <c r="Z19" i="28"/>
  <c r="AE19" i="28" s="1"/>
  <c r="AA23" i="28"/>
  <c r="AC28" i="28"/>
  <c r="AE46" i="28"/>
  <c r="AA44" i="28"/>
  <c r="AB23" i="28"/>
  <c r="AB28" i="28"/>
  <c r="AB25" i="28"/>
  <c r="AC21" i="28"/>
  <c r="AE44" i="28"/>
  <c r="AA30" i="28"/>
  <c r="AB30" i="28"/>
  <c r="AB44" i="28"/>
  <c r="AA25" i="28"/>
  <c r="AA14" i="28"/>
  <c r="AB14" i="28"/>
  <c r="AC25" i="28"/>
  <c r="AC14" i="28"/>
  <c r="AA27" i="28"/>
  <c r="AA24" i="28"/>
  <c r="AC27" i="28"/>
  <c r="AI27" i="28" s="1"/>
  <c r="AB26" i="28"/>
  <c r="AA46" i="28"/>
  <c r="AB22" i="28"/>
  <c r="AA26" i="28"/>
  <c r="AC30" i="28"/>
  <c r="AA22" i="28"/>
  <c r="AA21" i="28"/>
  <c r="AB46" i="28"/>
  <c r="AC22" i="28"/>
  <c r="AC24" i="28"/>
  <c r="AC23" i="28"/>
  <c r="AB24" i="28"/>
  <c r="AA55" i="28"/>
  <c r="AD55" i="28"/>
  <c r="AA56" i="28"/>
  <c r="AD56" i="28"/>
  <c r="AA39" i="28"/>
  <c r="AB39" i="28"/>
  <c r="AE39" i="28"/>
  <c r="AA20" i="28"/>
  <c r="AC20" i="28"/>
  <c r="AB20" i="28"/>
  <c r="AA41" i="28"/>
  <c r="AB41" i="28"/>
  <c r="AE41" i="28"/>
  <c r="AA40" i="28"/>
  <c r="AB40" i="28"/>
  <c r="AE40" i="28"/>
  <c r="AA45" i="28"/>
  <c r="AE45" i="28"/>
  <c r="AB45" i="28"/>
  <c r="AA42" i="28"/>
  <c r="AE42" i="28"/>
  <c r="AB42" i="28"/>
  <c r="M36" i="28"/>
  <c r="M15" i="28"/>
  <c r="I23" i="7"/>
  <c r="E21" i="7"/>
  <c r="E20" i="7"/>
  <c r="H19" i="7"/>
  <c r="D18" i="7"/>
  <c r="L18" i="7"/>
  <c r="L17" i="7"/>
  <c r="L16" i="7"/>
  <c r="L14" i="7"/>
  <c r="M15" i="7"/>
  <c r="L13" i="7"/>
  <c r="M23" i="7"/>
  <c r="I21" i="7"/>
  <c r="M20" i="7"/>
  <c r="L19" i="7"/>
  <c r="D17" i="7"/>
  <c r="H16" i="7"/>
  <c r="H14" i="7"/>
  <c r="I15" i="7"/>
  <c r="H13" i="7"/>
  <c r="E23" i="7"/>
  <c r="E22" i="7"/>
  <c r="I22" i="7"/>
  <c r="M22" i="7"/>
  <c r="M21" i="7"/>
  <c r="I20" i="7"/>
  <c r="D19" i="7"/>
  <c r="H18" i="7"/>
  <c r="H17" i="7"/>
  <c r="D16" i="7"/>
  <c r="D14" i="7"/>
  <c r="E15" i="7"/>
  <c r="D13" i="7"/>
  <c r="E19" i="7"/>
  <c r="N23" i="7"/>
  <c r="M19" i="7"/>
  <c r="D12" i="7"/>
  <c r="C14" i="7"/>
  <c r="J14" i="7"/>
  <c r="F12" i="7"/>
  <c r="N17" i="7"/>
  <c r="J18" i="7"/>
  <c r="F19" i="7"/>
  <c r="C21" i="7"/>
  <c r="K22" i="7"/>
  <c r="G23" i="7"/>
  <c r="E13" i="7"/>
  <c r="M14" i="7"/>
  <c r="I12" i="7"/>
  <c r="E16" i="7"/>
  <c r="M18" i="7"/>
  <c r="J20" i="7"/>
  <c r="F21" i="7"/>
  <c r="L12" i="7"/>
  <c r="C15" i="7"/>
  <c r="K14" i="7"/>
  <c r="G12" i="7"/>
  <c r="C17" i="7"/>
  <c r="K18" i="7"/>
  <c r="D20" i="7"/>
  <c r="L22" i="7"/>
  <c r="I19" i="7"/>
  <c r="C19" i="7"/>
  <c r="N13" i="7"/>
  <c r="K15" i="7"/>
  <c r="F14" i="7"/>
  <c r="N16" i="7"/>
  <c r="F18" i="7"/>
  <c r="C20" i="7"/>
  <c r="K21" i="7"/>
  <c r="G22" i="7"/>
  <c r="N15" i="7"/>
  <c r="M17" i="7"/>
  <c r="F20" i="7"/>
  <c r="C13" i="7"/>
  <c r="C16" i="7"/>
  <c r="L21" i="7"/>
  <c r="L23" i="7"/>
  <c r="H12" i="7"/>
  <c r="L15" i="7"/>
  <c r="H23" i="7"/>
  <c r="K19" i="7"/>
  <c r="J23" i="7"/>
  <c r="J13" i="7"/>
  <c r="G15" i="7"/>
  <c r="N12" i="7"/>
  <c r="J16" i="7"/>
  <c r="F17" i="7"/>
  <c r="N19" i="7"/>
  <c r="K20" i="7"/>
  <c r="G21" i="7"/>
  <c r="C23" i="7"/>
  <c r="M13" i="7"/>
  <c r="J15" i="7"/>
  <c r="E14" i="7"/>
  <c r="M16" i="7"/>
  <c r="I17" i="7"/>
  <c r="E18" i="7"/>
  <c r="N21" i="7"/>
  <c r="J22" i="7"/>
  <c r="K13" i="7"/>
  <c r="H15" i="7"/>
  <c r="C12" i="7"/>
  <c r="K16" i="7"/>
  <c r="G17" i="7"/>
  <c r="L20" i="7"/>
  <c r="H21" i="7"/>
  <c r="D22" i="7"/>
  <c r="J21" i="7"/>
  <c r="K12" i="7"/>
  <c r="C18" i="7"/>
  <c r="D21" i="7"/>
  <c r="J17" i="7"/>
  <c r="I14" i="7"/>
  <c r="I18" i="7"/>
  <c r="N22" i="7"/>
  <c r="G14" i="7"/>
  <c r="K17" i="7"/>
  <c r="H22" i="7"/>
  <c r="D23" i="7"/>
  <c r="G19" i="7"/>
  <c r="F23" i="7"/>
  <c r="F13" i="7"/>
  <c r="N14" i="7"/>
  <c r="J12" i="7"/>
  <c r="F16" i="7"/>
  <c r="N18" i="7"/>
  <c r="J19" i="7"/>
  <c r="G20" i="7"/>
  <c r="C22" i="7"/>
  <c r="K23" i="7"/>
  <c r="I13" i="7"/>
  <c r="F15" i="7"/>
  <c r="M12" i="7"/>
  <c r="I16" i="7"/>
  <c r="E17" i="7"/>
  <c r="N20" i="7"/>
  <c r="F22" i="7"/>
  <c r="G13" i="7"/>
  <c r="D15" i="7"/>
  <c r="G16" i="7"/>
  <c r="H20" i="7"/>
  <c r="E12" i="7"/>
  <c r="G18" i="7"/>
  <c r="C102" i="71"/>
  <c r="Q63" i="7"/>
  <c r="Q64" i="7"/>
  <c r="C103" i="71"/>
  <c r="Q53" i="7"/>
  <c r="C55" i="71"/>
  <c r="Q65" i="7"/>
  <c r="C63" i="71"/>
  <c r="C37" i="71"/>
  <c r="Q35" i="7"/>
  <c r="C65" i="71"/>
  <c r="Q67" i="7"/>
  <c r="Y68" i="94"/>
  <c r="V29" i="94"/>
  <c r="I26" i="94"/>
  <c r="V12" i="94"/>
  <c r="V8" i="94"/>
  <c r="V27" i="94"/>
  <c r="V18" i="94"/>
  <c r="V36" i="94"/>
  <c r="V7" i="94"/>
  <c r="V11" i="94"/>
  <c r="V13" i="94"/>
  <c r="V22" i="94"/>
  <c r="V24" i="94"/>
  <c r="V26" i="94"/>
  <c r="V6" i="94"/>
  <c r="V16" i="94"/>
  <c r="V28" i="94"/>
  <c r="V9" i="94"/>
  <c r="V17" i="94"/>
  <c r="V31" i="94"/>
  <c r="V23" i="94"/>
  <c r="V32" i="94"/>
  <c r="V33" i="94"/>
  <c r="V34" i="94"/>
  <c r="V14" i="94"/>
  <c r="V38" i="94"/>
  <c r="V39" i="94"/>
  <c r="V37" i="94"/>
  <c r="V21" i="94"/>
  <c r="Z36" i="28" l="1"/>
  <c r="AD36" i="28"/>
  <c r="AD59" i="28"/>
  <c r="AI28" i="28"/>
  <c r="AI21" i="28"/>
  <c r="AI26" i="28"/>
  <c r="AI29" i="28"/>
  <c r="AI25" i="28"/>
  <c r="AI14" i="28"/>
  <c r="AI22" i="28"/>
  <c r="AI30" i="28"/>
  <c r="AI24" i="28"/>
  <c r="AI20" i="28"/>
  <c r="AI23" i="28"/>
  <c r="AA19" i="28"/>
  <c r="AC19" i="28"/>
  <c r="AB19" i="28"/>
  <c r="O19" i="7"/>
  <c r="Q19" i="7" s="1"/>
  <c r="U19" i="7" s="1"/>
  <c r="O20" i="7"/>
  <c r="O22" i="7"/>
  <c r="O16" i="7"/>
  <c r="C16" i="71" s="1"/>
  <c r="O21" i="7"/>
  <c r="C20" i="71" s="1"/>
  <c r="G20" i="71" s="1"/>
  <c r="J20" i="71" s="1"/>
  <c r="I28" i="94"/>
  <c r="AI19" i="28" l="1"/>
  <c r="AD62" i="28"/>
  <c r="Q22" i="7"/>
  <c r="Q20" i="7"/>
  <c r="C18" i="71"/>
  <c r="G18" i="71" s="1"/>
  <c r="J18" i="71" s="1"/>
  <c r="Q16" i="7"/>
  <c r="S16" i="7" s="1"/>
  <c r="Q21" i="7"/>
  <c r="G31" i="77"/>
  <c r="A59" i="29" l="1"/>
  <c r="A16" i="29"/>
  <c r="R18" i="29"/>
  <c r="R36" i="29" s="1"/>
  <c r="Q16" i="29"/>
  <c r="R12" i="29"/>
  <c r="AH11" i="28" s="1"/>
  <c r="AH15" i="28" s="1"/>
  <c r="S16" i="29"/>
  <c r="AH18" i="28" l="1"/>
  <c r="R16" i="29"/>
  <c r="Q61" i="29" l="1"/>
  <c r="S61" i="29"/>
  <c r="R54" i="29" l="1"/>
  <c r="AH54" i="28" l="1"/>
  <c r="AH59" i="28" s="1"/>
  <c r="R59" i="29"/>
  <c r="AL23" i="29"/>
  <c r="R38" i="29"/>
  <c r="AH38" i="28" l="1"/>
  <c r="AH52" i="28" s="1"/>
  <c r="AI34" i="28"/>
  <c r="R52" i="29"/>
  <c r="N16" i="29"/>
  <c r="D16" i="29"/>
  <c r="AH36" i="28" l="1"/>
  <c r="AI32" i="28"/>
  <c r="AG18" i="28"/>
  <c r="AG36" i="28" s="1"/>
  <c r="AG11" i="28"/>
  <c r="AG15" i="28" s="1"/>
  <c r="D59" i="29"/>
  <c r="N59" i="29"/>
  <c r="D52" i="29"/>
  <c r="O52" i="29"/>
  <c r="AH62" i="28" l="1"/>
  <c r="AG62" i="28"/>
  <c r="AG66" i="28" s="1"/>
  <c r="N61" i="29"/>
  <c r="D61" i="29"/>
  <c r="D67" i="29" s="1"/>
  <c r="R61" i="29"/>
  <c r="G9" i="54"/>
  <c r="O16" i="29"/>
  <c r="O59" i="29"/>
  <c r="AH64" i="28" l="1"/>
  <c r="D68" i="29"/>
  <c r="D69" i="29" s="1"/>
  <c r="D74" i="29" s="1"/>
  <c r="D76" i="29" s="1"/>
  <c r="O61" i="29"/>
  <c r="P16" i="29" l="1"/>
  <c r="AA66" i="64" l="1"/>
  <c r="AC66" i="64"/>
  <c r="AE66" i="64"/>
  <c r="P61" i="29" l="1"/>
  <c r="AC40" i="28"/>
  <c r="AC48" i="28" l="1"/>
  <c r="G25" i="49" l="1"/>
  <c r="R25" i="16" l="1"/>
  <c r="T29" i="16"/>
  <c r="T30" i="16"/>
  <c r="T31" i="16"/>
  <c r="T32" i="16"/>
  <c r="T34" i="16"/>
  <c r="E37" i="71" s="1"/>
  <c r="T35" i="16"/>
  <c r="T36" i="16"/>
  <c r="T37" i="16"/>
  <c r="T38" i="16"/>
  <c r="T39" i="16"/>
  <c r="T40" i="16"/>
  <c r="T41" i="16"/>
  <c r="T44" i="16"/>
  <c r="T45" i="16"/>
  <c r="T46" i="16"/>
  <c r="T47" i="16"/>
  <c r="T48" i="16"/>
  <c r="T49" i="16"/>
  <c r="T50" i="16"/>
  <c r="T52" i="16"/>
  <c r="T53" i="16"/>
  <c r="T54" i="16"/>
  <c r="T55" i="16"/>
  <c r="T56" i="16"/>
  <c r="T57" i="16"/>
  <c r="T59" i="16"/>
  <c r="T61" i="16"/>
  <c r="T63" i="16"/>
  <c r="T64" i="16"/>
  <c r="T70" i="16"/>
  <c r="T73" i="16"/>
  <c r="T75" i="16"/>
  <c r="T76" i="16"/>
  <c r="T77" i="16"/>
  <c r="T82" i="16"/>
  <c r="T85" i="16"/>
  <c r="T88" i="16"/>
  <c r="T90" i="16"/>
  <c r="T28" i="16"/>
  <c r="T15" i="16"/>
  <c r="E14" i="71" s="1"/>
  <c r="T17" i="16"/>
  <c r="E16" i="71" s="1"/>
  <c r="G16" i="71" s="1"/>
  <c r="J16" i="71" s="1"/>
  <c r="T18" i="16"/>
  <c r="E17" i="71" s="1"/>
  <c r="T14" i="16"/>
  <c r="E13" i="71" s="1"/>
  <c r="T13" i="16"/>
  <c r="E12" i="71" s="1"/>
  <c r="P25" i="16"/>
  <c r="P92" i="16" l="1"/>
  <c r="P94" i="16" s="1"/>
  <c r="T80" i="16"/>
  <c r="G23" i="49" l="1"/>
  <c r="G24" i="49"/>
  <c r="G12" i="49" l="1"/>
  <c r="G13" i="49"/>
  <c r="G14" i="49"/>
  <c r="G15" i="49"/>
  <c r="G16" i="49"/>
  <c r="G17" i="49"/>
  <c r="G18" i="49"/>
  <c r="G19" i="49"/>
  <c r="G20" i="49"/>
  <c r="G21" i="49"/>
  <c r="G22" i="49"/>
  <c r="G11" i="49"/>
  <c r="G34" i="49" l="1"/>
  <c r="E34" i="49" s="1"/>
  <c r="F15" i="11"/>
  <c r="F60" i="11" s="1"/>
  <c r="G15" i="11"/>
  <c r="G60" i="11" s="1"/>
  <c r="H15" i="11"/>
  <c r="H60" i="11" s="1"/>
  <c r="I15" i="11"/>
  <c r="I60" i="11" s="1"/>
  <c r="J15" i="11"/>
  <c r="L25" i="16"/>
  <c r="D24" i="20"/>
  <c r="G94" i="71"/>
  <c r="J94" i="71" s="1"/>
  <c r="B21" i="79"/>
  <c r="B25" i="79" s="1"/>
  <c r="A26" i="77"/>
  <c r="L281" i="64"/>
  <c r="L283" i="64" s="1"/>
  <c r="B18" i="63"/>
  <c r="L76" i="64"/>
  <c r="Z8" i="28"/>
  <c r="D23" i="87"/>
  <c r="AA97" i="64"/>
  <c r="Q97" i="64"/>
  <c r="Y32" i="11"/>
  <c r="Y60" i="11" s="1"/>
  <c r="M135" i="40"/>
  <c r="M137" i="40" s="1"/>
  <c r="O17" i="7"/>
  <c r="C17" i="71" s="1"/>
  <c r="G17" i="71" s="1"/>
  <c r="J17" i="71" s="1"/>
  <c r="K13" i="26"/>
  <c r="K21" i="26"/>
  <c r="K12" i="26"/>
  <c r="N97" i="64"/>
  <c r="O97" i="64" s="1"/>
  <c r="Q82" i="64"/>
  <c r="Q83" i="64"/>
  <c r="Q84" i="64"/>
  <c r="Q85" i="64"/>
  <c r="Q86" i="64"/>
  <c r="Q87" i="64"/>
  <c r="Q88" i="64"/>
  <c r="Q89" i="64"/>
  <c r="Q90" i="64"/>
  <c r="Q91" i="64"/>
  <c r="Q92" i="64"/>
  <c r="Q93" i="64"/>
  <c r="Q94" i="64"/>
  <c r="Q95" i="64"/>
  <c r="Q96" i="64"/>
  <c r="Q98" i="64"/>
  <c r="Q99" i="64"/>
  <c r="Q100" i="64"/>
  <c r="Q101" i="64"/>
  <c r="I82" i="64"/>
  <c r="AC82" i="64" s="1"/>
  <c r="I83" i="64"/>
  <c r="AC83" i="64" s="1"/>
  <c r="I84" i="64"/>
  <c r="AC84" i="64" s="1"/>
  <c r="I85" i="64"/>
  <c r="AC85" i="64" s="1"/>
  <c r="I86" i="64"/>
  <c r="AC86" i="64" s="1"/>
  <c r="I87" i="64"/>
  <c r="AC87" i="64" s="1"/>
  <c r="I88" i="64"/>
  <c r="AC88" i="64" s="1"/>
  <c r="I89" i="64"/>
  <c r="AC89" i="64" s="1"/>
  <c r="I90" i="64"/>
  <c r="AC90" i="64" s="1"/>
  <c r="I91" i="64"/>
  <c r="AC91" i="64" s="1"/>
  <c r="I92" i="64"/>
  <c r="AC92" i="64" s="1"/>
  <c r="I93" i="64"/>
  <c r="AC93" i="64" s="1"/>
  <c r="I94" i="64"/>
  <c r="AC94" i="64" s="1"/>
  <c r="I95" i="64"/>
  <c r="AC95" i="64" s="1"/>
  <c r="I96" i="64"/>
  <c r="AC96" i="64" s="1"/>
  <c r="I97" i="64"/>
  <c r="AC97" i="64" s="1"/>
  <c r="I98" i="64"/>
  <c r="AC98" i="64" s="1"/>
  <c r="I99" i="64"/>
  <c r="AC99" i="64" s="1"/>
  <c r="I100" i="64"/>
  <c r="AC100" i="64" s="1"/>
  <c r="I101" i="64"/>
  <c r="AC101" i="64" s="1"/>
  <c r="AE82" i="64"/>
  <c r="AE83" i="64"/>
  <c r="AE84" i="64"/>
  <c r="AE85" i="64"/>
  <c r="AE86" i="64"/>
  <c r="AE87" i="64"/>
  <c r="AE88" i="64"/>
  <c r="AE89" i="64"/>
  <c r="AE90" i="64"/>
  <c r="AE91" i="64"/>
  <c r="AE92" i="64"/>
  <c r="AE93" i="64"/>
  <c r="AE94" i="64"/>
  <c r="AE95" i="64"/>
  <c r="AE96" i="64"/>
  <c r="AE97" i="64"/>
  <c r="AE98" i="64"/>
  <c r="AE99" i="64"/>
  <c r="AE100" i="64"/>
  <c r="AE101" i="64"/>
  <c r="AA82" i="64"/>
  <c r="AA83" i="64"/>
  <c r="AA84" i="64"/>
  <c r="AA85" i="64"/>
  <c r="AA86" i="64"/>
  <c r="AA87" i="64"/>
  <c r="AA88" i="64"/>
  <c r="AA89" i="64"/>
  <c r="AA90" i="64"/>
  <c r="AA91" i="64"/>
  <c r="AA92" i="64"/>
  <c r="AA93" i="64"/>
  <c r="AA94" i="64"/>
  <c r="AA95" i="64"/>
  <c r="AA96" i="64"/>
  <c r="AA98" i="64"/>
  <c r="AA99" i="64"/>
  <c r="AA100" i="64"/>
  <c r="AA101" i="64"/>
  <c r="N82" i="64"/>
  <c r="O82" i="64" s="1"/>
  <c r="N83" i="64"/>
  <c r="O83" i="64" s="1"/>
  <c r="N84" i="64"/>
  <c r="O84" i="64" s="1"/>
  <c r="N85" i="64"/>
  <c r="O85" i="64" s="1"/>
  <c r="N86" i="64"/>
  <c r="O86" i="64" s="1"/>
  <c r="N87" i="64"/>
  <c r="O87" i="64" s="1"/>
  <c r="N88" i="64"/>
  <c r="O88" i="64" s="1"/>
  <c r="N89" i="64"/>
  <c r="O89" i="64" s="1"/>
  <c r="N90" i="64"/>
  <c r="O90" i="64" s="1"/>
  <c r="N91" i="64"/>
  <c r="O91" i="64" s="1"/>
  <c r="N92" i="64"/>
  <c r="O92" i="64" s="1"/>
  <c r="N93" i="64"/>
  <c r="O93" i="64" s="1"/>
  <c r="N94" i="64"/>
  <c r="O94" i="64" s="1"/>
  <c r="N95" i="64"/>
  <c r="O95" i="64" s="1"/>
  <c r="N96" i="64"/>
  <c r="O96" i="64" s="1"/>
  <c r="N98" i="64"/>
  <c r="O98" i="64" s="1"/>
  <c r="N99" i="64"/>
  <c r="O99" i="64" s="1"/>
  <c r="N100" i="64"/>
  <c r="O100" i="64" s="1"/>
  <c r="N101" i="64"/>
  <c r="O101" i="64" s="1"/>
  <c r="N81" i="64"/>
  <c r="F9" i="54"/>
  <c r="AE37" i="64"/>
  <c r="AE38" i="64"/>
  <c r="Q37" i="64"/>
  <c r="Q38" i="64"/>
  <c r="N38" i="64"/>
  <c r="O38" i="64" s="1"/>
  <c r="N37" i="64"/>
  <c r="O37" i="64" s="1"/>
  <c r="I37" i="64"/>
  <c r="AC37" i="64" s="1"/>
  <c r="I38" i="64"/>
  <c r="AC38" i="64" s="1"/>
  <c r="AA38" i="64"/>
  <c r="AA37" i="64"/>
  <c r="AE71" i="64"/>
  <c r="AA71" i="64"/>
  <c r="Q71" i="64"/>
  <c r="N71" i="64"/>
  <c r="O71" i="64" s="1"/>
  <c r="I71" i="64"/>
  <c r="AC71" i="64" s="1"/>
  <c r="AE28" i="64"/>
  <c r="AE29" i="64"/>
  <c r="AE30" i="64"/>
  <c r="AE31" i="64"/>
  <c r="AE32" i="64"/>
  <c r="AE33" i="64"/>
  <c r="AE34" i="64"/>
  <c r="AE35" i="64"/>
  <c r="AE36" i="64"/>
  <c r="N28" i="64"/>
  <c r="O28" i="64" s="1"/>
  <c r="Q28" i="64"/>
  <c r="N29" i="64"/>
  <c r="O29" i="64" s="1"/>
  <c r="Q29" i="64"/>
  <c r="N30" i="64"/>
  <c r="O30" i="64" s="1"/>
  <c r="Q30" i="64"/>
  <c r="N31" i="64"/>
  <c r="O31" i="64" s="1"/>
  <c r="Q31" i="64"/>
  <c r="N32" i="64"/>
  <c r="O32" i="64" s="1"/>
  <c r="Q32" i="64"/>
  <c r="N33" i="64"/>
  <c r="O33" i="64" s="1"/>
  <c r="Q33" i="64"/>
  <c r="N34" i="64"/>
  <c r="O34" i="64" s="1"/>
  <c r="Q34" i="64"/>
  <c r="N35" i="64"/>
  <c r="O35" i="64" s="1"/>
  <c r="Q35" i="64"/>
  <c r="N36" i="64"/>
  <c r="O36" i="64" s="1"/>
  <c r="Q36" i="64"/>
  <c r="AA36" i="64"/>
  <c r="AA35" i="64"/>
  <c r="AA34" i="64"/>
  <c r="AA33" i="64"/>
  <c r="AA32" i="64"/>
  <c r="AA31" i="64"/>
  <c r="AA30" i="64"/>
  <c r="AA29" i="64"/>
  <c r="AA28" i="64"/>
  <c r="I28" i="64"/>
  <c r="AC28" i="64" s="1"/>
  <c r="I29" i="64"/>
  <c r="AC29" i="64" s="1"/>
  <c r="I30" i="64"/>
  <c r="AC30" i="64" s="1"/>
  <c r="I31" i="64"/>
  <c r="AC31" i="64" s="1"/>
  <c r="I32" i="64"/>
  <c r="AC32" i="64" s="1"/>
  <c r="I33" i="64"/>
  <c r="AC33" i="64" s="1"/>
  <c r="I34" i="64"/>
  <c r="AC34" i="64" s="1"/>
  <c r="I35" i="64"/>
  <c r="AC35" i="64" s="1"/>
  <c r="I36" i="64"/>
  <c r="AC36" i="64" s="1"/>
  <c r="I27" i="64"/>
  <c r="AC27" i="64" s="1"/>
  <c r="B5" i="7"/>
  <c r="A5" i="20"/>
  <c r="A5" i="21"/>
  <c r="A5" i="17"/>
  <c r="A5" i="19"/>
  <c r="A5" i="16"/>
  <c r="A5" i="18"/>
  <c r="K95" i="71"/>
  <c r="B5" i="71"/>
  <c r="B135" i="40"/>
  <c r="L15" i="17"/>
  <c r="L17" i="17"/>
  <c r="L19" i="17"/>
  <c r="L23" i="17"/>
  <c r="L33" i="17"/>
  <c r="L35" i="17"/>
  <c r="L37" i="17"/>
  <c r="L38" i="17"/>
  <c r="L40" i="17"/>
  <c r="L42" i="17"/>
  <c r="L43" i="17"/>
  <c r="L46" i="17"/>
  <c r="L47" i="17"/>
  <c r="L50" i="17"/>
  <c r="L51" i="17"/>
  <c r="L52" i="17"/>
  <c r="L53" i="17"/>
  <c r="L54" i="17"/>
  <c r="L56" i="17"/>
  <c r="L57" i="17"/>
  <c r="L59" i="17"/>
  <c r="L60" i="17"/>
  <c r="L61" i="17"/>
  <c r="L62" i="17"/>
  <c r="L63" i="17"/>
  <c r="L64" i="17"/>
  <c r="L65" i="17"/>
  <c r="L66" i="17"/>
  <c r="L67" i="17"/>
  <c r="L68" i="17"/>
  <c r="L69" i="17"/>
  <c r="L70" i="17"/>
  <c r="L71" i="17"/>
  <c r="L72" i="17"/>
  <c r="L73" i="17"/>
  <c r="L75" i="17"/>
  <c r="L76" i="17"/>
  <c r="L77" i="17"/>
  <c r="L78" i="17"/>
  <c r="L79" i="17"/>
  <c r="L80" i="17"/>
  <c r="L81" i="17"/>
  <c r="L82" i="17"/>
  <c r="L83" i="17"/>
  <c r="L84" i="17"/>
  <c r="L85" i="17"/>
  <c r="L86" i="17"/>
  <c r="L87" i="17"/>
  <c r="L88" i="17"/>
  <c r="L89" i="17"/>
  <c r="L90" i="17"/>
  <c r="L91" i="17"/>
  <c r="A1" i="66"/>
  <c r="A6" i="20"/>
  <c r="A1" i="20"/>
  <c r="A1" i="16"/>
  <c r="A27" i="16"/>
  <c r="A12" i="16"/>
  <c r="A12" i="17" s="1"/>
  <c r="A1" i="63"/>
  <c r="B1" i="64" s="1"/>
  <c r="A1" i="18"/>
  <c r="I25" i="26"/>
  <c r="C25" i="26"/>
  <c r="I17" i="64"/>
  <c r="AC17" i="64" s="1"/>
  <c r="N17" i="64"/>
  <c r="Q17" i="64"/>
  <c r="AA17" i="64"/>
  <c r="AE17" i="64"/>
  <c r="I18" i="64"/>
  <c r="AC18" i="64" s="1"/>
  <c r="N18" i="64"/>
  <c r="O18" i="64" s="1"/>
  <c r="Q18" i="64"/>
  <c r="AA18" i="64"/>
  <c r="AE18" i="64"/>
  <c r="I19" i="64"/>
  <c r="AC19" i="64" s="1"/>
  <c r="N19" i="64"/>
  <c r="O19" i="64" s="1"/>
  <c r="Q19" i="64"/>
  <c r="AA19" i="64"/>
  <c r="AE19" i="64"/>
  <c r="I20" i="64"/>
  <c r="AC20" i="64" s="1"/>
  <c r="N20" i="64"/>
  <c r="O20" i="64" s="1"/>
  <c r="Q20" i="64"/>
  <c r="AA20" i="64"/>
  <c r="AE20" i="64"/>
  <c r="I21" i="64"/>
  <c r="AC21" i="64" s="1"/>
  <c r="N21" i="64"/>
  <c r="O21" i="64" s="1"/>
  <c r="Q21" i="64"/>
  <c r="AA21" i="64"/>
  <c r="AE21" i="64"/>
  <c r="I22" i="64"/>
  <c r="AC22" i="64" s="1"/>
  <c r="N22" i="64"/>
  <c r="O22" i="64" s="1"/>
  <c r="Q22" i="64"/>
  <c r="AA22" i="64"/>
  <c r="AE22" i="64"/>
  <c r="I23" i="64"/>
  <c r="AC23" i="64" s="1"/>
  <c r="N23" i="64"/>
  <c r="O23" i="64" s="1"/>
  <c r="Q23" i="64"/>
  <c r="AA23" i="64"/>
  <c r="AE23" i="64"/>
  <c r="I24" i="64"/>
  <c r="AC24" i="64" s="1"/>
  <c r="N24" i="64"/>
  <c r="O24" i="64" s="1"/>
  <c r="Q24" i="64"/>
  <c r="AA24" i="64"/>
  <c r="AE24" i="64"/>
  <c r="I25" i="64"/>
  <c r="AC25" i="64" s="1"/>
  <c r="N25" i="64"/>
  <c r="O25" i="64" s="1"/>
  <c r="Q25" i="64"/>
  <c r="AA25" i="64"/>
  <c r="AE25" i="64"/>
  <c r="I26" i="64"/>
  <c r="AC26" i="64" s="1"/>
  <c r="N26" i="64"/>
  <c r="O26" i="64" s="1"/>
  <c r="Q26" i="64"/>
  <c r="AA26" i="64"/>
  <c r="AE26" i="64"/>
  <c r="N27" i="64"/>
  <c r="O27" i="64" s="1"/>
  <c r="Q27" i="64"/>
  <c r="AA27" i="64"/>
  <c r="AE27" i="64"/>
  <c r="I72" i="64"/>
  <c r="AC72" i="64" s="1"/>
  <c r="N72" i="64"/>
  <c r="O72" i="64" s="1"/>
  <c r="Q72" i="64"/>
  <c r="AA72" i="64"/>
  <c r="AE72" i="64"/>
  <c r="I73" i="64"/>
  <c r="AC73" i="64" s="1"/>
  <c r="N73" i="64"/>
  <c r="O73" i="64" s="1"/>
  <c r="Q73" i="64"/>
  <c r="AA73" i="64"/>
  <c r="AE73" i="64"/>
  <c r="I74" i="64"/>
  <c r="AC74" i="64" s="1"/>
  <c r="N74" i="64"/>
  <c r="O74" i="64" s="1"/>
  <c r="Q74" i="64"/>
  <c r="AA74" i="64"/>
  <c r="AE74" i="64"/>
  <c r="I81" i="64"/>
  <c r="AC81" i="64" s="1"/>
  <c r="Q81" i="64"/>
  <c r="AA81" i="64"/>
  <c r="AE81" i="64"/>
  <c r="I143" i="64"/>
  <c r="AC143" i="64" s="1"/>
  <c r="N143" i="64"/>
  <c r="Q143" i="64"/>
  <c r="AA143" i="64"/>
  <c r="AE143" i="64"/>
  <c r="AC144" i="64"/>
  <c r="N144" i="64"/>
  <c r="O144" i="64" s="1"/>
  <c r="Q144" i="64"/>
  <c r="AA144" i="64"/>
  <c r="AE144" i="64"/>
  <c r="AC145" i="64"/>
  <c r="N145" i="64"/>
  <c r="O145" i="64" s="1"/>
  <c r="Q145" i="64"/>
  <c r="AA145" i="64"/>
  <c r="AE145" i="64"/>
  <c r="AC146" i="64"/>
  <c r="N146" i="64"/>
  <c r="O146" i="64" s="1"/>
  <c r="Q146" i="64"/>
  <c r="AA146" i="64"/>
  <c r="AE146" i="64"/>
  <c r="AC147" i="64"/>
  <c r="N147" i="64"/>
  <c r="O147" i="64" s="1"/>
  <c r="Q147" i="64"/>
  <c r="AA147" i="64"/>
  <c r="AE147" i="64"/>
  <c r="AC200" i="64"/>
  <c r="AA200" i="64"/>
  <c r="AE200" i="64"/>
  <c r="I206" i="64"/>
  <c r="AC206" i="64" s="1"/>
  <c r="N206" i="64"/>
  <c r="O206" i="64" s="1"/>
  <c r="Q206" i="64"/>
  <c r="AA206" i="64"/>
  <c r="AE206" i="64"/>
  <c r="O80" i="7"/>
  <c r="C78" i="71" s="1"/>
  <c r="O34" i="7"/>
  <c r="J32" i="11"/>
  <c r="J25" i="16"/>
  <c r="C135" i="40"/>
  <c r="D135" i="40"/>
  <c r="E135" i="40"/>
  <c r="F135" i="40"/>
  <c r="G135" i="40"/>
  <c r="H135" i="40"/>
  <c r="I135" i="40"/>
  <c r="J135" i="40"/>
  <c r="K135" i="40"/>
  <c r="L135" i="40"/>
  <c r="A1" i="54"/>
  <c r="A1" i="49" s="1"/>
  <c r="A1" i="79" s="1"/>
  <c r="A59" i="28"/>
  <c r="A52" i="28"/>
  <c r="A52" i="29" s="1"/>
  <c r="A36" i="28"/>
  <c r="A36" i="29" s="1"/>
  <c r="A15" i="28"/>
  <c r="K23" i="26"/>
  <c r="K22" i="26"/>
  <c r="K20" i="26"/>
  <c r="K19" i="26"/>
  <c r="K18" i="26"/>
  <c r="K17" i="26"/>
  <c r="K16" i="26"/>
  <c r="K15" i="26"/>
  <c r="K14" i="26"/>
  <c r="O28" i="7"/>
  <c r="O30" i="7"/>
  <c r="O32" i="7"/>
  <c r="O60" i="7"/>
  <c r="B25" i="16"/>
  <c r="F25" i="16"/>
  <c r="H25" i="16"/>
  <c r="B24" i="17"/>
  <c r="D24" i="17"/>
  <c r="R100" i="7"/>
  <c r="T1" i="28"/>
  <c r="H24" i="17"/>
  <c r="H58" i="17" s="1"/>
  <c r="L58" i="17" s="1"/>
  <c r="L36" i="17"/>
  <c r="D17" i="86"/>
  <c r="D92" i="17" s="1"/>
  <c r="J19" i="63"/>
  <c r="J15" i="63"/>
  <c r="J18" i="63"/>
  <c r="L92" i="17" l="1"/>
  <c r="H93" i="71" s="1"/>
  <c r="D93" i="17"/>
  <c r="D95" i="17"/>
  <c r="A1" i="77"/>
  <c r="A1" i="86" s="1"/>
  <c r="A1" i="95"/>
  <c r="C62" i="71"/>
  <c r="H32" i="20"/>
  <c r="H58" i="20"/>
  <c r="AE64" i="28"/>
  <c r="AI64" i="28" s="1"/>
  <c r="C27" i="26"/>
  <c r="K28" i="26" s="1"/>
  <c r="D43" i="16" s="1"/>
  <c r="O17" i="64"/>
  <c r="O66" i="64" s="1"/>
  <c r="N66" i="64"/>
  <c r="A28" i="77"/>
  <c r="Q66" i="64"/>
  <c r="B30" i="20"/>
  <c r="L30" i="20" s="1"/>
  <c r="N203" i="64"/>
  <c r="D18" i="63" s="1"/>
  <c r="AB213" i="64"/>
  <c r="AB214" i="64"/>
  <c r="AB215" i="64"/>
  <c r="AB227" i="64"/>
  <c r="AB244" i="64"/>
  <c r="AB245" i="64"/>
  <c r="AB246" i="64"/>
  <c r="AB254" i="64"/>
  <c r="AB263" i="64"/>
  <c r="AB269" i="64"/>
  <c r="AB270" i="64"/>
  <c r="AB278" i="64"/>
  <c r="AB279" i="64"/>
  <c r="AB207" i="64"/>
  <c r="AB208" i="64"/>
  <c r="AB216" i="64"/>
  <c r="AB217" i="64"/>
  <c r="AB218" i="64"/>
  <c r="AB219" i="64"/>
  <c r="AB228" i="64"/>
  <c r="AB229" i="64"/>
  <c r="AB230" i="64"/>
  <c r="AB231" i="64"/>
  <c r="AB232" i="64"/>
  <c r="AB233" i="64"/>
  <c r="AB234" i="64"/>
  <c r="AB235" i="64"/>
  <c r="AB236" i="64"/>
  <c r="AB237" i="64"/>
  <c r="AB238" i="64"/>
  <c r="AB247" i="64"/>
  <c r="AB248" i="64"/>
  <c r="AB249" i="64"/>
  <c r="AB250" i="64"/>
  <c r="AB255" i="64"/>
  <c r="AB256" i="64"/>
  <c r="AB257" i="64"/>
  <c r="AB258" i="64"/>
  <c r="AB264" i="64"/>
  <c r="AB265" i="64"/>
  <c r="AB266" i="64"/>
  <c r="AB271" i="64"/>
  <c r="AB209" i="64"/>
  <c r="AB210" i="64"/>
  <c r="AB226" i="64"/>
  <c r="AB276" i="64"/>
  <c r="AB151" i="64"/>
  <c r="AB156" i="64"/>
  <c r="AB157" i="64"/>
  <c r="AB162" i="64"/>
  <c r="AB167" i="64"/>
  <c r="AB174" i="64"/>
  <c r="AB179" i="64"/>
  <c r="AB184" i="64"/>
  <c r="AB185" i="64"/>
  <c r="AB186" i="64"/>
  <c r="AB191" i="64"/>
  <c r="AB196" i="64"/>
  <c r="AB197" i="64"/>
  <c r="AB198" i="64"/>
  <c r="AB116" i="64"/>
  <c r="AB225" i="64"/>
  <c r="AB262" i="64"/>
  <c r="AB272" i="64"/>
  <c r="AB273" i="64"/>
  <c r="AB274" i="64"/>
  <c r="AB275" i="64"/>
  <c r="AB220" i="64"/>
  <c r="AB259" i="64"/>
  <c r="AB260" i="64"/>
  <c r="AB267" i="64"/>
  <c r="AB268" i="64"/>
  <c r="AB148" i="64"/>
  <c r="AB149" i="64"/>
  <c r="AB150" i="64"/>
  <c r="AB164" i="64"/>
  <c r="AB165" i="64"/>
  <c r="AB166" i="64"/>
  <c r="AB173" i="64"/>
  <c r="AB182" i="64"/>
  <c r="AB183" i="64"/>
  <c r="AB188" i="64"/>
  <c r="AB189" i="64"/>
  <c r="AB190" i="64"/>
  <c r="AB114" i="64"/>
  <c r="AB117" i="64"/>
  <c r="AB118" i="64"/>
  <c r="AB119" i="64"/>
  <c r="AB122" i="64"/>
  <c r="AB123" i="64"/>
  <c r="AB132" i="64"/>
  <c r="AB140" i="64"/>
  <c r="AB141" i="64"/>
  <c r="AB142" i="64"/>
  <c r="AB42" i="64"/>
  <c r="AB46" i="64"/>
  <c r="AB50" i="64"/>
  <c r="AB54" i="64"/>
  <c r="AB58" i="64"/>
  <c r="AB62" i="64"/>
  <c r="AB212" i="64"/>
  <c r="AB222" i="64"/>
  <c r="AB253" i="64"/>
  <c r="AB155" i="64"/>
  <c r="AB161" i="64"/>
  <c r="AB170" i="64"/>
  <c r="AB177" i="64"/>
  <c r="AB44" i="64"/>
  <c r="AB52" i="64"/>
  <c r="AB60" i="64"/>
  <c r="AB211" i="64"/>
  <c r="AB251" i="64"/>
  <c r="AB277" i="64"/>
  <c r="AB159" i="64"/>
  <c r="AB160" i="64"/>
  <c r="AB163" i="64"/>
  <c r="AB180" i="64"/>
  <c r="AB187" i="64"/>
  <c r="AB115" i="64"/>
  <c r="AB129" i="64"/>
  <c r="AB131" i="64"/>
  <c r="AB138" i="64"/>
  <c r="AB53" i="64"/>
  <c r="AB224" i="64"/>
  <c r="AB239" i="64"/>
  <c r="AB240" i="64"/>
  <c r="AB241" i="64"/>
  <c r="AB242" i="64"/>
  <c r="AB243" i="64"/>
  <c r="AB152" i="64"/>
  <c r="AB153" i="64"/>
  <c r="AB168" i="64"/>
  <c r="AB169" i="64"/>
  <c r="AB172" i="64"/>
  <c r="AB175" i="64"/>
  <c r="AB192" i="64"/>
  <c r="AB193" i="64"/>
  <c r="AB199" i="64"/>
  <c r="AB113" i="64"/>
  <c r="AB120" i="64"/>
  <c r="AB121" i="64"/>
  <c r="AB124" i="64"/>
  <c r="AB133" i="64"/>
  <c r="AB134" i="64"/>
  <c r="AB135" i="64"/>
  <c r="AB39" i="64"/>
  <c r="AB43" i="64"/>
  <c r="AB47" i="64"/>
  <c r="AB51" i="64"/>
  <c r="AB55" i="64"/>
  <c r="AB59" i="64"/>
  <c r="AB63" i="64"/>
  <c r="AB223" i="64"/>
  <c r="AB154" i="64"/>
  <c r="AB158" i="64"/>
  <c r="AB171" i="64"/>
  <c r="AB176" i="64"/>
  <c r="AB178" i="64"/>
  <c r="AB194" i="64"/>
  <c r="AB195" i="64"/>
  <c r="AB111" i="64"/>
  <c r="AB112" i="64"/>
  <c r="AB125" i="64"/>
  <c r="AB126" i="64"/>
  <c r="AB127" i="64"/>
  <c r="AB136" i="64"/>
  <c r="AB40" i="64"/>
  <c r="AB48" i="64"/>
  <c r="AB56" i="64"/>
  <c r="AB221" i="64"/>
  <c r="AB252" i="64"/>
  <c r="AB261" i="64"/>
  <c r="AB181" i="64"/>
  <c r="AB128" i="64"/>
  <c r="AB130" i="64"/>
  <c r="AB137" i="64"/>
  <c r="AB139" i="64"/>
  <c r="AB41" i="64"/>
  <c r="AB45" i="64"/>
  <c r="AB49" i="64"/>
  <c r="AB57" i="64"/>
  <c r="AB61" i="64"/>
  <c r="AD209" i="64"/>
  <c r="AD210" i="64"/>
  <c r="AD211" i="64"/>
  <c r="AD222" i="64"/>
  <c r="AD223" i="64"/>
  <c r="AD224" i="64"/>
  <c r="AD225" i="64"/>
  <c r="AD242" i="64"/>
  <c r="AD251" i="64"/>
  <c r="AD252" i="64"/>
  <c r="AD259" i="64"/>
  <c r="AD260" i="64"/>
  <c r="AD261" i="64"/>
  <c r="AD267" i="64"/>
  <c r="AD274" i="64"/>
  <c r="AD275" i="64"/>
  <c r="AD276" i="64"/>
  <c r="AD212" i="64"/>
  <c r="AD213" i="64"/>
  <c r="AD214" i="64"/>
  <c r="AD226" i="64"/>
  <c r="AD243" i="64"/>
  <c r="AD244" i="64"/>
  <c r="AD245" i="64"/>
  <c r="AD253" i="64"/>
  <c r="AD262" i="64"/>
  <c r="AD268" i="64"/>
  <c r="AD269" i="64"/>
  <c r="AD277" i="64"/>
  <c r="AD278" i="64"/>
  <c r="AD279" i="64"/>
  <c r="AD218" i="64"/>
  <c r="AD219" i="64"/>
  <c r="AD220" i="64"/>
  <c r="AD221" i="64"/>
  <c r="AD228" i="64"/>
  <c r="AD232" i="64"/>
  <c r="AD236" i="64"/>
  <c r="AD249" i="64"/>
  <c r="AD250" i="64"/>
  <c r="AD257" i="64"/>
  <c r="AD258" i="64"/>
  <c r="AD265" i="64"/>
  <c r="AD266" i="64"/>
  <c r="AD149" i="64"/>
  <c r="AD154" i="64"/>
  <c r="AD159" i="64"/>
  <c r="AD160" i="64"/>
  <c r="AD165" i="64"/>
  <c r="AD170" i="64"/>
  <c r="AD171" i="64"/>
  <c r="AD172" i="64"/>
  <c r="AD177" i="64"/>
  <c r="AD182" i="64"/>
  <c r="AD189" i="64"/>
  <c r="AD194" i="64"/>
  <c r="AD111" i="64"/>
  <c r="AD112" i="64"/>
  <c r="AD113" i="64"/>
  <c r="AD114" i="64"/>
  <c r="AD120" i="64"/>
  <c r="AD121" i="64"/>
  <c r="AD207" i="64"/>
  <c r="AD208" i="64"/>
  <c r="AD217" i="64"/>
  <c r="AD227" i="64"/>
  <c r="AD231" i="64"/>
  <c r="AD235" i="64"/>
  <c r="AD248" i="64"/>
  <c r="AD256" i="64"/>
  <c r="AD264" i="64"/>
  <c r="AD233" i="64"/>
  <c r="AD155" i="64"/>
  <c r="AD158" i="64"/>
  <c r="AD161" i="64"/>
  <c r="AD162" i="64"/>
  <c r="AD178" i="64"/>
  <c r="AD179" i="64"/>
  <c r="AD180" i="64"/>
  <c r="AD185" i="64"/>
  <c r="AD186" i="64"/>
  <c r="AD195" i="64"/>
  <c r="AD127" i="64"/>
  <c r="AD128" i="64"/>
  <c r="AD129" i="64"/>
  <c r="AD130" i="64"/>
  <c r="AD136" i="64"/>
  <c r="AD137" i="64"/>
  <c r="AD138" i="64"/>
  <c r="AD39" i="64"/>
  <c r="AD43" i="64"/>
  <c r="AD47" i="64"/>
  <c r="AD51" i="64"/>
  <c r="AD55" i="64"/>
  <c r="AD59" i="64"/>
  <c r="AD63" i="64"/>
  <c r="AD237" i="64"/>
  <c r="AD239" i="64"/>
  <c r="AD241" i="64"/>
  <c r="AD272" i="64"/>
  <c r="AD151" i="64"/>
  <c r="AD166" i="64"/>
  <c r="AD173" i="64"/>
  <c r="AD183" i="64"/>
  <c r="AD191" i="64"/>
  <c r="AD197" i="64"/>
  <c r="AD119" i="64"/>
  <c r="AD132" i="64"/>
  <c r="AD134" i="64"/>
  <c r="AD45" i="64"/>
  <c r="AD49" i="64"/>
  <c r="AD53" i="64"/>
  <c r="AD61" i="64"/>
  <c r="AD254" i="64"/>
  <c r="AD270" i="64"/>
  <c r="AD153" i="64"/>
  <c r="AD156" i="64"/>
  <c r="AD169" i="64"/>
  <c r="AD175" i="64"/>
  <c r="AD176" i="64"/>
  <c r="AD193" i="64"/>
  <c r="AD199" i="64"/>
  <c r="AD124" i="64"/>
  <c r="AD126" i="64"/>
  <c r="AD135" i="64"/>
  <c r="AD42" i="64"/>
  <c r="AD50" i="64"/>
  <c r="AD58" i="64"/>
  <c r="AD230" i="64"/>
  <c r="AD247" i="64"/>
  <c r="AD273" i="64"/>
  <c r="AD148" i="64"/>
  <c r="AD163" i="64"/>
  <c r="AD164" i="64"/>
  <c r="AD181" i="64"/>
  <c r="AD184" i="64"/>
  <c r="AD187" i="64"/>
  <c r="AD188" i="64"/>
  <c r="AD115" i="64"/>
  <c r="AD116" i="64"/>
  <c r="AD117" i="64"/>
  <c r="AD118" i="64"/>
  <c r="AD122" i="64"/>
  <c r="AD131" i="64"/>
  <c r="AD139" i="64"/>
  <c r="AD140" i="64"/>
  <c r="AD141" i="64"/>
  <c r="AD142" i="64"/>
  <c r="AD40" i="64"/>
  <c r="AD44" i="64"/>
  <c r="AD48" i="64"/>
  <c r="AD52" i="64"/>
  <c r="AD56" i="64"/>
  <c r="AD60" i="64"/>
  <c r="AD216" i="64"/>
  <c r="AD229" i="64"/>
  <c r="AD238" i="64"/>
  <c r="AD240" i="64"/>
  <c r="AD246" i="64"/>
  <c r="AD255" i="64"/>
  <c r="AD263" i="64"/>
  <c r="AD150" i="64"/>
  <c r="AD152" i="64"/>
  <c r="AD167" i="64"/>
  <c r="AD168" i="64"/>
  <c r="AD174" i="64"/>
  <c r="AD190" i="64"/>
  <c r="AD192" i="64"/>
  <c r="AD198" i="64"/>
  <c r="AD123" i="64"/>
  <c r="AD133" i="64"/>
  <c r="AD41" i="64"/>
  <c r="AD57" i="64"/>
  <c r="AD215" i="64"/>
  <c r="AD234" i="64"/>
  <c r="AD271" i="64"/>
  <c r="AD157" i="64"/>
  <c r="AD196" i="64"/>
  <c r="AD125" i="64"/>
  <c r="AD46" i="64"/>
  <c r="AD54" i="64"/>
  <c r="AD62" i="64"/>
  <c r="B19" i="63"/>
  <c r="Q103" i="64"/>
  <c r="O81" i="64"/>
  <c r="O103" i="64" s="1"/>
  <c r="O105" i="64" s="1"/>
  <c r="O107" i="64" s="1"/>
  <c r="N103" i="64"/>
  <c r="AD17" i="64"/>
  <c r="AD37" i="64"/>
  <c r="AB20" i="64"/>
  <c r="AB206" i="64"/>
  <c r="AB34" i="64"/>
  <c r="AB17" i="64"/>
  <c r="AB22" i="64"/>
  <c r="AB38" i="64"/>
  <c r="AB91" i="64"/>
  <c r="AB26" i="64"/>
  <c r="AB25" i="64"/>
  <c r="J49" i="11"/>
  <c r="J60" i="11" s="1"/>
  <c r="C36" i="71"/>
  <c r="G137" i="40"/>
  <c r="AD27" i="64"/>
  <c r="AD89" i="64"/>
  <c r="AD100" i="64"/>
  <c r="Q32" i="7"/>
  <c r="S32" i="7" s="1"/>
  <c r="AB98" i="64"/>
  <c r="AB23" i="64"/>
  <c r="B137" i="40"/>
  <c r="O281" i="64"/>
  <c r="F19" i="63" s="1"/>
  <c r="AB101" i="64"/>
  <c r="AB19" i="64"/>
  <c r="AB94" i="64"/>
  <c r="AB144" i="64"/>
  <c r="AB143" i="64"/>
  <c r="AB18" i="64"/>
  <c r="AB29" i="64"/>
  <c r="AB147" i="64"/>
  <c r="AB84" i="64"/>
  <c r="AB27" i="64"/>
  <c r="AB28" i="64"/>
  <c r="AB35" i="64"/>
  <c r="AB85" i="64"/>
  <c r="L24" i="7"/>
  <c r="O84" i="7"/>
  <c r="C82" i="71" s="1"/>
  <c r="A26" i="20"/>
  <c r="A26" i="17"/>
  <c r="AB95" i="64"/>
  <c r="AB33" i="64"/>
  <c r="AB30" i="64"/>
  <c r="AB88" i="64"/>
  <c r="AB100" i="64"/>
  <c r="AB90" i="64"/>
  <c r="AB21" i="64"/>
  <c r="AB96" i="64"/>
  <c r="AB87" i="64"/>
  <c r="AB82" i="64"/>
  <c r="AB146" i="64"/>
  <c r="AB89" i="64"/>
  <c r="AB36" i="64"/>
  <c r="AB200" i="64"/>
  <c r="AB74" i="64"/>
  <c r="AB92" i="64"/>
  <c r="AB37" i="64"/>
  <c r="AB31" i="64"/>
  <c r="AB32" i="64"/>
  <c r="AB81" i="64"/>
  <c r="AB24" i="64"/>
  <c r="AB72" i="64"/>
  <c r="AB99" i="64"/>
  <c r="AB93" i="64"/>
  <c r="AB83" i="64"/>
  <c r="AB97" i="64"/>
  <c r="AB86" i="64"/>
  <c r="Q34" i="7"/>
  <c r="S34" i="7" s="1"/>
  <c r="F137" i="40"/>
  <c r="L137" i="40"/>
  <c r="D137" i="40"/>
  <c r="I137" i="40"/>
  <c r="E137" i="40"/>
  <c r="O76" i="64"/>
  <c r="N76" i="64"/>
  <c r="D16" i="63" s="1"/>
  <c r="Q76" i="64"/>
  <c r="J16" i="63" s="1"/>
  <c r="AD38" i="64"/>
  <c r="AD91" i="64"/>
  <c r="AD28" i="64"/>
  <c r="AD143" i="64"/>
  <c r="AD23" i="64"/>
  <c r="AD96" i="64"/>
  <c r="AD74" i="64"/>
  <c r="AD19" i="64"/>
  <c r="AD93" i="64"/>
  <c r="AD73" i="64"/>
  <c r="AD31" i="64"/>
  <c r="AD29" i="64"/>
  <c r="AD71" i="64"/>
  <c r="AD33" i="64"/>
  <c r="AD32" i="64"/>
  <c r="AD36" i="64"/>
  <c r="AD30" i="64"/>
  <c r="AD95" i="64"/>
  <c r="AD24" i="64"/>
  <c r="AD22" i="64"/>
  <c r="AD99" i="64"/>
  <c r="AD84" i="64"/>
  <c r="AD97" i="64"/>
  <c r="AD146" i="64"/>
  <c r="AD21" i="64"/>
  <c r="AD34" i="64"/>
  <c r="AD200" i="64"/>
  <c r="AD20" i="64"/>
  <c r="AD72" i="64"/>
  <c r="AD90" i="64"/>
  <c r="AD81" i="64"/>
  <c r="AD88" i="64"/>
  <c r="AD101" i="64"/>
  <c r="AD18" i="64"/>
  <c r="AD206" i="64"/>
  <c r="AD82" i="64"/>
  <c r="AD26" i="64"/>
  <c r="AD35" i="64"/>
  <c r="AD86" i="64"/>
  <c r="AD147" i="64"/>
  <c r="AD145" i="64"/>
  <c r="AD83" i="64"/>
  <c r="AD144" i="64"/>
  <c r="AD92" i="64"/>
  <c r="AD85" i="64"/>
  <c r="AD25" i="64"/>
  <c r="AD94" i="64"/>
  <c r="AD98" i="64"/>
  <c r="AD87" i="64"/>
  <c r="O42" i="7"/>
  <c r="O43" i="7"/>
  <c r="O51" i="7"/>
  <c r="P13" i="77" s="1"/>
  <c r="O55" i="7"/>
  <c r="O54" i="7"/>
  <c r="O90" i="7"/>
  <c r="O57" i="7"/>
  <c r="C59" i="71" s="1"/>
  <c r="O87" i="7"/>
  <c r="C85" i="71" s="1"/>
  <c r="L99" i="7"/>
  <c r="H99" i="7"/>
  <c r="K99" i="7"/>
  <c r="G99" i="7"/>
  <c r="N99" i="7"/>
  <c r="J99" i="7"/>
  <c r="H137" i="40"/>
  <c r="H24" i="7"/>
  <c r="D24" i="7"/>
  <c r="A12" i="20"/>
  <c r="E99" i="7"/>
  <c r="O58" i="7"/>
  <c r="AB71" i="64"/>
  <c r="AB145" i="64"/>
  <c r="AB73" i="64"/>
  <c r="L78" i="64"/>
  <c r="B16" i="63"/>
  <c r="AF59" i="28"/>
  <c r="AB66" i="64"/>
  <c r="AD66" i="64"/>
  <c r="L66" i="16"/>
  <c r="O36" i="7"/>
  <c r="AD64" i="28" s="1"/>
  <c r="AD66" i="28" s="1"/>
  <c r="F24" i="7"/>
  <c r="M24" i="7"/>
  <c r="I24" i="7"/>
  <c r="E24" i="7"/>
  <c r="O18" i="7"/>
  <c r="K24" i="7"/>
  <c r="O75" i="7"/>
  <c r="C73" i="71" s="1"/>
  <c r="O96" i="7"/>
  <c r="L105" i="64"/>
  <c r="L107" i="64" s="1"/>
  <c r="B17" i="63"/>
  <c r="O46" i="7"/>
  <c r="O79" i="7"/>
  <c r="C77" i="71" s="1"/>
  <c r="O56" i="7"/>
  <c r="C58" i="71" s="1"/>
  <c r="O49" i="7"/>
  <c r="O81" i="7"/>
  <c r="C79" i="71" s="1"/>
  <c r="O39" i="7"/>
  <c r="C41" i="71" s="1"/>
  <c r="O88" i="7"/>
  <c r="C86" i="71" s="1"/>
  <c r="Q80" i="7"/>
  <c r="S80" i="7" s="1"/>
  <c r="T67" i="16"/>
  <c r="G24" i="7"/>
  <c r="O12" i="7"/>
  <c r="C12" i="71" s="1"/>
  <c r="C52" i="77" s="1"/>
  <c r="N24" i="7"/>
  <c r="O23" i="7"/>
  <c r="C21" i="71" s="1"/>
  <c r="G21" i="71" s="1"/>
  <c r="J21" i="71" s="1"/>
  <c r="O105" i="7"/>
  <c r="Q105" i="7" s="1"/>
  <c r="C107" i="71" s="1"/>
  <c r="G107" i="71" s="1"/>
  <c r="J107" i="71" s="1"/>
  <c r="O104" i="7"/>
  <c r="Q104" i="7" s="1"/>
  <c r="C106" i="71" s="1"/>
  <c r="G106" i="71" s="1"/>
  <c r="J106" i="71" s="1"/>
  <c r="K25" i="26"/>
  <c r="K27" i="26" s="1"/>
  <c r="K30" i="26" s="1"/>
  <c r="O45" i="7"/>
  <c r="C47" i="71" s="1"/>
  <c r="L68" i="64"/>
  <c r="B15" i="63"/>
  <c r="K137" i="40"/>
  <c r="O13" i="7"/>
  <c r="C13" i="71" s="1"/>
  <c r="Q281" i="64"/>
  <c r="O14" i="7"/>
  <c r="C14" i="71" s="1"/>
  <c r="G14" i="71" s="1"/>
  <c r="J14" i="71" s="1"/>
  <c r="X32" i="11"/>
  <c r="X60" i="11" s="1"/>
  <c r="H74" i="17"/>
  <c r="L74" i="17" s="1"/>
  <c r="O12" i="77"/>
  <c r="P12" i="77" s="1"/>
  <c r="F93" i="17"/>
  <c r="A5" i="54"/>
  <c r="A5" i="87" s="1"/>
  <c r="A5" i="66" s="1"/>
  <c r="D99" i="7"/>
  <c r="O27" i="7"/>
  <c r="AA60" i="11" s="1"/>
  <c r="O31" i="7"/>
  <c r="O41" i="7"/>
  <c r="C43" i="71" s="1"/>
  <c r="O33" i="7"/>
  <c r="O66" i="7"/>
  <c r="O70" i="7"/>
  <c r="C68" i="71" s="1"/>
  <c r="O71" i="7"/>
  <c r="C69" i="71" s="1"/>
  <c r="O72" i="7"/>
  <c r="C70" i="71" s="1"/>
  <c r="O73" i="7"/>
  <c r="C71" i="71" s="1"/>
  <c r="O74" i="7"/>
  <c r="C72" i="71" s="1"/>
  <c r="O77" i="7"/>
  <c r="C75" i="71" s="1"/>
  <c r="O78" i="7"/>
  <c r="C76" i="71" s="1"/>
  <c r="O82" i="7"/>
  <c r="O85" i="7"/>
  <c r="C83" i="71" s="1"/>
  <c r="O86" i="7"/>
  <c r="C84" i="71" s="1"/>
  <c r="O89" i="7"/>
  <c r="C87" i="71" s="1"/>
  <c r="G87" i="71" s="1"/>
  <c r="J87" i="71" s="1"/>
  <c r="O92" i="7"/>
  <c r="C90" i="71" s="1"/>
  <c r="O93" i="7"/>
  <c r="C92" i="71" s="1"/>
  <c r="O95" i="7"/>
  <c r="C91" i="71" s="1"/>
  <c r="O143" i="64"/>
  <c r="O29" i="7"/>
  <c r="O47" i="7"/>
  <c r="C137" i="40"/>
  <c r="Q60" i="7"/>
  <c r="S60" i="7" s="1"/>
  <c r="J137" i="40"/>
  <c r="C99" i="7"/>
  <c r="C24" i="7"/>
  <c r="O15" i="7"/>
  <c r="C15" i="71" s="1"/>
  <c r="G15" i="71" s="1"/>
  <c r="O40" i="7"/>
  <c r="C42" i="71" s="1"/>
  <c r="O37" i="7"/>
  <c r="C39" i="71" s="1"/>
  <c r="O38" i="7"/>
  <c r="C40" i="71" s="1"/>
  <c r="O50" i="7"/>
  <c r="C52" i="71" s="1"/>
  <c r="O76" i="7"/>
  <c r="C74" i="71" s="1"/>
  <c r="O94" i="7"/>
  <c r="C104" i="71" s="1"/>
  <c r="M99" i="7"/>
  <c r="I99" i="7"/>
  <c r="O91" i="7"/>
  <c r="C89" i="71" s="1"/>
  <c r="O83" i="7"/>
  <c r="C81" i="71" s="1"/>
  <c r="O44" i="7"/>
  <c r="O52" i="7"/>
  <c r="C54" i="71" s="1"/>
  <c r="F99" i="7"/>
  <c r="O48" i="7"/>
  <c r="C50" i="71" s="1"/>
  <c r="N281" i="64"/>
  <c r="O135" i="40"/>
  <c r="O59" i="7"/>
  <c r="C61" i="71" s="1"/>
  <c r="J24" i="7"/>
  <c r="AC43" i="28"/>
  <c r="AC44" i="28"/>
  <c r="AA11" i="28"/>
  <c r="AA15" i="28" s="1"/>
  <c r="AF78" i="28" s="1"/>
  <c r="B31" i="17" s="1"/>
  <c r="T71" i="16"/>
  <c r="C80" i="71" l="1"/>
  <c r="B9" i="66"/>
  <c r="L58" i="20"/>
  <c r="D62" i="71"/>
  <c r="G62" i="71" s="1"/>
  <c r="J62" i="71" s="1"/>
  <c r="E46" i="71"/>
  <c r="T43" i="16"/>
  <c r="C40" i="77"/>
  <c r="C44" i="77"/>
  <c r="C45" i="77" s="1"/>
  <c r="J16" i="17" s="1"/>
  <c r="L16" i="17" s="1"/>
  <c r="H15" i="71" s="1"/>
  <c r="J15" i="71" s="1"/>
  <c r="AI68" i="28"/>
  <c r="AF79" i="28"/>
  <c r="B34" i="17" s="1"/>
  <c r="L34" i="17" s="1"/>
  <c r="H38" i="71" s="1"/>
  <c r="L32" i="20"/>
  <c r="D36" i="71" s="1"/>
  <c r="H92" i="20"/>
  <c r="H94" i="20" s="1"/>
  <c r="G13" i="71"/>
  <c r="C53" i="77"/>
  <c r="C54" i="77" s="1"/>
  <c r="D52" i="77" s="1"/>
  <c r="C56" i="77" s="1"/>
  <c r="F13" i="17" s="1"/>
  <c r="F11" i="54"/>
  <c r="F12" i="54" s="1"/>
  <c r="C9" i="94" s="1"/>
  <c r="K27" i="94" s="1"/>
  <c r="G104" i="71"/>
  <c r="J104" i="71" s="1"/>
  <c r="Q18" i="7"/>
  <c r="S18" i="7" s="1"/>
  <c r="C19" i="71"/>
  <c r="G19" i="71" s="1"/>
  <c r="J19" i="71" s="1"/>
  <c r="B27" i="20"/>
  <c r="L27" i="20" s="1"/>
  <c r="D34" i="71"/>
  <c r="C49" i="71"/>
  <c r="E38" i="49" s="1"/>
  <c r="I22" i="49"/>
  <c r="I23" i="49" s="1"/>
  <c r="E35" i="49" s="1"/>
  <c r="E36" i="49" s="1"/>
  <c r="C45" i="71"/>
  <c r="D42" i="16"/>
  <c r="U115" i="64"/>
  <c r="V115" i="64" s="1"/>
  <c r="X115" i="64" s="1"/>
  <c r="U139" i="64"/>
  <c r="V139" i="64" s="1"/>
  <c r="X139" i="64" s="1"/>
  <c r="U131" i="64"/>
  <c r="V131" i="64" s="1"/>
  <c r="X131" i="64" s="1"/>
  <c r="O203" i="64"/>
  <c r="F18" i="63" s="1"/>
  <c r="U200" i="64"/>
  <c r="V200" i="64" s="1"/>
  <c r="X200" i="64" s="1"/>
  <c r="U123" i="64"/>
  <c r="V123" i="64" s="1"/>
  <c r="X123" i="64" s="1"/>
  <c r="P49" i="64"/>
  <c r="U137" i="64"/>
  <c r="V137" i="64" s="1"/>
  <c r="X137" i="64" s="1"/>
  <c r="P137" i="64"/>
  <c r="U261" i="64"/>
  <c r="V261" i="64" s="1"/>
  <c r="X261" i="64" s="1"/>
  <c r="P261" i="64"/>
  <c r="P48" i="64"/>
  <c r="P126" i="64"/>
  <c r="U126" i="64"/>
  <c r="V126" i="64" s="1"/>
  <c r="X126" i="64" s="1"/>
  <c r="U195" i="64"/>
  <c r="V195" i="64" s="1"/>
  <c r="X195" i="64" s="1"/>
  <c r="P195" i="64"/>
  <c r="U171" i="64"/>
  <c r="V171" i="64" s="1"/>
  <c r="X171" i="64" s="1"/>
  <c r="P171" i="64"/>
  <c r="U63" i="64"/>
  <c r="V63" i="64" s="1"/>
  <c r="X63" i="64" s="1"/>
  <c r="P63" i="64"/>
  <c r="P47" i="64"/>
  <c r="U134" i="64"/>
  <c r="V134" i="64" s="1"/>
  <c r="X134" i="64" s="1"/>
  <c r="P134" i="64"/>
  <c r="P120" i="64"/>
  <c r="U120" i="64"/>
  <c r="V120" i="64" s="1"/>
  <c r="X120" i="64" s="1"/>
  <c r="U192" i="64"/>
  <c r="V192" i="64" s="1"/>
  <c r="X192" i="64" s="1"/>
  <c r="P192" i="64"/>
  <c r="U168" i="64"/>
  <c r="V168" i="64" s="1"/>
  <c r="X168" i="64" s="1"/>
  <c r="P168" i="64"/>
  <c r="P242" i="64"/>
  <c r="U224" i="64"/>
  <c r="V224" i="64" s="1"/>
  <c r="X224" i="64" s="1"/>
  <c r="P224" i="64"/>
  <c r="U129" i="64"/>
  <c r="V129" i="64" s="1"/>
  <c r="X129" i="64" s="1"/>
  <c r="P129" i="64"/>
  <c r="U163" i="64"/>
  <c r="V163" i="64" s="1"/>
  <c r="X163" i="64" s="1"/>
  <c r="P163" i="64"/>
  <c r="P251" i="64"/>
  <c r="P44" i="64"/>
  <c r="U155" i="64"/>
  <c r="V155" i="64" s="1"/>
  <c r="X155" i="64" s="1"/>
  <c r="P155" i="64"/>
  <c r="P62" i="64"/>
  <c r="U62" i="64"/>
  <c r="V62" i="64" s="1"/>
  <c r="X62" i="64" s="1"/>
  <c r="U46" i="64"/>
  <c r="V46" i="64" s="1"/>
  <c r="X46" i="64" s="1"/>
  <c r="P46" i="64"/>
  <c r="P140" i="64"/>
  <c r="U140" i="64"/>
  <c r="V140" i="64" s="1"/>
  <c r="X140" i="64" s="1"/>
  <c r="P119" i="64"/>
  <c r="U119" i="64"/>
  <c r="V119" i="64" s="1"/>
  <c r="X119" i="64" s="1"/>
  <c r="U190" i="64"/>
  <c r="V190" i="64" s="1"/>
  <c r="X190" i="64" s="1"/>
  <c r="P190" i="64"/>
  <c r="U182" i="64"/>
  <c r="V182" i="64" s="1"/>
  <c r="X182" i="64" s="1"/>
  <c r="P182" i="64"/>
  <c r="U164" i="64"/>
  <c r="V164" i="64" s="1"/>
  <c r="X164" i="64" s="1"/>
  <c r="P164" i="64"/>
  <c r="U268" i="64"/>
  <c r="V268" i="64" s="1"/>
  <c r="X268" i="64" s="1"/>
  <c r="P268" i="64"/>
  <c r="U220" i="64"/>
  <c r="V220" i="64" s="1"/>
  <c r="X220" i="64" s="1"/>
  <c r="P220" i="64"/>
  <c r="U272" i="64"/>
  <c r="V272" i="64" s="1"/>
  <c r="X272" i="64" s="1"/>
  <c r="P272" i="64"/>
  <c r="U198" i="64"/>
  <c r="V198" i="64" s="1"/>
  <c r="X198" i="64" s="1"/>
  <c r="P198" i="64"/>
  <c r="U186" i="64"/>
  <c r="V186" i="64" s="1"/>
  <c r="X186" i="64" s="1"/>
  <c r="P186" i="64"/>
  <c r="U174" i="64"/>
  <c r="V174" i="64" s="1"/>
  <c r="X174" i="64" s="1"/>
  <c r="P174" i="64"/>
  <c r="U156" i="64"/>
  <c r="V156" i="64" s="1"/>
  <c r="X156" i="64" s="1"/>
  <c r="P156" i="64"/>
  <c r="P210" i="64"/>
  <c r="U210" i="64"/>
  <c r="V210" i="64" s="1"/>
  <c r="X210" i="64" s="1"/>
  <c r="P265" i="64"/>
  <c r="U265" i="64"/>
  <c r="V265" i="64" s="1"/>
  <c r="X265" i="64" s="1"/>
  <c r="P256" i="64"/>
  <c r="P248" i="64"/>
  <c r="U236" i="64"/>
  <c r="V236" i="64" s="1"/>
  <c r="X236" i="64" s="1"/>
  <c r="P236" i="64"/>
  <c r="U232" i="64"/>
  <c r="V232" i="64" s="1"/>
  <c r="X232" i="64" s="1"/>
  <c r="P232" i="64"/>
  <c r="U228" i="64"/>
  <c r="V228" i="64" s="1"/>
  <c r="X228" i="64" s="1"/>
  <c r="P228" i="64"/>
  <c r="P216" i="64"/>
  <c r="U216" i="64"/>
  <c r="V216" i="64" s="1"/>
  <c r="X216" i="64" s="1"/>
  <c r="U278" i="64"/>
  <c r="V278" i="64" s="1"/>
  <c r="X278" i="64" s="1"/>
  <c r="P278" i="64"/>
  <c r="P254" i="64"/>
  <c r="U227" i="64"/>
  <c r="V227" i="64" s="1"/>
  <c r="X227" i="64" s="1"/>
  <c r="P227" i="64"/>
  <c r="P45" i="64"/>
  <c r="U45" i="64"/>
  <c r="V45" i="64" s="1"/>
  <c r="X45" i="64" s="1"/>
  <c r="P130" i="64"/>
  <c r="U130" i="64"/>
  <c r="V130" i="64" s="1"/>
  <c r="X130" i="64" s="1"/>
  <c r="P252" i="64"/>
  <c r="P40" i="64"/>
  <c r="U125" i="64"/>
  <c r="V125" i="64" s="1"/>
  <c r="X125" i="64" s="1"/>
  <c r="P125" i="64"/>
  <c r="U194" i="64"/>
  <c r="V194" i="64" s="1"/>
  <c r="X194" i="64" s="1"/>
  <c r="P194" i="64"/>
  <c r="U158" i="64"/>
  <c r="V158" i="64" s="1"/>
  <c r="X158" i="64" s="1"/>
  <c r="P158" i="64"/>
  <c r="P59" i="64"/>
  <c r="P43" i="64"/>
  <c r="P133" i="64"/>
  <c r="U133" i="64"/>
  <c r="V133" i="64" s="1"/>
  <c r="X133" i="64" s="1"/>
  <c r="U113" i="64"/>
  <c r="V113" i="64" s="1"/>
  <c r="X113" i="64" s="1"/>
  <c r="P113" i="64"/>
  <c r="U175" i="64"/>
  <c r="V175" i="64" s="1"/>
  <c r="X175" i="64" s="1"/>
  <c r="P175" i="64"/>
  <c r="U153" i="64"/>
  <c r="V153" i="64" s="1"/>
  <c r="X153" i="64" s="1"/>
  <c r="P153" i="64"/>
  <c r="P241" i="64"/>
  <c r="P53" i="64"/>
  <c r="P115" i="64"/>
  <c r="U160" i="64"/>
  <c r="V160" i="64" s="1"/>
  <c r="X160" i="64" s="1"/>
  <c r="P160" i="64"/>
  <c r="U211" i="64"/>
  <c r="V211" i="64" s="1"/>
  <c r="X211" i="64" s="1"/>
  <c r="P211" i="64"/>
  <c r="U177" i="64"/>
  <c r="V177" i="64" s="1"/>
  <c r="X177" i="64" s="1"/>
  <c r="P177" i="64"/>
  <c r="P253" i="64"/>
  <c r="P58" i="64"/>
  <c r="U58" i="64"/>
  <c r="V58" i="64" s="1"/>
  <c r="X58" i="64" s="1"/>
  <c r="U42" i="64"/>
  <c r="V42" i="64" s="1"/>
  <c r="X42" i="64" s="1"/>
  <c r="P42" i="64"/>
  <c r="P132" i="64"/>
  <c r="U132" i="64"/>
  <c r="V132" i="64" s="1"/>
  <c r="X132" i="64" s="1"/>
  <c r="U118" i="64"/>
  <c r="V118" i="64" s="1"/>
  <c r="X118" i="64" s="1"/>
  <c r="P118" i="64"/>
  <c r="P189" i="64"/>
  <c r="U189" i="64"/>
  <c r="V189" i="64" s="1"/>
  <c r="X189" i="64" s="1"/>
  <c r="U173" i="64"/>
  <c r="V173" i="64" s="1"/>
  <c r="X173" i="64" s="1"/>
  <c r="P173" i="64"/>
  <c r="U150" i="64"/>
  <c r="V150" i="64" s="1"/>
  <c r="X150" i="64" s="1"/>
  <c r="P150" i="64"/>
  <c r="U267" i="64"/>
  <c r="V267" i="64" s="1"/>
  <c r="X267" i="64" s="1"/>
  <c r="P267" i="64"/>
  <c r="U275" i="64"/>
  <c r="V275" i="64" s="1"/>
  <c r="X275" i="64" s="1"/>
  <c r="P275" i="64"/>
  <c r="U262" i="64"/>
  <c r="V262" i="64" s="1"/>
  <c r="X262" i="64" s="1"/>
  <c r="P262" i="64"/>
  <c r="P197" i="64"/>
  <c r="U197" i="64"/>
  <c r="V197" i="64" s="1"/>
  <c r="X197" i="64" s="1"/>
  <c r="P185" i="64"/>
  <c r="U185" i="64"/>
  <c r="V185" i="64" s="1"/>
  <c r="X185" i="64" s="1"/>
  <c r="U167" i="64"/>
  <c r="V167" i="64" s="1"/>
  <c r="X167" i="64" s="1"/>
  <c r="P167" i="64"/>
  <c r="U151" i="64"/>
  <c r="V151" i="64" s="1"/>
  <c r="X151" i="64" s="1"/>
  <c r="P151" i="64"/>
  <c r="U209" i="64"/>
  <c r="V209" i="64" s="1"/>
  <c r="X209" i="64" s="1"/>
  <c r="P209" i="64"/>
  <c r="U264" i="64"/>
  <c r="V264" i="64" s="1"/>
  <c r="X264" i="64" s="1"/>
  <c r="P264" i="64"/>
  <c r="P255" i="64"/>
  <c r="P247" i="64"/>
  <c r="U235" i="64"/>
  <c r="V235" i="64" s="1"/>
  <c r="X235" i="64" s="1"/>
  <c r="P235" i="64"/>
  <c r="U231" i="64"/>
  <c r="V231" i="64" s="1"/>
  <c r="X231" i="64" s="1"/>
  <c r="P231" i="64"/>
  <c r="U219" i="64"/>
  <c r="V219" i="64" s="1"/>
  <c r="X219" i="64" s="1"/>
  <c r="P219" i="64"/>
  <c r="U208" i="64"/>
  <c r="V208" i="64" s="1"/>
  <c r="X208" i="64" s="1"/>
  <c r="P208" i="64"/>
  <c r="U270" i="64"/>
  <c r="V270" i="64" s="1"/>
  <c r="X270" i="64" s="1"/>
  <c r="P270" i="64"/>
  <c r="P246" i="64"/>
  <c r="P215" i="64"/>
  <c r="U215" i="64"/>
  <c r="V215" i="64" s="1"/>
  <c r="X215" i="64" s="1"/>
  <c r="P200" i="64"/>
  <c r="R200" i="64" s="1"/>
  <c r="P61" i="64"/>
  <c r="P41" i="64"/>
  <c r="U128" i="64"/>
  <c r="V128" i="64" s="1"/>
  <c r="X128" i="64" s="1"/>
  <c r="P128" i="64"/>
  <c r="P221" i="64"/>
  <c r="U221" i="64"/>
  <c r="V221" i="64" s="1"/>
  <c r="X221" i="64" s="1"/>
  <c r="P136" i="64"/>
  <c r="U136" i="64"/>
  <c r="V136" i="64" s="1"/>
  <c r="X136" i="64" s="1"/>
  <c r="P112" i="64"/>
  <c r="U112" i="64"/>
  <c r="V112" i="64" s="1"/>
  <c r="X112" i="64" s="1"/>
  <c r="U178" i="64"/>
  <c r="V178" i="64" s="1"/>
  <c r="X178" i="64" s="1"/>
  <c r="P178" i="64"/>
  <c r="U154" i="64"/>
  <c r="V154" i="64" s="1"/>
  <c r="X154" i="64" s="1"/>
  <c r="P154" i="64"/>
  <c r="P55" i="64"/>
  <c r="P39" i="64"/>
  <c r="P124" i="64"/>
  <c r="U124" i="64"/>
  <c r="V124" i="64" s="1"/>
  <c r="X124" i="64" s="1"/>
  <c r="U199" i="64"/>
  <c r="V199" i="64" s="1"/>
  <c r="X199" i="64" s="1"/>
  <c r="P199" i="64"/>
  <c r="U172" i="64"/>
  <c r="V172" i="64" s="1"/>
  <c r="X172" i="64" s="1"/>
  <c r="P172" i="64"/>
  <c r="U152" i="64"/>
  <c r="V152" i="64" s="1"/>
  <c r="X152" i="64" s="1"/>
  <c r="P152" i="64"/>
  <c r="P240" i="64"/>
  <c r="P138" i="64"/>
  <c r="U138" i="64"/>
  <c r="V138" i="64" s="1"/>
  <c r="X138" i="64" s="1"/>
  <c r="U187" i="64"/>
  <c r="V187" i="64" s="1"/>
  <c r="X187" i="64" s="1"/>
  <c r="P187" i="64"/>
  <c r="U159" i="64"/>
  <c r="V159" i="64" s="1"/>
  <c r="X159" i="64" s="1"/>
  <c r="P159" i="64"/>
  <c r="P60" i="64"/>
  <c r="U170" i="64"/>
  <c r="V170" i="64" s="1"/>
  <c r="X170" i="64" s="1"/>
  <c r="P170" i="64"/>
  <c r="P222" i="64"/>
  <c r="U222" i="64"/>
  <c r="V222" i="64" s="1"/>
  <c r="X222" i="64" s="1"/>
  <c r="P54" i="64"/>
  <c r="P142" i="64"/>
  <c r="U142" i="64"/>
  <c r="V142" i="64" s="1"/>
  <c r="X142" i="64" s="1"/>
  <c r="P123" i="64"/>
  <c r="P117" i="64"/>
  <c r="U117" i="64"/>
  <c r="V117" i="64" s="1"/>
  <c r="X117" i="64" s="1"/>
  <c r="U188" i="64"/>
  <c r="V188" i="64" s="1"/>
  <c r="X188" i="64" s="1"/>
  <c r="P188" i="64"/>
  <c r="U166" i="64"/>
  <c r="V166" i="64" s="1"/>
  <c r="X166" i="64" s="1"/>
  <c r="P166" i="64"/>
  <c r="U149" i="64"/>
  <c r="V149" i="64" s="1"/>
  <c r="X149" i="64" s="1"/>
  <c r="P149" i="64"/>
  <c r="P260" i="64"/>
  <c r="U260" i="64"/>
  <c r="V260" i="64" s="1"/>
  <c r="X260" i="64" s="1"/>
  <c r="U274" i="64"/>
  <c r="V274" i="64" s="1"/>
  <c r="X274" i="64" s="1"/>
  <c r="P274" i="64"/>
  <c r="P225" i="64"/>
  <c r="U225" i="64"/>
  <c r="V225" i="64" s="1"/>
  <c r="X225" i="64" s="1"/>
  <c r="U196" i="64"/>
  <c r="V196" i="64" s="1"/>
  <c r="X196" i="64" s="1"/>
  <c r="P196" i="64"/>
  <c r="U184" i="64"/>
  <c r="V184" i="64" s="1"/>
  <c r="X184" i="64" s="1"/>
  <c r="P184" i="64"/>
  <c r="U162" i="64"/>
  <c r="V162" i="64" s="1"/>
  <c r="X162" i="64" s="1"/>
  <c r="P162" i="64"/>
  <c r="U276" i="64"/>
  <c r="V276" i="64" s="1"/>
  <c r="X276" i="64" s="1"/>
  <c r="P276" i="64"/>
  <c r="P271" i="64"/>
  <c r="P258" i="64"/>
  <c r="P250" i="64"/>
  <c r="P238" i="64"/>
  <c r="P234" i="64"/>
  <c r="U234" i="64"/>
  <c r="V234" i="64" s="1"/>
  <c r="X234" i="64" s="1"/>
  <c r="U230" i="64"/>
  <c r="V230" i="64" s="1"/>
  <c r="X230" i="64" s="1"/>
  <c r="P230" i="64"/>
  <c r="U218" i="64"/>
  <c r="V218" i="64" s="1"/>
  <c r="X218" i="64" s="1"/>
  <c r="P218" i="64"/>
  <c r="P207" i="64"/>
  <c r="U207" i="64"/>
  <c r="V207" i="64" s="1"/>
  <c r="X207" i="64" s="1"/>
  <c r="P269" i="64"/>
  <c r="U269" i="64"/>
  <c r="V269" i="64" s="1"/>
  <c r="X269" i="64" s="1"/>
  <c r="P245" i="64"/>
  <c r="U214" i="64"/>
  <c r="V214" i="64" s="1"/>
  <c r="X214" i="64" s="1"/>
  <c r="P214" i="64"/>
  <c r="P57" i="64"/>
  <c r="P139" i="64"/>
  <c r="U181" i="64"/>
  <c r="V181" i="64" s="1"/>
  <c r="X181" i="64" s="1"/>
  <c r="P181" i="64"/>
  <c r="P56" i="64"/>
  <c r="P127" i="64"/>
  <c r="U127" i="64"/>
  <c r="V127" i="64" s="1"/>
  <c r="X127" i="64" s="1"/>
  <c r="P111" i="64"/>
  <c r="U111" i="64"/>
  <c r="U176" i="64"/>
  <c r="V176" i="64" s="1"/>
  <c r="X176" i="64" s="1"/>
  <c r="P176" i="64"/>
  <c r="U223" i="64"/>
  <c r="V223" i="64" s="1"/>
  <c r="X223" i="64" s="1"/>
  <c r="P223" i="64"/>
  <c r="P51" i="64"/>
  <c r="P135" i="64"/>
  <c r="U135" i="64"/>
  <c r="V135" i="64" s="1"/>
  <c r="X135" i="64" s="1"/>
  <c r="U121" i="64"/>
  <c r="V121" i="64" s="1"/>
  <c r="X121" i="64" s="1"/>
  <c r="P121" i="64"/>
  <c r="U193" i="64"/>
  <c r="V193" i="64" s="1"/>
  <c r="X193" i="64" s="1"/>
  <c r="P193" i="64"/>
  <c r="U169" i="64"/>
  <c r="V169" i="64" s="1"/>
  <c r="X169" i="64" s="1"/>
  <c r="P169" i="64"/>
  <c r="P243" i="64"/>
  <c r="P239" i="64"/>
  <c r="P131" i="64"/>
  <c r="U180" i="64"/>
  <c r="V180" i="64" s="1"/>
  <c r="X180" i="64" s="1"/>
  <c r="P180" i="64"/>
  <c r="U277" i="64"/>
  <c r="V277" i="64" s="1"/>
  <c r="X277" i="64" s="1"/>
  <c r="P277" i="64"/>
  <c r="P52" i="64"/>
  <c r="U161" i="64"/>
  <c r="V161" i="64" s="1"/>
  <c r="X161" i="64" s="1"/>
  <c r="P161" i="64"/>
  <c r="U212" i="64"/>
  <c r="V212" i="64" s="1"/>
  <c r="X212" i="64" s="1"/>
  <c r="P212" i="64"/>
  <c r="P50" i="64"/>
  <c r="U141" i="64"/>
  <c r="V141" i="64" s="1"/>
  <c r="X141" i="64" s="1"/>
  <c r="P141" i="64"/>
  <c r="P122" i="64"/>
  <c r="U122" i="64"/>
  <c r="V122" i="64" s="1"/>
  <c r="X122" i="64" s="1"/>
  <c r="U114" i="64"/>
  <c r="V114" i="64" s="1"/>
  <c r="X114" i="64" s="1"/>
  <c r="P114" i="64"/>
  <c r="P183" i="64"/>
  <c r="U165" i="64"/>
  <c r="V165" i="64" s="1"/>
  <c r="X165" i="64" s="1"/>
  <c r="P165" i="64"/>
  <c r="U148" i="64"/>
  <c r="V148" i="64" s="1"/>
  <c r="X148" i="64" s="1"/>
  <c r="P148" i="64"/>
  <c r="U259" i="64"/>
  <c r="V259" i="64" s="1"/>
  <c r="X259" i="64" s="1"/>
  <c r="P259" i="64"/>
  <c r="P273" i="64"/>
  <c r="U273" i="64"/>
  <c r="V273" i="64" s="1"/>
  <c r="X273" i="64" s="1"/>
  <c r="U116" i="64"/>
  <c r="V116" i="64" s="1"/>
  <c r="X116" i="64" s="1"/>
  <c r="P116" i="64"/>
  <c r="U191" i="64"/>
  <c r="V191" i="64" s="1"/>
  <c r="X191" i="64" s="1"/>
  <c r="P191" i="64"/>
  <c r="U179" i="64"/>
  <c r="V179" i="64" s="1"/>
  <c r="X179" i="64" s="1"/>
  <c r="P179" i="64"/>
  <c r="U157" i="64"/>
  <c r="V157" i="64" s="1"/>
  <c r="X157" i="64" s="1"/>
  <c r="P157" i="64"/>
  <c r="P226" i="64"/>
  <c r="U226" i="64"/>
  <c r="V226" i="64" s="1"/>
  <c r="X226" i="64" s="1"/>
  <c r="P266" i="64"/>
  <c r="U266" i="64"/>
  <c r="V266" i="64" s="1"/>
  <c r="X266" i="64" s="1"/>
  <c r="P257" i="64"/>
  <c r="P249" i="64"/>
  <c r="P237" i="64"/>
  <c r="U237" i="64"/>
  <c r="V237" i="64" s="1"/>
  <c r="X237" i="64" s="1"/>
  <c r="P233" i="64"/>
  <c r="U233" i="64"/>
  <c r="V233" i="64" s="1"/>
  <c r="X233" i="64" s="1"/>
  <c r="U229" i="64"/>
  <c r="V229" i="64" s="1"/>
  <c r="X229" i="64" s="1"/>
  <c r="P229" i="64"/>
  <c r="P217" i="64"/>
  <c r="U217" i="64"/>
  <c r="V217" i="64" s="1"/>
  <c r="X217" i="64" s="1"/>
  <c r="U279" i="64"/>
  <c r="V279" i="64" s="1"/>
  <c r="X279" i="64" s="1"/>
  <c r="P279" i="64"/>
  <c r="U263" i="64"/>
  <c r="V263" i="64" s="1"/>
  <c r="X263" i="64" s="1"/>
  <c r="P263" i="64"/>
  <c r="P244" i="64"/>
  <c r="U213" i="64"/>
  <c r="V213" i="64" s="1"/>
  <c r="X213" i="64" s="1"/>
  <c r="P213" i="64"/>
  <c r="P17" i="64"/>
  <c r="U37" i="64"/>
  <c r="V37" i="64" s="1"/>
  <c r="X37" i="64" s="1"/>
  <c r="O283" i="64"/>
  <c r="U17" i="64"/>
  <c r="P35" i="64"/>
  <c r="R35" i="64" s="1"/>
  <c r="U144" i="64"/>
  <c r="V144" i="64" s="1"/>
  <c r="X144" i="64" s="1"/>
  <c r="P87" i="64"/>
  <c r="R87" i="64" s="1"/>
  <c r="P28" i="64"/>
  <c r="T28" i="64" s="1"/>
  <c r="P93" i="64"/>
  <c r="R93" i="64" s="1"/>
  <c r="P83" i="64"/>
  <c r="R83" i="64" s="1"/>
  <c r="P90" i="64"/>
  <c r="T90" i="64" s="1"/>
  <c r="P88" i="64"/>
  <c r="T88" i="64" s="1"/>
  <c r="U30" i="64"/>
  <c r="V30" i="64" s="1"/>
  <c r="X30" i="64" s="1"/>
  <c r="P99" i="64"/>
  <c r="T99" i="64" s="1"/>
  <c r="P34" i="64"/>
  <c r="R34" i="64" s="1"/>
  <c r="U83" i="64"/>
  <c r="V83" i="64" s="1"/>
  <c r="X83" i="64" s="1"/>
  <c r="P82" i="64"/>
  <c r="R82" i="64" s="1"/>
  <c r="U82" i="64" s="1"/>
  <c r="V82" i="64" s="1"/>
  <c r="X82" i="64" s="1"/>
  <c r="P27" i="64"/>
  <c r="R27" i="64" s="1"/>
  <c r="U90" i="64"/>
  <c r="V90" i="64" s="1"/>
  <c r="X90" i="64" s="1"/>
  <c r="P146" i="64"/>
  <c r="T146" i="64" s="1"/>
  <c r="P29" i="64"/>
  <c r="T29" i="64" s="1"/>
  <c r="P21" i="64"/>
  <c r="T21" i="64" s="1"/>
  <c r="P22" i="64"/>
  <c r="R22" i="64" s="1"/>
  <c r="U36" i="64"/>
  <c r="V36" i="64" s="1"/>
  <c r="X36" i="64" s="1"/>
  <c r="P143" i="64"/>
  <c r="R143" i="64" s="1"/>
  <c r="U35" i="64"/>
  <c r="V35" i="64" s="1"/>
  <c r="X35" i="64" s="1"/>
  <c r="P19" i="64"/>
  <c r="T19" i="64" s="1"/>
  <c r="U89" i="64"/>
  <c r="V89" i="64" s="1"/>
  <c r="X89" i="64" s="1"/>
  <c r="U27" i="64"/>
  <c r="V27" i="64" s="1"/>
  <c r="X27" i="64" s="1"/>
  <c r="P96" i="64"/>
  <c r="T96" i="64" s="1"/>
  <c r="U25" i="64"/>
  <c r="V25" i="64" s="1"/>
  <c r="X25" i="64" s="1"/>
  <c r="P18" i="64"/>
  <c r="R18" i="64" s="1"/>
  <c r="U20" i="64"/>
  <c r="V20" i="64" s="1"/>
  <c r="X20" i="64" s="1"/>
  <c r="P85" i="64"/>
  <c r="R85" i="64" s="1"/>
  <c r="U85" i="64" s="1"/>
  <c r="V85" i="64" s="1"/>
  <c r="X85" i="64" s="1"/>
  <c r="P91" i="64"/>
  <c r="T91" i="64" s="1"/>
  <c r="P84" i="64"/>
  <c r="T84" i="64" s="1"/>
  <c r="U143" i="64"/>
  <c r="V143" i="64" s="1"/>
  <c r="X143" i="64" s="1"/>
  <c r="U28" i="64"/>
  <c r="V28" i="64" s="1"/>
  <c r="X28" i="64" s="1"/>
  <c r="U88" i="64"/>
  <c r="V88" i="64" s="1"/>
  <c r="X88" i="64" s="1"/>
  <c r="P86" i="64"/>
  <c r="R86" i="64" s="1"/>
  <c r="P30" i="64"/>
  <c r="T30" i="64" s="1"/>
  <c r="U29" i="64"/>
  <c r="V29" i="64" s="1"/>
  <c r="X29" i="64" s="1"/>
  <c r="G23" i="71"/>
  <c r="J23" i="71" s="1"/>
  <c r="C46" i="71"/>
  <c r="Q36" i="7"/>
  <c r="S36" i="7" s="1"/>
  <c r="C38" i="71"/>
  <c r="Q51" i="7"/>
  <c r="S51" i="7" s="1"/>
  <c r="C53" i="71"/>
  <c r="G53" i="71" s="1"/>
  <c r="C64" i="71"/>
  <c r="G64" i="71" s="1"/>
  <c r="J64" i="71" s="1"/>
  <c r="Q66" i="7"/>
  <c r="S66" i="7" s="1"/>
  <c r="Q49" i="7"/>
  <c r="S49" i="7" s="1"/>
  <c r="C51" i="71"/>
  <c r="C48" i="71"/>
  <c r="G48" i="71" s="1"/>
  <c r="J48" i="71" s="1"/>
  <c r="Q96" i="7"/>
  <c r="C105" i="71"/>
  <c r="G105" i="71" s="1"/>
  <c r="J105" i="71" s="1"/>
  <c r="G55" i="71"/>
  <c r="J55" i="71" s="1"/>
  <c r="C60" i="71"/>
  <c r="G60" i="71" s="1"/>
  <c r="J60" i="71" s="1"/>
  <c r="Q90" i="7"/>
  <c r="S90" i="7" s="1"/>
  <c r="C88" i="71"/>
  <c r="T69" i="16"/>
  <c r="C57" i="71"/>
  <c r="G57" i="71" s="1"/>
  <c r="Q54" i="7"/>
  <c r="S54" i="7" s="1"/>
  <c r="C56" i="71"/>
  <c r="G56" i="71" s="1"/>
  <c r="J56" i="71" s="1"/>
  <c r="Q42" i="7"/>
  <c r="S42" i="7" s="1"/>
  <c r="C44" i="71"/>
  <c r="C41" i="77" s="1"/>
  <c r="C31" i="71"/>
  <c r="G54" i="71"/>
  <c r="J54" i="71" s="1"/>
  <c r="J100" i="7"/>
  <c r="J107" i="7" s="1"/>
  <c r="G41" i="71"/>
  <c r="Q84" i="7"/>
  <c r="S84" i="7" s="1"/>
  <c r="Q57" i="7"/>
  <c r="S57" i="7" s="1"/>
  <c r="L100" i="7"/>
  <c r="L107" i="7" s="1"/>
  <c r="Q79" i="7"/>
  <c r="S79" i="7" s="1"/>
  <c r="F100" i="7"/>
  <c r="F107" i="7" s="1"/>
  <c r="Q43" i="7"/>
  <c r="S43" i="7" s="1"/>
  <c r="G79" i="71"/>
  <c r="J79" i="71" s="1"/>
  <c r="N100" i="7"/>
  <c r="N107" i="7" s="1"/>
  <c r="O137" i="40"/>
  <c r="M59" i="28"/>
  <c r="Q58" i="7"/>
  <c r="S58" i="7" s="1"/>
  <c r="U21" i="64"/>
  <c r="V21" i="64" s="1"/>
  <c r="X21" i="64" s="1"/>
  <c r="U93" i="64"/>
  <c r="V93" i="64" s="1"/>
  <c r="X93" i="64" s="1"/>
  <c r="P71" i="64"/>
  <c r="T71" i="64" s="1"/>
  <c r="U147" i="64"/>
  <c r="V147" i="64" s="1"/>
  <c r="X147" i="64" s="1"/>
  <c r="U24" i="64"/>
  <c r="V24" i="64" s="1"/>
  <c r="X24" i="64" s="1"/>
  <c r="P89" i="64"/>
  <c r="R89" i="64" s="1"/>
  <c r="P147" i="64"/>
  <c r="R147" i="64" s="1"/>
  <c r="U18" i="64"/>
  <c r="V18" i="64" s="1"/>
  <c r="X18" i="64" s="1"/>
  <c r="U32" i="64"/>
  <c r="V32" i="64" s="1"/>
  <c r="X32" i="64" s="1"/>
  <c r="P24" i="64"/>
  <c r="T24" i="64" s="1"/>
  <c r="U71" i="64"/>
  <c r="V71" i="64" s="1"/>
  <c r="X71" i="64" s="1"/>
  <c r="P25" i="64"/>
  <c r="R25" i="64" s="1"/>
  <c r="P33" i="64"/>
  <c r="T33" i="64" s="1"/>
  <c r="U96" i="64"/>
  <c r="V96" i="64" s="1"/>
  <c r="X96" i="64" s="1"/>
  <c r="N78" i="64"/>
  <c r="P20" i="64"/>
  <c r="T20" i="64" s="1"/>
  <c r="U22" i="64"/>
  <c r="V22" i="64" s="1"/>
  <c r="X22" i="64" s="1"/>
  <c r="P95" i="64"/>
  <c r="T95" i="64" s="1"/>
  <c r="U86" i="64"/>
  <c r="V86" i="64" s="1"/>
  <c r="X86" i="64" s="1"/>
  <c r="U146" i="64"/>
  <c r="V146" i="64" s="1"/>
  <c r="X146" i="64" s="1"/>
  <c r="P37" i="64"/>
  <c r="T37" i="64" s="1"/>
  <c r="P98" i="64"/>
  <c r="T98" i="64" s="1"/>
  <c r="M100" i="7"/>
  <c r="M107" i="7" s="1"/>
  <c r="F17" i="63"/>
  <c r="S97" i="7"/>
  <c r="Q55" i="7"/>
  <c r="S55" i="7" s="1"/>
  <c r="G40" i="71"/>
  <c r="J40" i="71" s="1"/>
  <c r="U33" i="64"/>
  <c r="V33" i="64" s="1"/>
  <c r="X33" i="64" s="1"/>
  <c r="P100" i="64"/>
  <c r="U91" i="64"/>
  <c r="V91" i="64" s="1"/>
  <c r="X91" i="64" s="1"/>
  <c r="D100" i="7"/>
  <c r="D107" i="7" s="1"/>
  <c r="G100" i="7"/>
  <c r="G107" i="7" s="1"/>
  <c r="U34" i="64"/>
  <c r="V34" i="64" s="1"/>
  <c r="X34" i="64" s="1"/>
  <c r="A5" i="49"/>
  <c r="A5" i="79" s="1"/>
  <c r="Q87" i="7"/>
  <c r="S87" i="7" s="1"/>
  <c r="T79" i="16"/>
  <c r="G76" i="71" s="1"/>
  <c r="J76" i="71" s="1"/>
  <c r="K100" i="7"/>
  <c r="K107" i="7" s="1"/>
  <c r="P144" i="64"/>
  <c r="R144" i="64" s="1"/>
  <c r="U95" i="64"/>
  <c r="V95" i="64" s="1"/>
  <c r="X95" i="64" s="1"/>
  <c r="I100" i="7"/>
  <c r="I107" i="7" s="1"/>
  <c r="G66" i="71"/>
  <c r="J66" i="71" s="1"/>
  <c r="U206" i="64"/>
  <c r="V206" i="64" s="1"/>
  <c r="X206" i="64" s="1"/>
  <c r="P206" i="64"/>
  <c r="P81" i="64"/>
  <c r="U81" i="64"/>
  <c r="U97" i="64"/>
  <c r="V97" i="64" s="1"/>
  <c r="X97" i="64" s="1"/>
  <c r="P97" i="64"/>
  <c r="H100" i="7"/>
  <c r="H107" i="7" s="1"/>
  <c r="P94" i="64"/>
  <c r="U94" i="64"/>
  <c r="V94" i="64" s="1"/>
  <c r="X94" i="64" s="1"/>
  <c r="P92" i="64"/>
  <c r="U92" i="64"/>
  <c r="V92" i="64" s="1"/>
  <c r="X92" i="64" s="1"/>
  <c r="P26" i="64"/>
  <c r="U26" i="64"/>
  <c r="V26" i="64" s="1"/>
  <c r="X26" i="64" s="1"/>
  <c r="P101" i="64"/>
  <c r="U101" i="64"/>
  <c r="V101" i="64" s="1"/>
  <c r="X101" i="64" s="1"/>
  <c r="P31" i="64"/>
  <c r="U31" i="64"/>
  <c r="V31" i="64" s="1"/>
  <c r="X31" i="64" s="1"/>
  <c r="U74" i="64"/>
  <c r="V74" i="64" s="1"/>
  <c r="X74" i="64" s="1"/>
  <c r="P74" i="64"/>
  <c r="U38" i="64"/>
  <c r="V38" i="64" s="1"/>
  <c r="X38" i="64" s="1"/>
  <c r="P38" i="64"/>
  <c r="F16" i="63"/>
  <c r="O78" i="64"/>
  <c r="U87" i="64"/>
  <c r="V87" i="64" s="1"/>
  <c r="X87" i="64" s="1"/>
  <c r="P72" i="64"/>
  <c r="U72" i="64"/>
  <c r="V72" i="64" s="1"/>
  <c r="X72" i="64" s="1"/>
  <c r="U23" i="64"/>
  <c r="V23" i="64" s="1"/>
  <c r="X23" i="64" s="1"/>
  <c r="P23" i="64"/>
  <c r="P32" i="64"/>
  <c r="P36" i="64"/>
  <c r="T58" i="16"/>
  <c r="E61" i="71" s="1"/>
  <c r="G59" i="71"/>
  <c r="J59" i="71" s="1"/>
  <c r="O68" i="64"/>
  <c r="F15" i="63"/>
  <c r="U145" i="64"/>
  <c r="V145" i="64" s="1"/>
  <c r="X145" i="64" s="1"/>
  <c r="P145" i="64"/>
  <c r="E100" i="7"/>
  <c r="E107" i="7" s="1"/>
  <c r="Q75" i="7"/>
  <c r="S75" i="7" s="1"/>
  <c r="G102" i="71"/>
  <c r="J102" i="71" s="1"/>
  <c r="N68" i="64"/>
  <c r="D15" i="63"/>
  <c r="U73" i="64"/>
  <c r="V73" i="64" s="1"/>
  <c r="X73" i="64" s="1"/>
  <c r="P73" i="64"/>
  <c r="T65" i="16"/>
  <c r="N105" i="64"/>
  <c r="N107" i="64" s="1"/>
  <c r="D17" i="63"/>
  <c r="B21" i="63"/>
  <c r="N52" i="28"/>
  <c r="G77" i="71"/>
  <c r="J77" i="71" s="1"/>
  <c r="Q88" i="7"/>
  <c r="S88" i="7" s="1"/>
  <c r="Q56" i="7"/>
  <c r="S56" i="7" s="1"/>
  <c r="Q23" i="7"/>
  <c r="C100" i="7"/>
  <c r="C107" i="7" s="1"/>
  <c r="G37" i="71"/>
  <c r="J37" i="71" s="1"/>
  <c r="Q39" i="7"/>
  <c r="S39" i="7" s="1"/>
  <c r="E27" i="71"/>
  <c r="D24" i="16"/>
  <c r="N59" i="28"/>
  <c r="G70" i="71"/>
  <c r="J70" i="71" s="1"/>
  <c r="Q81" i="7"/>
  <c r="S81" i="7" s="1"/>
  <c r="AC42" i="28"/>
  <c r="AC46" i="28"/>
  <c r="O19" i="77"/>
  <c r="L55" i="17"/>
  <c r="AC41" i="28"/>
  <c r="AC45" i="28"/>
  <c r="Q52" i="7"/>
  <c r="S52" i="7" s="1"/>
  <c r="Q50" i="7"/>
  <c r="S50" i="7" s="1"/>
  <c r="G42" i="71"/>
  <c r="J42" i="71" s="1"/>
  <c r="Q44" i="7"/>
  <c r="S44" i="7" s="1"/>
  <c r="Q105" i="64"/>
  <c r="J17" i="63"/>
  <c r="J21" i="63" s="1"/>
  <c r="Q83" i="7"/>
  <c r="S83" i="7" s="1"/>
  <c r="G72" i="71"/>
  <c r="J72" i="71" s="1"/>
  <c r="Q94" i="7"/>
  <c r="S94" i="7" s="1"/>
  <c r="Q37" i="7"/>
  <c r="S37" i="7" s="1"/>
  <c r="S98" i="7"/>
  <c r="Q92" i="7"/>
  <c r="S92" i="7" s="1"/>
  <c r="Q82" i="7"/>
  <c r="S82" i="7" s="1"/>
  <c r="Q73" i="7"/>
  <c r="S73" i="7" s="1"/>
  <c r="G58" i="71"/>
  <c r="J58" i="71" s="1"/>
  <c r="Q59" i="7"/>
  <c r="S59" i="7" s="1"/>
  <c r="Q15" i="7"/>
  <c r="S15" i="7" s="1"/>
  <c r="O24" i="7"/>
  <c r="Q86" i="7"/>
  <c r="S86" i="7" s="1"/>
  <c r="Q71" i="7"/>
  <c r="S71" i="7" s="1"/>
  <c r="N283" i="64"/>
  <c r="D19" i="63"/>
  <c r="Q91" i="7"/>
  <c r="S91" i="7" s="1"/>
  <c r="Q76" i="7"/>
  <c r="S76" i="7" s="1"/>
  <c r="Q40" i="7"/>
  <c r="S40" i="7" s="1"/>
  <c r="O99" i="7"/>
  <c r="G73" i="71"/>
  <c r="J73" i="71" s="1"/>
  <c r="G86" i="71"/>
  <c r="J86" i="71" s="1"/>
  <c r="Q89" i="7"/>
  <c r="S89" i="7" s="1"/>
  <c r="Q78" i="7"/>
  <c r="S78" i="7" s="1"/>
  <c r="G67" i="71"/>
  <c r="J67" i="71" s="1"/>
  <c r="Q72" i="7"/>
  <c r="S72" i="7" s="1"/>
  <c r="Q93" i="7"/>
  <c r="S93" i="7" s="1"/>
  <c r="Q77" i="7"/>
  <c r="S77" i="7" s="1"/>
  <c r="Q41" i="7"/>
  <c r="S41" i="7" s="1"/>
  <c r="G39" i="71"/>
  <c r="J39" i="71" s="1"/>
  <c r="Q38" i="7"/>
  <c r="S38" i="7" s="1"/>
  <c r="T68" i="16"/>
  <c r="Q95" i="7"/>
  <c r="S95" i="7" s="1"/>
  <c r="L23" i="63" s="1"/>
  <c r="G85" i="71"/>
  <c r="J85" i="71" s="1"/>
  <c r="G82" i="71"/>
  <c r="J82" i="71" s="1"/>
  <c r="G74" i="71"/>
  <c r="J74" i="71" s="1"/>
  <c r="Q85" i="7"/>
  <c r="S85" i="7" s="1"/>
  <c r="G101" i="71"/>
  <c r="J101" i="71" s="1"/>
  <c r="Q74" i="7"/>
  <c r="S74" i="7" s="1"/>
  <c r="Q70" i="7"/>
  <c r="S70" i="7" s="1"/>
  <c r="Q31" i="7"/>
  <c r="S31" i="7" s="1"/>
  <c r="AE11" i="28"/>
  <c r="AE15" i="28" s="1"/>
  <c r="AC11" i="28"/>
  <c r="AC15" i="28" s="1"/>
  <c r="AB15" i="28"/>
  <c r="G68" i="71"/>
  <c r="J68" i="71" s="1"/>
  <c r="AA11" i="94" l="1"/>
  <c r="AA18" i="94"/>
  <c r="AA19" i="94"/>
  <c r="AA16" i="94"/>
  <c r="AA24" i="94"/>
  <c r="AA36" i="94"/>
  <c r="AA21" i="94"/>
  <c r="AA13" i="94"/>
  <c r="AA39" i="94"/>
  <c r="AA12" i="94"/>
  <c r="AA26" i="94"/>
  <c r="AA28" i="94"/>
  <c r="AA22" i="94"/>
  <c r="AA31" i="94"/>
  <c r="AA6" i="94"/>
  <c r="L27" i="94"/>
  <c r="AA17" i="94"/>
  <c r="AA9" i="94"/>
  <c r="AA8" i="94"/>
  <c r="AA33" i="94"/>
  <c r="AA38" i="94"/>
  <c r="AA27" i="94"/>
  <c r="AA34" i="94"/>
  <c r="AA23" i="94"/>
  <c r="AA32" i="94"/>
  <c r="AA37" i="94"/>
  <c r="AA7" i="94"/>
  <c r="AA29" i="94"/>
  <c r="AA14" i="94"/>
  <c r="J49" i="17"/>
  <c r="A5" i="95"/>
  <c r="A5" i="77"/>
  <c r="D53" i="77"/>
  <c r="C57" i="77" s="1"/>
  <c r="F14" i="17" s="1"/>
  <c r="L14" i="17" s="1"/>
  <c r="H13" i="71" s="1"/>
  <c r="J13" i="71" s="1"/>
  <c r="L13" i="17"/>
  <c r="H12" i="71" s="1"/>
  <c r="B92" i="20"/>
  <c r="N62" i="28"/>
  <c r="N63" i="28" s="1"/>
  <c r="G49" i="71"/>
  <c r="E45" i="71"/>
  <c r="G45" i="71" s="1"/>
  <c r="J45" i="71" s="1"/>
  <c r="T42" i="16"/>
  <c r="D92" i="16"/>
  <c r="D31" i="71"/>
  <c r="S23" i="7"/>
  <c r="U23" i="7"/>
  <c r="U24" i="7" s="1"/>
  <c r="T17" i="64"/>
  <c r="P66" i="64"/>
  <c r="P68" i="64" s="1"/>
  <c r="V17" i="64"/>
  <c r="T200" i="64"/>
  <c r="Y200" i="64" s="1"/>
  <c r="Z200" i="64" s="1"/>
  <c r="P203" i="64"/>
  <c r="H18" i="63" s="1"/>
  <c r="V111" i="64"/>
  <c r="T279" i="64"/>
  <c r="Y279" i="64" s="1"/>
  <c r="Z279" i="64" s="1"/>
  <c r="R279" i="64"/>
  <c r="T229" i="64"/>
  <c r="Y229" i="64" s="1"/>
  <c r="Z229" i="64" s="1"/>
  <c r="AF229" i="64" s="1"/>
  <c r="R229" i="64"/>
  <c r="T257" i="64"/>
  <c r="R257" i="64"/>
  <c r="U257" i="64" s="1"/>
  <c r="V257" i="64" s="1"/>
  <c r="X257" i="64" s="1"/>
  <c r="T226" i="64"/>
  <c r="Y226" i="64" s="1"/>
  <c r="Z226" i="64" s="1"/>
  <c r="AF226" i="64" s="1"/>
  <c r="R226" i="64"/>
  <c r="T161" i="64"/>
  <c r="Y161" i="64" s="1"/>
  <c r="Z161" i="64" s="1"/>
  <c r="R161" i="64"/>
  <c r="T239" i="64"/>
  <c r="R239" i="64"/>
  <c r="U239" i="64" s="1"/>
  <c r="V239" i="64" s="1"/>
  <c r="X239" i="64" s="1"/>
  <c r="T223" i="64"/>
  <c r="Y223" i="64" s="1"/>
  <c r="Z223" i="64" s="1"/>
  <c r="R223" i="64"/>
  <c r="R56" i="64"/>
  <c r="U56" i="64" s="1"/>
  <c r="V56" i="64" s="1"/>
  <c r="X56" i="64" s="1"/>
  <c r="T56" i="64"/>
  <c r="R57" i="64"/>
  <c r="U57" i="64" s="1"/>
  <c r="V57" i="64" s="1"/>
  <c r="X57" i="64" s="1"/>
  <c r="T57" i="64"/>
  <c r="R214" i="64"/>
  <c r="T214" i="64"/>
  <c r="Y214" i="64" s="1"/>
  <c r="Z214" i="64" s="1"/>
  <c r="AF214" i="64" s="1"/>
  <c r="T269" i="64"/>
  <c r="Y269" i="64" s="1"/>
  <c r="Z269" i="64" s="1"/>
  <c r="AF269" i="64" s="1"/>
  <c r="R269" i="64"/>
  <c r="R234" i="64"/>
  <c r="T234" i="64"/>
  <c r="Y234" i="64" s="1"/>
  <c r="Z234" i="64" s="1"/>
  <c r="AF234" i="64" s="1"/>
  <c r="T225" i="64"/>
  <c r="Y225" i="64" s="1"/>
  <c r="Z225" i="64" s="1"/>
  <c r="AF225" i="64" s="1"/>
  <c r="R225" i="64"/>
  <c r="R260" i="64"/>
  <c r="T260" i="64"/>
  <c r="Y260" i="64" s="1"/>
  <c r="Z260" i="64" s="1"/>
  <c r="AF260" i="64" s="1"/>
  <c r="T117" i="64"/>
  <c r="Y117" i="64" s="1"/>
  <c r="Z117" i="64" s="1"/>
  <c r="R117" i="64"/>
  <c r="R54" i="64"/>
  <c r="U54" i="64" s="1"/>
  <c r="V54" i="64" s="1"/>
  <c r="X54" i="64" s="1"/>
  <c r="T54" i="64"/>
  <c r="R187" i="64"/>
  <c r="T187" i="64"/>
  <c r="Y187" i="64" s="1"/>
  <c r="Z187" i="64" s="1"/>
  <c r="T240" i="64"/>
  <c r="R240" i="64"/>
  <c r="U240" i="64" s="1"/>
  <c r="V240" i="64" s="1"/>
  <c r="X240" i="64" s="1"/>
  <c r="R124" i="64"/>
  <c r="T124" i="64"/>
  <c r="Y124" i="64" s="1"/>
  <c r="Z124" i="64" s="1"/>
  <c r="AF124" i="64" s="1"/>
  <c r="R112" i="64"/>
  <c r="T112" i="64"/>
  <c r="Y112" i="64" s="1"/>
  <c r="Z112" i="64" s="1"/>
  <c r="T221" i="64"/>
  <c r="Y221" i="64" s="1"/>
  <c r="Z221" i="64" s="1"/>
  <c r="AF221" i="64" s="1"/>
  <c r="R221" i="64"/>
  <c r="R61" i="64"/>
  <c r="U61" i="64" s="1"/>
  <c r="V61" i="64" s="1"/>
  <c r="X61" i="64" s="1"/>
  <c r="T61" i="64"/>
  <c r="R246" i="64"/>
  <c r="U246" i="64" s="1"/>
  <c r="V246" i="64" s="1"/>
  <c r="X246" i="64" s="1"/>
  <c r="T246" i="64"/>
  <c r="T255" i="64"/>
  <c r="R255" i="64"/>
  <c r="U255" i="64" s="1"/>
  <c r="V255" i="64" s="1"/>
  <c r="X255" i="64" s="1"/>
  <c r="T209" i="64"/>
  <c r="Y209" i="64" s="1"/>
  <c r="Z209" i="64" s="1"/>
  <c r="AF209" i="64" s="1"/>
  <c r="R209" i="64"/>
  <c r="R167" i="64"/>
  <c r="T167" i="64"/>
  <c r="Y167" i="64" s="1"/>
  <c r="Z167" i="64" s="1"/>
  <c r="AF167" i="64" s="1"/>
  <c r="R275" i="64"/>
  <c r="T275" i="64"/>
  <c r="Y275" i="64" s="1"/>
  <c r="Z275" i="64" s="1"/>
  <c r="AF275" i="64" s="1"/>
  <c r="T150" i="64"/>
  <c r="R150" i="64"/>
  <c r="T177" i="64"/>
  <c r="Y177" i="64" s="1"/>
  <c r="Z177" i="64" s="1"/>
  <c r="R177" i="64"/>
  <c r="R160" i="64"/>
  <c r="T160" i="64"/>
  <c r="Y160" i="64" s="1"/>
  <c r="T241" i="64"/>
  <c r="R241" i="64"/>
  <c r="U241" i="64" s="1"/>
  <c r="V241" i="64" s="1"/>
  <c r="X241" i="64" s="1"/>
  <c r="R133" i="64"/>
  <c r="T133" i="64"/>
  <c r="Y133" i="64" s="1"/>
  <c r="Z133" i="64" s="1"/>
  <c r="AF133" i="64" s="1"/>
  <c r="R232" i="64"/>
  <c r="T232" i="64"/>
  <c r="Y232" i="64" s="1"/>
  <c r="Z232" i="64" s="1"/>
  <c r="AF232" i="64" s="1"/>
  <c r="T248" i="64"/>
  <c r="R248" i="64"/>
  <c r="U248" i="64" s="1"/>
  <c r="V248" i="64" s="1"/>
  <c r="X248" i="64" s="1"/>
  <c r="T265" i="64"/>
  <c r="Y265" i="64" s="1"/>
  <c r="Z265" i="64" s="1"/>
  <c r="AF265" i="64" s="1"/>
  <c r="R265" i="64"/>
  <c r="R119" i="64"/>
  <c r="T119" i="64"/>
  <c r="Y119" i="64" s="1"/>
  <c r="Z119" i="64" s="1"/>
  <c r="T192" i="64"/>
  <c r="Y192" i="64" s="1"/>
  <c r="Z192" i="64" s="1"/>
  <c r="AF192" i="64" s="1"/>
  <c r="R192" i="64"/>
  <c r="T134" i="64"/>
  <c r="Y134" i="64" s="1"/>
  <c r="Z134" i="64" s="1"/>
  <c r="AF134" i="64" s="1"/>
  <c r="R134" i="64"/>
  <c r="T261" i="64"/>
  <c r="Y261" i="64" s="1"/>
  <c r="Z261" i="64" s="1"/>
  <c r="AF261" i="64" s="1"/>
  <c r="R261" i="64"/>
  <c r="R49" i="64"/>
  <c r="U49" i="64" s="1"/>
  <c r="V49" i="64" s="1"/>
  <c r="X49" i="64" s="1"/>
  <c r="T49" i="64"/>
  <c r="R244" i="64"/>
  <c r="U244" i="64" s="1"/>
  <c r="V244" i="64" s="1"/>
  <c r="X244" i="64" s="1"/>
  <c r="T244" i="64"/>
  <c r="T237" i="64"/>
  <c r="Y237" i="64" s="1"/>
  <c r="Z237" i="64" s="1"/>
  <c r="AF237" i="64" s="1"/>
  <c r="R237" i="64"/>
  <c r="T157" i="64"/>
  <c r="Y157" i="64" s="1"/>
  <c r="Z157" i="64" s="1"/>
  <c r="AF157" i="64" s="1"/>
  <c r="R157" i="64"/>
  <c r="R191" i="64"/>
  <c r="T191" i="64"/>
  <c r="Y191" i="64" s="1"/>
  <c r="Z191" i="64" s="1"/>
  <c r="AF191" i="64" s="1"/>
  <c r="T148" i="64"/>
  <c r="Y148" i="64" s="1"/>
  <c r="Z148" i="64" s="1"/>
  <c r="AF148" i="64" s="1"/>
  <c r="R148" i="64"/>
  <c r="R183" i="64"/>
  <c r="U183" i="64" s="1"/>
  <c r="V183" i="64" s="1"/>
  <c r="X183" i="64" s="1"/>
  <c r="T183" i="64"/>
  <c r="R50" i="64"/>
  <c r="U50" i="64" s="1"/>
  <c r="V50" i="64" s="1"/>
  <c r="X50" i="64" s="1"/>
  <c r="T50" i="64"/>
  <c r="R180" i="64"/>
  <c r="T180" i="64"/>
  <c r="Y180" i="64" s="1"/>
  <c r="Z180" i="64" s="1"/>
  <c r="R243" i="64"/>
  <c r="U243" i="64" s="1"/>
  <c r="V243" i="64" s="1"/>
  <c r="X243" i="64" s="1"/>
  <c r="T243" i="64"/>
  <c r="T193" i="64"/>
  <c r="Y193" i="64" s="1"/>
  <c r="Z193" i="64" s="1"/>
  <c r="R193" i="64"/>
  <c r="R111" i="64"/>
  <c r="T111" i="64"/>
  <c r="T181" i="64"/>
  <c r="Y181" i="64" s="1"/>
  <c r="Z181" i="64" s="1"/>
  <c r="R181" i="64"/>
  <c r="T230" i="64"/>
  <c r="Y230" i="64" s="1"/>
  <c r="Z230" i="64" s="1"/>
  <c r="AF230" i="64" s="1"/>
  <c r="R230" i="64"/>
  <c r="T238" i="64"/>
  <c r="R238" i="64"/>
  <c r="U238" i="64" s="1"/>
  <c r="V238" i="64" s="1"/>
  <c r="X238" i="64" s="1"/>
  <c r="T271" i="64"/>
  <c r="R271" i="64"/>
  <c r="U271" i="64" s="1"/>
  <c r="V271" i="64" s="1"/>
  <c r="X271" i="64" s="1"/>
  <c r="T162" i="64"/>
  <c r="Y162" i="64" s="1"/>
  <c r="Z162" i="64" s="1"/>
  <c r="R162" i="64"/>
  <c r="R196" i="64"/>
  <c r="T196" i="64"/>
  <c r="Y196" i="64" s="1"/>
  <c r="Z196" i="64" s="1"/>
  <c r="AF196" i="64" s="1"/>
  <c r="T274" i="64"/>
  <c r="Y274" i="64" s="1"/>
  <c r="Z274" i="64" s="1"/>
  <c r="R274" i="64"/>
  <c r="T149" i="64"/>
  <c r="Y149" i="64" s="1"/>
  <c r="Z149" i="64" s="1"/>
  <c r="AF149" i="64" s="1"/>
  <c r="R149" i="64"/>
  <c r="T188" i="64"/>
  <c r="Y188" i="64" s="1"/>
  <c r="Z188" i="64" s="1"/>
  <c r="AF188" i="64" s="1"/>
  <c r="R188" i="64"/>
  <c r="R123" i="64"/>
  <c r="T123" i="64"/>
  <c r="Y123" i="64" s="1"/>
  <c r="Z123" i="64" s="1"/>
  <c r="AF123" i="64" s="1"/>
  <c r="T60" i="64"/>
  <c r="R60" i="64"/>
  <c r="U60" i="64" s="1"/>
  <c r="V60" i="64" s="1"/>
  <c r="X60" i="64" s="1"/>
  <c r="R152" i="64"/>
  <c r="T152" i="64"/>
  <c r="Y152" i="64" s="1"/>
  <c r="R199" i="64"/>
  <c r="T199" i="64"/>
  <c r="Y199" i="64" s="1"/>
  <c r="Z199" i="64" s="1"/>
  <c r="AF199" i="64" s="1"/>
  <c r="T39" i="64"/>
  <c r="R39" i="64"/>
  <c r="U39" i="64" s="1"/>
  <c r="V39" i="64" s="1"/>
  <c r="X39" i="64" s="1"/>
  <c r="R178" i="64"/>
  <c r="T178" i="64"/>
  <c r="Y178" i="64" s="1"/>
  <c r="Z178" i="64" s="1"/>
  <c r="AF178" i="64" s="1"/>
  <c r="R128" i="64"/>
  <c r="T128" i="64"/>
  <c r="Y128" i="64" s="1"/>
  <c r="Z128" i="64" s="1"/>
  <c r="T270" i="64"/>
  <c r="Y270" i="64" s="1"/>
  <c r="Z270" i="64" s="1"/>
  <c r="R270" i="64"/>
  <c r="R219" i="64"/>
  <c r="T219" i="64"/>
  <c r="Y219" i="64" s="1"/>
  <c r="Z219" i="64" s="1"/>
  <c r="AF219" i="64" s="1"/>
  <c r="R235" i="64"/>
  <c r="T235" i="64"/>
  <c r="Y235" i="64" s="1"/>
  <c r="Z235" i="64" s="1"/>
  <c r="AF235" i="64" s="1"/>
  <c r="T197" i="64"/>
  <c r="Y197" i="64" s="1"/>
  <c r="Z197" i="64" s="1"/>
  <c r="AF197" i="64" s="1"/>
  <c r="R197" i="64"/>
  <c r="Y150" i="64"/>
  <c r="Z150" i="64" s="1"/>
  <c r="AF150" i="64" s="1"/>
  <c r="R189" i="64"/>
  <c r="T189" i="64"/>
  <c r="Y189" i="64" s="1"/>
  <c r="Z189" i="64" s="1"/>
  <c r="AF189" i="64" s="1"/>
  <c r="T132" i="64"/>
  <c r="Y132" i="64" s="1"/>
  <c r="R132" i="64"/>
  <c r="T58" i="64"/>
  <c r="Y58" i="64" s="1"/>
  <c r="R58" i="64"/>
  <c r="T153" i="64"/>
  <c r="Y153" i="64" s="1"/>
  <c r="Z153" i="64" s="1"/>
  <c r="R153" i="64"/>
  <c r="T113" i="64"/>
  <c r="Y113" i="64" s="1"/>
  <c r="Z113" i="64" s="1"/>
  <c r="R113" i="64"/>
  <c r="T43" i="64"/>
  <c r="R43" i="64"/>
  <c r="U43" i="64" s="1"/>
  <c r="V43" i="64" s="1"/>
  <c r="X43" i="64" s="1"/>
  <c r="R194" i="64"/>
  <c r="T194" i="64"/>
  <c r="Y194" i="64" s="1"/>
  <c r="Z194" i="64" s="1"/>
  <c r="R40" i="64"/>
  <c r="U40" i="64" s="1"/>
  <c r="V40" i="64" s="1"/>
  <c r="X40" i="64" s="1"/>
  <c r="T40" i="64"/>
  <c r="R130" i="64"/>
  <c r="T130" i="64"/>
  <c r="Y130" i="64" s="1"/>
  <c r="Z130" i="64" s="1"/>
  <c r="AF130" i="64" s="1"/>
  <c r="R254" i="64"/>
  <c r="U254" i="64" s="1"/>
  <c r="V254" i="64" s="1"/>
  <c r="X254" i="64" s="1"/>
  <c r="T254" i="64"/>
  <c r="T216" i="64"/>
  <c r="Y216" i="64" s="1"/>
  <c r="Z216" i="64" s="1"/>
  <c r="AF216" i="64" s="1"/>
  <c r="R216" i="64"/>
  <c r="T256" i="64"/>
  <c r="R256" i="64"/>
  <c r="U256" i="64" s="1"/>
  <c r="V256" i="64" s="1"/>
  <c r="X256" i="64" s="1"/>
  <c r="T174" i="64"/>
  <c r="Y174" i="64" s="1"/>
  <c r="Z174" i="64" s="1"/>
  <c r="AF174" i="64" s="1"/>
  <c r="R174" i="64"/>
  <c r="T198" i="64"/>
  <c r="Y198" i="64" s="1"/>
  <c r="Z198" i="64" s="1"/>
  <c r="AF198" i="64" s="1"/>
  <c r="R198" i="64"/>
  <c r="R220" i="64"/>
  <c r="T220" i="64"/>
  <c r="Y220" i="64" s="1"/>
  <c r="Z220" i="64" s="1"/>
  <c r="AF220" i="64" s="1"/>
  <c r="T164" i="64"/>
  <c r="Y164" i="64" s="1"/>
  <c r="Z164" i="64" s="1"/>
  <c r="AF164" i="64" s="1"/>
  <c r="R164" i="64"/>
  <c r="R190" i="64"/>
  <c r="T190" i="64"/>
  <c r="Y190" i="64" s="1"/>
  <c r="Z190" i="64" s="1"/>
  <c r="AF190" i="64" s="1"/>
  <c r="R44" i="64"/>
  <c r="U44" i="64" s="1"/>
  <c r="V44" i="64" s="1"/>
  <c r="X44" i="64" s="1"/>
  <c r="T44" i="64"/>
  <c r="T129" i="64"/>
  <c r="Y129" i="64" s="1"/>
  <c r="Z129" i="64" s="1"/>
  <c r="R129" i="64"/>
  <c r="R242" i="64"/>
  <c r="U242" i="64" s="1"/>
  <c r="V242" i="64" s="1"/>
  <c r="X242" i="64" s="1"/>
  <c r="T242" i="64"/>
  <c r="R171" i="64"/>
  <c r="T171" i="64"/>
  <c r="Y171" i="64" s="1"/>
  <c r="Z171" i="64" s="1"/>
  <c r="AF171" i="64" s="1"/>
  <c r="R263" i="64"/>
  <c r="T263" i="64"/>
  <c r="Y263" i="64" s="1"/>
  <c r="Z263" i="64" s="1"/>
  <c r="AF263" i="64" s="1"/>
  <c r="T249" i="64"/>
  <c r="R249" i="64"/>
  <c r="U249" i="64" s="1"/>
  <c r="V249" i="64" s="1"/>
  <c r="X249" i="64" s="1"/>
  <c r="R266" i="64"/>
  <c r="T266" i="64"/>
  <c r="Y266" i="64" s="1"/>
  <c r="Z266" i="64" s="1"/>
  <c r="AF266" i="64" s="1"/>
  <c r="T273" i="64"/>
  <c r="Y273" i="64" s="1"/>
  <c r="Z273" i="64" s="1"/>
  <c r="R273" i="64"/>
  <c r="T122" i="64"/>
  <c r="Y122" i="64" s="1"/>
  <c r="Z122" i="64" s="1"/>
  <c r="AF122" i="64" s="1"/>
  <c r="R122" i="64"/>
  <c r="R212" i="64"/>
  <c r="T212" i="64"/>
  <c r="Y212" i="64" s="1"/>
  <c r="Z212" i="64" s="1"/>
  <c r="AF212" i="64" s="1"/>
  <c r="T52" i="64"/>
  <c r="R52" i="64"/>
  <c r="U52" i="64" s="1"/>
  <c r="V52" i="64" s="1"/>
  <c r="X52" i="64" s="1"/>
  <c r="R135" i="64"/>
  <c r="T135" i="64"/>
  <c r="Y135" i="64" s="1"/>
  <c r="Z135" i="64" s="1"/>
  <c r="R176" i="64"/>
  <c r="T176" i="64"/>
  <c r="Y176" i="64" s="1"/>
  <c r="Z176" i="64" s="1"/>
  <c r="AF176" i="64" s="1"/>
  <c r="T245" i="64"/>
  <c r="R245" i="64"/>
  <c r="U245" i="64" s="1"/>
  <c r="V245" i="64" s="1"/>
  <c r="X245" i="64" s="1"/>
  <c r="R207" i="64"/>
  <c r="T207" i="64"/>
  <c r="Y207" i="64" s="1"/>
  <c r="T250" i="64"/>
  <c r="R250" i="64"/>
  <c r="U250" i="64" s="1"/>
  <c r="V250" i="64" s="1"/>
  <c r="X250" i="64" s="1"/>
  <c r="R222" i="64"/>
  <c r="T222" i="64"/>
  <c r="Y222" i="64" s="1"/>
  <c r="Z222" i="64" s="1"/>
  <c r="AF222" i="64" s="1"/>
  <c r="R159" i="64"/>
  <c r="T159" i="64"/>
  <c r="Y159" i="64" s="1"/>
  <c r="Z159" i="64" s="1"/>
  <c r="T55" i="64"/>
  <c r="R55" i="64"/>
  <c r="U55" i="64" s="1"/>
  <c r="V55" i="64" s="1"/>
  <c r="X55" i="64" s="1"/>
  <c r="T136" i="64"/>
  <c r="Y136" i="64" s="1"/>
  <c r="Z136" i="64" s="1"/>
  <c r="R136" i="64"/>
  <c r="R264" i="64"/>
  <c r="T264" i="64"/>
  <c r="Y264" i="64" s="1"/>
  <c r="Z264" i="64" s="1"/>
  <c r="AF264" i="64" s="1"/>
  <c r="R151" i="64"/>
  <c r="T151" i="64"/>
  <c r="Y151" i="64" s="1"/>
  <c r="T262" i="64"/>
  <c r="Y262" i="64" s="1"/>
  <c r="Z262" i="64" s="1"/>
  <c r="AF262" i="64" s="1"/>
  <c r="R262" i="64"/>
  <c r="R267" i="64"/>
  <c r="T267" i="64"/>
  <c r="Y267" i="64" s="1"/>
  <c r="Z267" i="64" s="1"/>
  <c r="AF267" i="64" s="1"/>
  <c r="T173" i="64"/>
  <c r="Y173" i="64" s="1"/>
  <c r="Z173" i="64" s="1"/>
  <c r="AF173" i="64" s="1"/>
  <c r="R173" i="64"/>
  <c r="R118" i="64"/>
  <c r="T118" i="64"/>
  <c r="Y118" i="64" s="1"/>
  <c r="Z118" i="64" s="1"/>
  <c r="AF118" i="64" s="1"/>
  <c r="T42" i="64"/>
  <c r="Y42" i="64" s="1"/>
  <c r="Z42" i="64" s="1"/>
  <c r="R42" i="64"/>
  <c r="T253" i="64"/>
  <c r="R253" i="64"/>
  <c r="U253" i="64" s="1"/>
  <c r="V253" i="64" s="1"/>
  <c r="X253" i="64" s="1"/>
  <c r="R211" i="64"/>
  <c r="T211" i="64"/>
  <c r="Y211" i="64" s="1"/>
  <c r="Z211" i="64" s="1"/>
  <c r="AF211" i="64" s="1"/>
  <c r="R115" i="64"/>
  <c r="T115" i="64"/>
  <c r="Y115" i="64" s="1"/>
  <c r="T59" i="64"/>
  <c r="R59" i="64"/>
  <c r="U59" i="64" s="1"/>
  <c r="V59" i="64" s="1"/>
  <c r="X59" i="64" s="1"/>
  <c r="R227" i="64"/>
  <c r="T227" i="64"/>
  <c r="Y227" i="64" s="1"/>
  <c r="Z227" i="64" s="1"/>
  <c r="AF227" i="64" s="1"/>
  <c r="T278" i="64"/>
  <c r="Y278" i="64" s="1"/>
  <c r="Z278" i="64" s="1"/>
  <c r="R278" i="64"/>
  <c r="R228" i="64"/>
  <c r="T228" i="64"/>
  <c r="Y228" i="64" s="1"/>
  <c r="Z228" i="64" s="1"/>
  <c r="AF228" i="64" s="1"/>
  <c r="R236" i="64"/>
  <c r="T236" i="64"/>
  <c r="Y236" i="64" s="1"/>
  <c r="Z236" i="64" s="1"/>
  <c r="R210" i="64"/>
  <c r="T210" i="64"/>
  <c r="Y210" i="64" s="1"/>
  <c r="Z210" i="64" s="1"/>
  <c r="AF210" i="64" s="1"/>
  <c r="R140" i="64"/>
  <c r="T140" i="64"/>
  <c r="Y140" i="64" s="1"/>
  <c r="Z140" i="64" s="1"/>
  <c r="R62" i="64"/>
  <c r="T62" i="64"/>
  <c r="Y62" i="64" s="1"/>
  <c r="R251" i="64"/>
  <c r="U251" i="64" s="1"/>
  <c r="V251" i="64" s="1"/>
  <c r="X251" i="64" s="1"/>
  <c r="T251" i="64"/>
  <c r="R168" i="64"/>
  <c r="T168" i="64"/>
  <c r="Y168" i="64" s="1"/>
  <c r="Z168" i="64" s="1"/>
  <c r="AF168" i="64" s="1"/>
  <c r="T47" i="64"/>
  <c r="R47" i="64"/>
  <c r="U47" i="64" s="1"/>
  <c r="V47" i="64" s="1"/>
  <c r="X47" i="64" s="1"/>
  <c r="R126" i="64"/>
  <c r="T126" i="64"/>
  <c r="Y126" i="64" s="1"/>
  <c r="Z126" i="64" s="1"/>
  <c r="AF126" i="64" s="1"/>
  <c r="T137" i="64"/>
  <c r="Y137" i="64" s="1"/>
  <c r="Z137" i="64" s="1"/>
  <c r="AF137" i="64" s="1"/>
  <c r="R137" i="64"/>
  <c r="Y37" i="64"/>
  <c r="Z37" i="64" s="1"/>
  <c r="AF37" i="64" s="1"/>
  <c r="T213" i="64"/>
  <c r="Y213" i="64" s="1"/>
  <c r="Z213" i="64" s="1"/>
  <c r="AF213" i="64" s="1"/>
  <c r="R213" i="64"/>
  <c r="T217" i="64"/>
  <c r="Y217" i="64" s="1"/>
  <c r="Z217" i="64" s="1"/>
  <c r="R217" i="64"/>
  <c r="T233" i="64"/>
  <c r="Y233" i="64" s="1"/>
  <c r="Z233" i="64" s="1"/>
  <c r="AF233" i="64" s="1"/>
  <c r="R233" i="64"/>
  <c r="R179" i="64"/>
  <c r="T179" i="64"/>
  <c r="Y179" i="64" s="1"/>
  <c r="Z179" i="64" s="1"/>
  <c r="AF179" i="64" s="1"/>
  <c r="T116" i="64"/>
  <c r="Y116" i="64" s="1"/>
  <c r="R116" i="64"/>
  <c r="R259" i="64"/>
  <c r="T259" i="64"/>
  <c r="Y259" i="64" s="1"/>
  <c r="Z259" i="64" s="1"/>
  <c r="AF259" i="64" s="1"/>
  <c r="R165" i="64"/>
  <c r="T165" i="64"/>
  <c r="Y165" i="64" s="1"/>
  <c r="Z165" i="64" s="1"/>
  <c r="AF165" i="64" s="1"/>
  <c r="T114" i="64"/>
  <c r="Y114" i="64" s="1"/>
  <c r="R114" i="64"/>
  <c r="R141" i="64"/>
  <c r="T141" i="64"/>
  <c r="Y141" i="64" s="1"/>
  <c r="Z141" i="64" s="1"/>
  <c r="T277" i="64"/>
  <c r="Y277" i="64" s="1"/>
  <c r="Z277" i="64" s="1"/>
  <c r="R277" i="64"/>
  <c r="R131" i="64"/>
  <c r="T131" i="64"/>
  <c r="Y131" i="64" s="1"/>
  <c r="T169" i="64"/>
  <c r="Y169" i="64" s="1"/>
  <c r="R169" i="64"/>
  <c r="R121" i="64"/>
  <c r="T121" i="64"/>
  <c r="Y121" i="64" s="1"/>
  <c r="Z121" i="64" s="1"/>
  <c r="AF121" i="64" s="1"/>
  <c r="T51" i="64"/>
  <c r="R51" i="64"/>
  <c r="U51" i="64" s="1"/>
  <c r="V51" i="64" s="1"/>
  <c r="X51" i="64" s="1"/>
  <c r="R127" i="64"/>
  <c r="T127" i="64"/>
  <c r="Y127" i="64" s="1"/>
  <c r="Z127" i="64" s="1"/>
  <c r="R139" i="64"/>
  <c r="T139" i="64"/>
  <c r="Y139" i="64" s="1"/>
  <c r="Z139" i="64" s="1"/>
  <c r="AF139" i="64" s="1"/>
  <c r="R218" i="64"/>
  <c r="T218" i="64"/>
  <c r="Y218" i="64" s="1"/>
  <c r="Z218" i="64" s="1"/>
  <c r="AF218" i="64" s="1"/>
  <c r="R258" i="64"/>
  <c r="U258" i="64" s="1"/>
  <c r="V258" i="64" s="1"/>
  <c r="X258" i="64" s="1"/>
  <c r="T258" i="64"/>
  <c r="R276" i="64"/>
  <c r="T276" i="64"/>
  <c r="Y276" i="64" s="1"/>
  <c r="Z276" i="64" s="1"/>
  <c r="AF276" i="64" s="1"/>
  <c r="R184" i="64"/>
  <c r="T184" i="64"/>
  <c r="Y184" i="64" s="1"/>
  <c r="T166" i="64"/>
  <c r="Y166" i="64" s="1"/>
  <c r="Z166" i="64" s="1"/>
  <c r="AF166" i="64" s="1"/>
  <c r="R166" i="64"/>
  <c r="R142" i="64"/>
  <c r="T142" i="64"/>
  <c r="Y142" i="64" s="1"/>
  <c r="Z142" i="64" s="1"/>
  <c r="AF142" i="64" s="1"/>
  <c r="T170" i="64"/>
  <c r="Y170" i="64" s="1"/>
  <c r="R170" i="64"/>
  <c r="T138" i="64"/>
  <c r="Y138" i="64" s="1"/>
  <c r="R138" i="64"/>
  <c r="R172" i="64"/>
  <c r="T172" i="64"/>
  <c r="Y172" i="64" s="1"/>
  <c r="Z172" i="64" s="1"/>
  <c r="AF172" i="64" s="1"/>
  <c r="T154" i="64"/>
  <c r="Y154" i="64" s="1"/>
  <c r="R154" i="64"/>
  <c r="R41" i="64"/>
  <c r="U41" i="64" s="1"/>
  <c r="V41" i="64" s="1"/>
  <c r="X41" i="64" s="1"/>
  <c r="T41" i="64"/>
  <c r="R215" i="64"/>
  <c r="T215" i="64"/>
  <c r="Y215" i="64" s="1"/>
  <c r="Z215" i="64" s="1"/>
  <c r="T208" i="64"/>
  <c r="Y208" i="64" s="1"/>
  <c r="Z208" i="64" s="1"/>
  <c r="R208" i="64"/>
  <c r="T231" i="64"/>
  <c r="Y231" i="64" s="1"/>
  <c r="Z231" i="64" s="1"/>
  <c r="AF231" i="64" s="1"/>
  <c r="R231" i="64"/>
  <c r="T247" i="64"/>
  <c r="R247" i="64"/>
  <c r="U247" i="64" s="1"/>
  <c r="V247" i="64" s="1"/>
  <c r="X247" i="64" s="1"/>
  <c r="T185" i="64"/>
  <c r="Y185" i="64" s="1"/>
  <c r="R185" i="64"/>
  <c r="R53" i="64"/>
  <c r="U53" i="64" s="1"/>
  <c r="V53" i="64" s="1"/>
  <c r="X53" i="64" s="1"/>
  <c r="T53" i="64"/>
  <c r="R175" i="64"/>
  <c r="T175" i="64"/>
  <c r="Y175" i="64" s="1"/>
  <c r="R158" i="64"/>
  <c r="T158" i="64"/>
  <c r="Y158" i="64" s="1"/>
  <c r="Z158" i="64" s="1"/>
  <c r="AF158" i="64" s="1"/>
  <c r="T125" i="64"/>
  <c r="Y125" i="64" s="1"/>
  <c r="Z125" i="64" s="1"/>
  <c r="R125" i="64"/>
  <c r="R252" i="64"/>
  <c r="U252" i="64" s="1"/>
  <c r="V252" i="64" s="1"/>
  <c r="X252" i="64" s="1"/>
  <c r="T252" i="64"/>
  <c r="R45" i="64"/>
  <c r="T45" i="64"/>
  <c r="Y45" i="64" s="1"/>
  <c r="Z45" i="64" s="1"/>
  <c r="R156" i="64"/>
  <c r="T156" i="64"/>
  <c r="Y156" i="64" s="1"/>
  <c r="Z156" i="64" s="1"/>
  <c r="AF156" i="64" s="1"/>
  <c r="R186" i="64"/>
  <c r="T186" i="64"/>
  <c r="Y186" i="64" s="1"/>
  <c r="Z186" i="64" s="1"/>
  <c r="AF186" i="64" s="1"/>
  <c r="R272" i="64"/>
  <c r="T272" i="64"/>
  <c r="Y272" i="64" s="1"/>
  <c r="R268" i="64"/>
  <c r="T268" i="64"/>
  <c r="Y268" i="64" s="1"/>
  <c r="T182" i="64"/>
  <c r="Y182" i="64" s="1"/>
  <c r="Z182" i="64" s="1"/>
  <c r="AF182" i="64" s="1"/>
  <c r="R182" i="64"/>
  <c r="R46" i="64"/>
  <c r="T46" i="64"/>
  <c r="Y46" i="64" s="1"/>
  <c r="R155" i="64"/>
  <c r="T155" i="64"/>
  <c r="Y155" i="64" s="1"/>
  <c r="R163" i="64"/>
  <c r="T163" i="64"/>
  <c r="Y163" i="64" s="1"/>
  <c r="T224" i="64"/>
  <c r="Y224" i="64" s="1"/>
  <c r="R224" i="64"/>
  <c r="R120" i="64"/>
  <c r="T120" i="64"/>
  <c r="Y120" i="64" s="1"/>
  <c r="Z120" i="64" s="1"/>
  <c r="T63" i="64"/>
  <c r="Y63" i="64" s="1"/>
  <c r="R63" i="64"/>
  <c r="R195" i="64"/>
  <c r="T195" i="64"/>
  <c r="Y195" i="64" s="1"/>
  <c r="T48" i="64"/>
  <c r="R48" i="64"/>
  <c r="U48" i="64" s="1"/>
  <c r="V48" i="64" s="1"/>
  <c r="X48" i="64" s="1"/>
  <c r="R17" i="64"/>
  <c r="T35" i="64"/>
  <c r="Y35" i="64" s="1"/>
  <c r="Z35" i="64" s="1"/>
  <c r="AF35" i="64" s="1"/>
  <c r="F21" i="63"/>
  <c r="T83" i="64"/>
  <c r="Y83" i="64" s="1"/>
  <c r="T93" i="64"/>
  <c r="Y93" i="64" s="1"/>
  <c r="Z93" i="64" s="1"/>
  <c r="AF93" i="64" s="1"/>
  <c r="R90" i="64"/>
  <c r="P103" i="64"/>
  <c r="P105" i="64" s="1"/>
  <c r="P107" i="64" s="1"/>
  <c r="V81" i="64"/>
  <c r="Y90" i="64"/>
  <c r="Z90" i="64" s="1"/>
  <c r="R88" i="64"/>
  <c r="T87" i="64"/>
  <c r="Y87" i="64" s="1"/>
  <c r="Z87" i="64" s="1"/>
  <c r="R28" i="64"/>
  <c r="R37" i="64"/>
  <c r="Y30" i="64"/>
  <c r="Z30" i="64" s="1"/>
  <c r="AF30" i="64" s="1"/>
  <c r="R30" i="64"/>
  <c r="T34" i="64"/>
  <c r="Y34" i="64" s="1"/>
  <c r="Z34" i="64" s="1"/>
  <c r="AF34" i="64" s="1"/>
  <c r="T85" i="64"/>
  <c r="Y85" i="64" s="1"/>
  <c r="Z85" i="64" s="1"/>
  <c r="AF85" i="64" s="1"/>
  <c r="R84" i="64"/>
  <c r="U84" i="64" s="1"/>
  <c r="V84" i="64" s="1"/>
  <c r="X84" i="64" s="1"/>
  <c r="Y84" i="64" s="1"/>
  <c r="Z84" i="64" s="1"/>
  <c r="AF84" i="64" s="1"/>
  <c r="T27" i="64"/>
  <c r="Y27" i="64" s="1"/>
  <c r="Z27" i="64" s="1"/>
  <c r="AF27" i="64" s="1"/>
  <c r="R98" i="64"/>
  <c r="U98" i="64" s="1"/>
  <c r="V98" i="64" s="1"/>
  <c r="X98" i="64" s="1"/>
  <c r="Y98" i="64" s="1"/>
  <c r="Z98" i="64" s="1"/>
  <c r="AF98" i="64" s="1"/>
  <c r="T143" i="64"/>
  <c r="Y143" i="64" s="1"/>
  <c r="Z143" i="64" s="1"/>
  <c r="T82" i="64"/>
  <c r="Y82" i="64" s="1"/>
  <c r="Z82" i="64" s="1"/>
  <c r="AF82" i="64" s="1"/>
  <c r="Y20" i="64"/>
  <c r="Z20" i="64" s="1"/>
  <c r="AF20" i="64" s="1"/>
  <c r="R99" i="64"/>
  <c r="U99" i="64" s="1"/>
  <c r="V99" i="64" s="1"/>
  <c r="X99" i="64" s="1"/>
  <c r="Y99" i="64" s="1"/>
  <c r="Z99" i="64" s="1"/>
  <c r="AF99" i="64" s="1"/>
  <c r="R20" i="64"/>
  <c r="R19" i="64"/>
  <c r="U19" i="64" s="1"/>
  <c r="V19" i="64" s="1"/>
  <c r="X19" i="64" s="1"/>
  <c r="Y19" i="64" s="1"/>
  <c r="T22" i="64"/>
  <c r="Y22" i="64" s="1"/>
  <c r="Z22" i="64" s="1"/>
  <c r="AF22" i="64" s="1"/>
  <c r="T18" i="64"/>
  <c r="Y18" i="64" s="1"/>
  <c r="Z18" i="64" s="1"/>
  <c r="AF18" i="64" s="1"/>
  <c r="Y29" i="64"/>
  <c r="Z29" i="64" s="1"/>
  <c r="AF29" i="64" s="1"/>
  <c r="R95" i="64"/>
  <c r="R96" i="64"/>
  <c r="Y146" i="64"/>
  <c r="Z146" i="64" s="1"/>
  <c r="Y33" i="64"/>
  <c r="Z33" i="64" s="1"/>
  <c r="AF33" i="64" s="1"/>
  <c r="Y95" i="64"/>
  <c r="Z95" i="64" s="1"/>
  <c r="AF95" i="64" s="1"/>
  <c r="R91" i="64"/>
  <c r="T86" i="64"/>
  <c r="Y86" i="64" s="1"/>
  <c r="Z86" i="64" s="1"/>
  <c r="AF86" i="64" s="1"/>
  <c r="T147" i="64"/>
  <c r="Y147" i="64" s="1"/>
  <c r="Z147" i="64" s="1"/>
  <c r="R29" i="64"/>
  <c r="T144" i="64"/>
  <c r="Y144" i="64" s="1"/>
  <c r="Z144" i="64" s="1"/>
  <c r="R146" i="64"/>
  <c r="R21" i="64"/>
  <c r="Y71" i="64"/>
  <c r="Z71" i="64" s="1"/>
  <c r="AF71" i="64" s="1"/>
  <c r="Y91" i="64"/>
  <c r="Z91" i="64" s="1"/>
  <c r="AF91" i="64" s="1"/>
  <c r="Y24" i="64"/>
  <c r="Z24" i="64" s="1"/>
  <c r="AF24" i="64" s="1"/>
  <c r="Y96" i="64"/>
  <c r="Z96" i="64" s="1"/>
  <c r="AF96" i="64" s="1"/>
  <c r="R24" i="64"/>
  <c r="T25" i="64"/>
  <c r="Y25" i="64" s="1"/>
  <c r="Z25" i="64" s="1"/>
  <c r="AF25" i="64" s="1"/>
  <c r="R71" i="64"/>
  <c r="R33" i="64"/>
  <c r="Y21" i="64"/>
  <c r="Z21" i="64" s="1"/>
  <c r="AF21" i="64" s="1"/>
  <c r="T89" i="64"/>
  <c r="Y89" i="64" s="1"/>
  <c r="Z89" i="64" s="1"/>
  <c r="AF89" i="64" s="1"/>
  <c r="Y28" i="64"/>
  <c r="Z28" i="64" s="1"/>
  <c r="AF28" i="64" s="1"/>
  <c r="Y88" i="64"/>
  <c r="Z88" i="64" s="1"/>
  <c r="AF88" i="64" s="1"/>
  <c r="C28" i="71"/>
  <c r="Q46" i="7"/>
  <c r="S46" i="7" s="1"/>
  <c r="J57" i="71"/>
  <c r="G47" i="71"/>
  <c r="J47" i="71" s="1"/>
  <c r="G51" i="71"/>
  <c r="G44" i="71"/>
  <c r="J44" i="71" s="1"/>
  <c r="E40" i="49"/>
  <c r="C15" i="19" s="1"/>
  <c r="G103" i="71"/>
  <c r="J103" i="71" s="1"/>
  <c r="P76" i="64"/>
  <c r="P78" i="64" s="1"/>
  <c r="G34" i="71"/>
  <c r="P281" i="64"/>
  <c r="H19" i="63" s="1"/>
  <c r="R100" i="64"/>
  <c r="U100" i="64" s="1"/>
  <c r="V100" i="64" s="1"/>
  <c r="X100" i="64" s="1"/>
  <c r="T100" i="64"/>
  <c r="G25" i="71"/>
  <c r="J25" i="71" s="1"/>
  <c r="R36" i="64"/>
  <c r="T36" i="64"/>
  <c r="Y36" i="64" s="1"/>
  <c r="R32" i="64"/>
  <c r="T32" i="64"/>
  <c r="Y32" i="64" s="1"/>
  <c r="R94" i="64"/>
  <c r="T94" i="64"/>
  <c r="Y94" i="64" s="1"/>
  <c r="Z94" i="64" s="1"/>
  <c r="AF94" i="64" s="1"/>
  <c r="R206" i="64"/>
  <c r="T206" i="64"/>
  <c r="R23" i="64"/>
  <c r="T23" i="64"/>
  <c r="Y23" i="64" s="1"/>
  <c r="Z23" i="64" s="1"/>
  <c r="AF23" i="64" s="1"/>
  <c r="T74" i="64"/>
  <c r="Y74" i="64" s="1"/>
  <c r="Z74" i="64" s="1"/>
  <c r="AF74" i="64" s="1"/>
  <c r="R74" i="64"/>
  <c r="T72" i="64"/>
  <c r="Y72" i="64" s="1"/>
  <c r="Z72" i="64" s="1"/>
  <c r="AF72" i="64" s="1"/>
  <c r="R72" i="64"/>
  <c r="R38" i="64"/>
  <c r="T38" i="64"/>
  <c r="Y38" i="64" s="1"/>
  <c r="Z38" i="64" s="1"/>
  <c r="R31" i="64"/>
  <c r="T31" i="64"/>
  <c r="Y31" i="64" s="1"/>
  <c r="Z31" i="64" s="1"/>
  <c r="AF31" i="64" s="1"/>
  <c r="T101" i="64"/>
  <c r="Y101" i="64" s="1"/>
  <c r="Z101" i="64" s="1"/>
  <c r="AF101" i="64" s="1"/>
  <c r="R101" i="64"/>
  <c r="R26" i="64"/>
  <c r="T26" i="64"/>
  <c r="Y26" i="64" s="1"/>
  <c r="Z26" i="64" s="1"/>
  <c r="AF26" i="64" s="1"/>
  <c r="R92" i="64"/>
  <c r="T92" i="64"/>
  <c r="Y92" i="64" s="1"/>
  <c r="Z92" i="64" s="1"/>
  <c r="AF92" i="64" s="1"/>
  <c r="R97" i="64"/>
  <c r="T97" i="64"/>
  <c r="Y97" i="64" s="1"/>
  <c r="Z97" i="64" s="1"/>
  <c r="T81" i="64"/>
  <c r="R81" i="64"/>
  <c r="AA62" i="11"/>
  <c r="G26" i="71"/>
  <c r="J26" i="71" s="1"/>
  <c r="R73" i="64"/>
  <c r="T73" i="64"/>
  <c r="Y73" i="64" s="1"/>
  <c r="Z73" i="64" s="1"/>
  <c r="AF73" i="64" s="1"/>
  <c r="T145" i="64"/>
  <c r="Y145" i="64" s="1"/>
  <c r="Z145" i="64" s="1"/>
  <c r="R145" i="64"/>
  <c r="M52" i="28"/>
  <c r="AB55" i="28"/>
  <c r="T24" i="16"/>
  <c r="D25" i="16"/>
  <c r="D21" i="63"/>
  <c r="O100" i="7"/>
  <c r="O107" i="7" s="1"/>
  <c r="T72" i="16"/>
  <c r="G69" i="71" s="1"/>
  <c r="J69" i="71" s="1"/>
  <c r="AC39" i="28"/>
  <c r="AE55" i="28"/>
  <c r="AE54" i="28"/>
  <c r="AC55" i="28"/>
  <c r="AB56" i="28"/>
  <c r="AE56" i="28"/>
  <c r="Q28" i="7"/>
  <c r="S28" i="7" s="1"/>
  <c r="G32" i="71"/>
  <c r="AB54" i="28"/>
  <c r="AC56" i="28"/>
  <c r="AA54" i="28"/>
  <c r="AA59" i="28" s="1"/>
  <c r="AF76" i="28" s="1"/>
  <c r="B29" i="17" s="1"/>
  <c r="AC54" i="28"/>
  <c r="Q45" i="7"/>
  <c r="S45" i="7" s="1"/>
  <c r="T78" i="16"/>
  <c r="C95" i="71"/>
  <c r="T91" i="16"/>
  <c r="T60" i="16"/>
  <c r="G65" i="71"/>
  <c r="J65" i="71" s="1"/>
  <c r="N16" i="16"/>
  <c r="T16" i="16" s="1"/>
  <c r="C27" i="71"/>
  <c r="C27" i="79" s="1"/>
  <c r="C28" i="79" s="1"/>
  <c r="C14" i="94" s="1"/>
  <c r="J46" i="94" s="1"/>
  <c r="J47" i="94" s="1"/>
  <c r="G22" i="71"/>
  <c r="J22" i="71" s="1"/>
  <c r="T87" i="16"/>
  <c r="Q47" i="7"/>
  <c r="S47" i="7" s="1"/>
  <c r="J92" i="16"/>
  <c r="J94" i="16" s="1"/>
  <c r="AE18" i="28"/>
  <c r="AE36" i="28" s="1"/>
  <c r="AA18" i="28"/>
  <c r="AA36" i="28" s="1"/>
  <c r="AF77" i="28" s="1"/>
  <c r="B30" i="17" s="1"/>
  <c r="AC18" i="28"/>
  <c r="AC36" i="28" s="1"/>
  <c r="AB18" i="28"/>
  <c r="AB36" i="28" s="1"/>
  <c r="Y252" i="64" l="1"/>
  <c r="Z252" i="64" s="1"/>
  <c r="AF252" i="64" s="1"/>
  <c r="AC59" i="28"/>
  <c r="F24" i="17"/>
  <c r="F95" i="17" s="1"/>
  <c r="Y183" i="64"/>
  <c r="Z183" i="64" s="1"/>
  <c r="AF183" i="64" s="1"/>
  <c r="AE59" i="28"/>
  <c r="AF52" i="28"/>
  <c r="AF62" i="28" s="1"/>
  <c r="AB59" i="28"/>
  <c r="Z62" i="28"/>
  <c r="Z69" i="28" s="1"/>
  <c r="D94" i="16"/>
  <c r="AF236" i="64"/>
  <c r="Y256" i="64"/>
  <c r="Z256" i="64" s="1"/>
  <c r="AF256" i="64" s="1"/>
  <c r="Y100" i="64"/>
  <c r="Z100" i="64" s="1"/>
  <c r="AF100" i="64" s="1"/>
  <c r="Y258" i="64"/>
  <c r="Z258" i="64" s="1"/>
  <c r="AF258" i="64" s="1"/>
  <c r="Y254" i="64"/>
  <c r="Y257" i="64"/>
  <c r="Z257" i="64" s="1"/>
  <c r="AF257" i="64" s="1"/>
  <c r="Y253" i="64"/>
  <c r="Z253" i="64" s="1"/>
  <c r="AF253" i="64" s="1"/>
  <c r="Y255" i="64"/>
  <c r="Z255" i="64" s="1"/>
  <c r="AF255" i="64" s="1"/>
  <c r="U203" i="64"/>
  <c r="N18" i="63" s="1"/>
  <c r="AF278" i="64"/>
  <c r="Y243" i="64"/>
  <c r="Z243" i="64" s="1"/>
  <c r="AF243" i="64" s="1"/>
  <c r="R66" i="64"/>
  <c r="L15" i="63" s="1"/>
  <c r="AF200" i="64"/>
  <c r="AF112" i="64"/>
  <c r="AF223" i="64"/>
  <c r="AF279" i="64"/>
  <c r="X17" i="64"/>
  <c r="V66" i="64"/>
  <c r="V68" i="64" s="1"/>
  <c r="U66" i="64"/>
  <c r="N15" i="63" s="1"/>
  <c r="T66" i="64"/>
  <c r="T68" i="64" s="1"/>
  <c r="A5" i="86"/>
  <c r="Y250" i="64"/>
  <c r="Z250" i="64" s="1"/>
  <c r="AF250" i="64" s="1"/>
  <c r="AF270" i="64"/>
  <c r="Y246" i="64"/>
  <c r="Z246" i="64" s="1"/>
  <c r="AF246" i="64" s="1"/>
  <c r="Y271" i="64"/>
  <c r="Z271" i="64" s="1"/>
  <c r="AF271" i="64" s="1"/>
  <c r="X111" i="64"/>
  <c r="X203" i="64" s="1"/>
  <c r="V203" i="64"/>
  <c r="T203" i="64"/>
  <c r="M62" i="28"/>
  <c r="AF162" i="64"/>
  <c r="AF177" i="64"/>
  <c r="R203" i="64"/>
  <c r="L18" i="63" s="1"/>
  <c r="Y49" i="64"/>
  <c r="Z49" i="64" s="1"/>
  <c r="AF119" i="64"/>
  <c r="AF181" i="64"/>
  <c r="AF193" i="64"/>
  <c r="Y238" i="64"/>
  <c r="Z238" i="64" s="1"/>
  <c r="AF238" i="64" s="1"/>
  <c r="Y241" i="64"/>
  <c r="Z241" i="64" s="1"/>
  <c r="AF241" i="64" s="1"/>
  <c r="AF274" i="64"/>
  <c r="Y249" i="64"/>
  <c r="Z249" i="64" s="1"/>
  <c r="AF249" i="64" s="1"/>
  <c r="Z155" i="64"/>
  <c r="AF155" i="64" s="1"/>
  <c r="Z62" i="64"/>
  <c r="AF62" i="64" s="1"/>
  <c r="Z195" i="64"/>
  <c r="AF195" i="64" s="1"/>
  <c r="Z268" i="64"/>
  <c r="AF268" i="64" s="1"/>
  <c r="Z175" i="64"/>
  <c r="AF175" i="64" s="1"/>
  <c r="Z224" i="64"/>
  <c r="AF224" i="64" s="1"/>
  <c r="Z154" i="64"/>
  <c r="AF154" i="64" s="1"/>
  <c r="Z170" i="64"/>
  <c r="AF170" i="64" s="1"/>
  <c r="Z169" i="64"/>
  <c r="AF169" i="64" s="1"/>
  <c r="Z114" i="64"/>
  <c r="AF114" i="64" s="1"/>
  <c r="Z207" i="64"/>
  <c r="AF207" i="64" s="1"/>
  <c r="Z132" i="64"/>
  <c r="AF132" i="64" s="1"/>
  <c r="Z163" i="64"/>
  <c r="AF163" i="64" s="1"/>
  <c r="Z46" i="64"/>
  <c r="AF46" i="64" s="1"/>
  <c r="Z138" i="64"/>
  <c r="AF138" i="64" s="1"/>
  <c r="Z272" i="64"/>
  <c r="AF272" i="64" s="1"/>
  <c r="Z63" i="64"/>
  <c r="AF63" i="64" s="1"/>
  <c r="Z185" i="64"/>
  <c r="AF185" i="64" s="1"/>
  <c r="Z184" i="64"/>
  <c r="AF184" i="64" s="1"/>
  <c r="Z116" i="64"/>
  <c r="AF116" i="64" s="1"/>
  <c r="Z58" i="64"/>
  <c r="AF58" i="64" s="1"/>
  <c r="Y48" i="64"/>
  <c r="Z48" i="64" s="1"/>
  <c r="Z131" i="64"/>
  <c r="AF131" i="64" s="1"/>
  <c r="Y47" i="64"/>
  <c r="Z47" i="64" s="1"/>
  <c r="AF45" i="64"/>
  <c r="AF215" i="64"/>
  <c r="AF217" i="64"/>
  <c r="AF135" i="64"/>
  <c r="AF273" i="64"/>
  <c r="AF125" i="64"/>
  <c r="Y56" i="64"/>
  <c r="Z56" i="64" s="1"/>
  <c r="AF42" i="64"/>
  <c r="Y247" i="64"/>
  <c r="Z247" i="64" s="1"/>
  <c r="AF247" i="64" s="1"/>
  <c r="Y41" i="64"/>
  <c r="Z41" i="64" s="1"/>
  <c r="AF117" i="64"/>
  <c r="AF129" i="64"/>
  <c r="AF194" i="64"/>
  <c r="AF113" i="64"/>
  <c r="Z115" i="64"/>
  <c r="AF115" i="64" s="1"/>
  <c r="AF128" i="64"/>
  <c r="Y55" i="64"/>
  <c r="Z55" i="64" s="1"/>
  <c r="Z152" i="64"/>
  <c r="AF152" i="64" s="1"/>
  <c r="Y52" i="64"/>
  <c r="Z52" i="64" s="1"/>
  <c r="Y242" i="64"/>
  <c r="Z242" i="64" s="1"/>
  <c r="AF140" i="64"/>
  <c r="Z160" i="64"/>
  <c r="AF160" i="64" s="1"/>
  <c r="Y39" i="64"/>
  <c r="Z39" i="64" s="1"/>
  <c r="AF39" i="64" s="1"/>
  <c r="Y60" i="64"/>
  <c r="Z60" i="64" s="1"/>
  <c r="Y244" i="64"/>
  <c r="Z244" i="64" s="1"/>
  <c r="AF244" i="64" s="1"/>
  <c r="Y61" i="64"/>
  <c r="Z61" i="64" s="1"/>
  <c r="Y240" i="64"/>
  <c r="Z240" i="64" s="1"/>
  <c r="Y57" i="64"/>
  <c r="Z57" i="64" s="1"/>
  <c r="Y239" i="64"/>
  <c r="Z239" i="64" s="1"/>
  <c r="AF239" i="64" s="1"/>
  <c r="AF141" i="64"/>
  <c r="Y51" i="64"/>
  <c r="Z51" i="64" s="1"/>
  <c r="AF120" i="64"/>
  <c r="Y44" i="64"/>
  <c r="Z44" i="64" s="1"/>
  <c r="Y43" i="64"/>
  <c r="Z43" i="64" s="1"/>
  <c r="AF136" i="64"/>
  <c r="Y50" i="64"/>
  <c r="Z50" i="64" s="1"/>
  <c r="Z254" i="64"/>
  <c r="AF254" i="64" s="1"/>
  <c r="Y248" i="64"/>
  <c r="Z248" i="64" s="1"/>
  <c r="AF208" i="64"/>
  <c r="AF277" i="64"/>
  <c r="Z151" i="64"/>
  <c r="AF151" i="64" s="1"/>
  <c r="Y53" i="64"/>
  <c r="Z53" i="64" s="1"/>
  <c r="AF159" i="64"/>
  <c r="Y251" i="64"/>
  <c r="Z251" i="64" s="1"/>
  <c r="AF251" i="64" s="1"/>
  <c r="Y59" i="64"/>
  <c r="Z59" i="64" s="1"/>
  <c r="AF153" i="64"/>
  <c r="Y245" i="64"/>
  <c r="Z245" i="64" s="1"/>
  <c r="AF127" i="64"/>
  <c r="AF180" i="64"/>
  <c r="Y40" i="64"/>
  <c r="Z40" i="64" s="1"/>
  <c r="AF187" i="64"/>
  <c r="AF161" i="64"/>
  <c r="Y54" i="64"/>
  <c r="Z54" i="64" s="1"/>
  <c r="R103" i="64"/>
  <c r="L17" i="63" s="1"/>
  <c r="AF146" i="64"/>
  <c r="AF90" i="64"/>
  <c r="T103" i="64"/>
  <c r="T105" i="64" s="1"/>
  <c r="T107" i="64" s="1"/>
  <c r="U103" i="64"/>
  <c r="U105" i="64" s="1"/>
  <c r="U107" i="64" s="1"/>
  <c r="X81" i="64"/>
  <c r="X103" i="64" s="1"/>
  <c r="X105" i="64" s="1"/>
  <c r="X107" i="64" s="1"/>
  <c r="V103" i="64"/>
  <c r="V105" i="64" s="1"/>
  <c r="V107" i="64" s="1"/>
  <c r="V281" i="64"/>
  <c r="V283" i="64" s="1"/>
  <c r="U281" i="64"/>
  <c r="U283" i="64" s="1"/>
  <c r="H17" i="63"/>
  <c r="AF147" i="64"/>
  <c r="AF144" i="64"/>
  <c r="H15" i="63"/>
  <c r="V76" i="64"/>
  <c r="V78" i="64" s="1"/>
  <c r="H16" i="63"/>
  <c r="G43" i="71"/>
  <c r="AD60" i="11"/>
  <c r="C16" i="19"/>
  <c r="G90" i="71"/>
  <c r="J90" i="71" s="1"/>
  <c r="U76" i="64"/>
  <c r="P283" i="64"/>
  <c r="R281" i="64"/>
  <c r="L19" i="63" s="1"/>
  <c r="AF87" i="64"/>
  <c r="T281" i="64"/>
  <c r="T283" i="64" s="1"/>
  <c r="R76" i="64"/>
  <c r="L16" i="63" s="1"/>
  <c r="AF38" i="64"/>
  <c r="Y206" i="64"/>
  <c r="Z206" i="64" s="1"/>
  <c r="AF206" i="64" s="1"/>
  <c r="Z19" i="64"/>
  <c r="AF19" i="64" s="1"/>
  <c r="AF97" i="64"/>
  <c r="Z32" i="64"/>
  <c r="AF32" i="64" s="1"/>
  <c r="Z36" i="64"/>
  <c r="AF36" i="64" s="1"/>
  <c r="T25" i="16"/>
  <c r="T84" i="16"/>
  <c r="AF145" i="64"/>
  <c r="T76" i="64"/>
  <c r="T78" i="64" s="1"/>
  <c r="AB38" i="28"/>
  <c r="AB52" i="28" s="1"/>
  <c r="AE38" i="28"/>
  <c r="AE52" i="28" s="1"/>
  <c r="AC38" i="28"/>
  <c r="AC52" i="28" s="1"/>
  <c r="AA38" i="28"/>
  <c r="J41" i="71"/>
  <c r="L31" i="17"/>
  <c r="G100" i="71"/>
  <c r="J100" i="71" s="1"/>
  <c r="N92" i="16"/>
  <c r="T62" i="16"/>
  <c r="T86" i="16"/>
  <c r="G83" i="71" s="1"/>
  <c r="J83" i="71" s="1"/>
  <c r="T66" i="16"/>
  <c r="G63" i="71" s="1"/>
  <c r="J63" i="71" s="1"/>
  <c r="T81" i="16"/>
  <c r="G78" i="71" s="1"/>
  <c r="J78" i="71" s="1"/>
  <c r="T74" i="16"/>
  <c r="G71" i="71" s="1"/>
  <c r="J71" i="71" s="1"/>
  <c r="T83" i="16"/>
  <c r="G80" i="71" s="1"/>
  <c r="J80" i="71" s="1"/>
  <c r="G52" i="71"/>
  <c r="J52" i="71" s="1"/>
  <c r="T51" i="16"/>
  <c r="C98" i="71"/>
  <c r="X281" i="64"/>
  <c r="X283" i="64" s="1"/>
  <c r="Z83" i="64"/>
  <c r="AF143" i="64"/>
  <c r="G88" i="71"/>
  <c r="J88" i="71" s="1"/>
  <c r="T33" i="16"/>
  <c r="G75" i="71"/>
  <c r="J75" i="71" s="1"/>
  <c r="L30" i="17"/>
  <c r="H34" i="71" s="1"/>
  <c r="Q30" i="7"/>
  <c r="S30" i="7" s="1"/>
  <c r="X76" i="64"/>
  <c r="X78" i="64" s="1"/>
  <c r="G61" i="71"/>
  <c r="J61" i="71" s="1"/>
  <c r="L41" i="17"/>
  <c r="G38" i="71"/>
  <c r="J38" i="71" s="1"/>
  <c r="G46" i="71"/>
  <c r="Q48" i="7"/>
  <c r="G84" i="71"/>
  <c r="J84" i="71" s="1"/>
  <c r="H92" i="16"/>
  <c r="H94" i="16" s="1"/>
  <c r="N25" i="16"/>
  <c r="C109" i="71"/>
  <c r="H45" i="17" l="1"/>
  <c r="L45" i="17" s="1"/>
  <c r="H49" i="71" s="1"/>
  <c r="AA52" i="28"/>
  <c r="AF75" i="28" s="1"/>
  <c r="B28" i="17" s="1"/>
  <c r="L28" i="17" s="1"/>
  <c r="H32" i="71" s="1"/>
  <c r="J32" i="71" s="1"/>
  <c r="J34" i="71"/>
  <c r="H35" i="71"/>
  <c r="AE62" i="28"/>
  <c r="AC62" i="28"/>
  <c r="AB62" i="28"/>
  <c r="E36" i="71"/>
  <c r="G36" i="71" s="1"/>
  <c r="L39" i="17"/>
  <c r="J49" i="71" s="1"/>
  <c r="X66" i="64"/>
  <c r="X68" i="64" s="1"/>
  <c r="Y17" i="64"/>
  <c r="AF52" i="64"/>
  <c r="AF240" i="64"/>
  <c r="Y111" i="64"/>
  <c r="Y203" i="64" s="1"/>
  <c r="P18" i="63" s="1"/>
  <c r="AF49" i="64"/>
  <c r="AF51" i="64"/>
  <c r="AF242" i="64"/>
  <c r="AF57" i="64"/>
  <c r="AF47" i="64"/>
  <c r="AF53" i="64"/>
  <c r="AF41" i="64"/>
  <c r="AF248" i="64"/>
  <c r="AF50" i="64"/>
  <c r="AF44" i="64"/>
  <c r="AF55" i="64"/>
  <c r="AF54" i="64"/>
  <c r="AF40" i="64"/>
  <c r="AF245" i="64"/>
  <c r="AF59" i="64"/>
  <c r="AF61" i="64"/>
  <c r="AF43" i="64"/>
  <c r="AF60" i="64"/>
  <c r="AF56" i="64"/>
  <c r="AF48" i="64"/>
  <c r="Y81" i="64"/>
  <c r="U68" i="64"/>
  <c r="N19" i="63"/>
  <c r="N17" i="63"/>
  <c r="R105" i="64"/>
  <c r="R107" i="64" s="1"/>
  <c r="R283" i="64"/>
  <c r="Y76" i="64"/>
  <c r="Y78" i="64" s="1"/>
  <c r="AF203" i="64"/>
  <c r="H21" i="63"/>
  <c r="J43" i="71"/>
  <c r="U78" i="64"/>
  <c r="N16" i="63"/>
  <c r="R78" i="64"/>
  <c r="Y281" i="64"/>
  <c r="Y283" i="64" s="1"/>
  <c r="R68" i="64"/>
  <c r="Q13" i="7"/>
  <c r="S13" i="7" s="1"/>
  <c r="C108" i="71"/>
  <c r="G81" i="71"/>
  <c r="J81" i="71" s="1"/>
  <c r="R92" i="16"/>
  <c r="R94" i="16" s="1"/>
  <c r="AF83" i="64"/>
  <c r="Z281" i="64"/>
  <c r="Z283" i="64" s="1"/>
  <c r="G93" i="71"/>
  <c r="J93" i="71" s="1"/>
  <c r="Z76" i="64"/>
  <c r="R16" i="63" s="1"/>
  <c r="N94" i="16"/>
  <c r="L92" i="16"/>
  <c r="L94" i="16" s="1"/>
  <c r="AI44" i="28"/>
  <c r="AI46" i="28"/>
  <c r="AI40" i="28"/>
  <c r="AI56" i="28"/>
  <c r="S48" i="7"/>
  <c r="Q27" i="7"/>
  <c r="C62" i="11" s="1"/>
  <c r="AB60" i="11"/>
  <c r="G33" i="71"/>
  <c r="L29" i="17" s="1"/>
  <c r="Q29" i="7"/>
  <c r="S29" i="7" s="1"/>
  <c r="F92" i="16"/>
  <c r="F94" i="16" s="1"/>
  <c r="H93" i="17" l="1"/>
  <c r="H95" i="17" s="1"/>
  <c r="AA62" i="28"/>
  <c r="H33" i="71"/>
  <c r="J33" i="71" s="1"/>
  <c r="AE63" i="28"/>
  <c r="AE66" i="28"/>
  <c r="Z17" i="64"/>
  <c r="Y66" i="64"/>
  <c r="Z111" i="64"/>
  <c r="Z203" i="64" s="1"/>
  <c r="R18" i="63" s="1"/>
  <c r="Z81" i="64"/>
  <c r="Y103" i="64"/>
  <c r="N21" i="63"/>
  <c r="P16" i="63"/>
  <c r="P19" i="63"/>
  <c r="C63" i="11"/>
  <c r="Y62" i="11"/>
  <c r="Y63" i="11" s="1"/>
  <c r="D48" i="20"/>
  <c r="L48" i="20" s="1"/>
  <c r="AC32" i="11"/>
  <c r="AC60" i="11" s="1"/>
  <c r="G31" i="71"/>
  <c r="L27" i="17" s="1"/>
  <c r="G12" i="71"/>
  <c r="J12" i="71" s="1"/>
  <c r="B24" i="20"/>
  <c r="Q12" i="7"/>
  <c r="S12" i="7" s="1"/>
  <c r="AF76" i="64"/>
  <c r="AF78" i="64" s="1"/>
  <c r="R19" i="63"/>
  <c r="Z78" i="64"/>
  <c r="AF281" i="64"/>
  <c r="AF283" i="64" s="1"/>
  <c r="J44" i="17"/>
  <c r="G89" i="71"/>
  <c r="J89" i="71" s="1"/>
  <c r="AI43" i="28"/>
  <c r="G35" i="71"/>
  <c r="Q33" i="7"/>
  <c r="S33" i="7" s="1"/>
  <c r="F18" i="20"/>
  <c r="AI41" i="28"/>
  <c r="AI48" i="28"/>
  <c r="AI42" i="28"/>
  <c r="L49" i="17"/>
  <c r="H53" i="71" s="1"/>
  <c r="J53" i="71" s="1"/>
  <c r="S27" i="7"/>
  <c r="AI55" i="28"/>
  <c r="AI45" i="28"/>
  <c r="L21" i="63"/>
  <c r="L24" i="63" s="1"/>
  <c r="B89" i="16" s="1"/>
  <c r="B92" i="16" s="1"/>
  <c r="B94" i="16" s="1"/>
  <c r="J31" i="71" l="1"/>
  <c r="F21" i="20"/>
  <c r="L21" i="20" s="1"/>
  <c r="L18" i="20"/>
  <c r="B94" i="20"/>
  <c r="AI67" i="28"/>
  <c r="AA69" i="28"/>
  <c r="AB69" i="28" s="1"/>
  <c r="AF111" i="64"/>
  <c r="D92" i="20"/>
  <c r="D94" i="20" s="1"/>
  <c r="L92" i="20"/>
  <c r="P15" i="63"/>
  <c r="Y68" i="64"/>
  <c r="AF17" i="64"/>
  <c r="AF66" i="64" s="1"/>
  <c r="AF68" i="64" s="1"/>
  <c r="Z66" i="64"/>
  <c r="E91" i="71"/>
  <c r="G91" i="71" s="1"/>
  <c r="J91" i="71" s="1"/>
  <c r="T89" i="16"/>
  <c r="T92" i="16" s="1"/>
  <c r="T94" i="16" s="1"/>
  <c r="G50" i="71"/>
  <c r="Y105" i="64"/>
  <c r="Y107" i="64" s="1"/>
  <c r="P17" i="63"/>
  <c r="AF81" i="64"/>
  <c r="AF103" i="64" s="1"/>
  <c r="AF105" i="64" s="1"/>
  <c r="AF107" i="64" s="1"/>
  <c r="Z103" i="64"/>
  <c r="AI39" i="28"/>
  <c r="J24" i="17"/>
  <c r="L18" i="17"/>
  <c r="L24" i="17" s="1"/>
  <c r="J93" i="17"/>
  <c r="AI11" i="28"/>
  <c r="AI15" i="28" s="1"/>
  <c r="AI18" i="28"/>
  <c r="AI36" i="28" s="1"/>
  <c r="AI38" i="28"/>
  <c r="AI54" i="28"/>
  <c r="AI59" i="28" s="1"/>
  <c r="P99" i="7"/>
  <c r="Q99" i="7"/>
  <c r="S99" i="7" s="1"/>
  <c r="D95" i="71"/>
  <c r="Q17" i="7"/>
  <c r="S17" i="7" s="1"/>
  <c r="L44" i="17"/>
  <c r="J46" i="71" s="1"/>
  <c r="F24" i="20" l="1"/>
  <c r="P21" i="63"/>
  <c r="D19" i="87" s="1"/>
  <c r="D21" i="87" s="1"/>
  <c r="AI52" i="28"/>
  <c r="AI62" i="28" s="1"/>
  <c r="Z68" i="64"/>
  <c r="R15" i="63"/>
  <c r="Z105" i="64"/>
  <c r="Z107" i="64" s="1"/>
  <c r="R17" i="63"/>
  <c r="H27" i="71"/>
  <c r="J95" i="17"/>
  <c r="E95" i="71"/>
  <c r="AH66" i="28"/>
  <c r="Q14" i="7"/>
  <c r="P24" i="7"/>
  <c r="P100" i="7" s="1"/>
  <c r="P107" i="7" s="1"/>
  <c r="L48" i="17"/>
  <c r="D27" i="71"/>
  <c r="D98" i="71" s="1"/>
  <c r="G24" i="71"/>
  <c r="F94" i="20" l="1"/>
  <c r="L24" i="20"/>
  <c r="L94" i="20" s="1"/>
  <c r="AI66" i="28"/>
  <c r="R21" i="63"/>
  <c r="C7" i="94" s="1"/>
  <c r="J28" i="94" s="1"/>
  <c r="E21" i="87"/>
  <c r="E23" i="87"/>
  <c r="E98" i="71"/>
  <c r="H9" i="54"/>
  <c r="H10" i="54"/>
  <c r="G95" i="71"/>
  <c r="J51" i="71"/>
  <c r="J50" i="71"/>
  <c r="J24" i="71"/>
  <c r="J27" i="71" s="1"/>
  <c r="C5" i="94" s="1"/>
  <c r="I7" i="94" s="1"/>
  <c r="G27" i="71"/>
  <c r="S14" i="7"/>
  <c r="S24" i="7" s="1"/>
  <c r="U25" i="7" s="1"/>
  <c r="Q24" i="7"/>
  <c r="Q100" i="7" s="1"/>
  <c r="Q107" i="7" s="1"/>
  <c r="AF74" i="28" l="1"/>
  <c r="AF80" i="28" s="1"/>
  <c r="AI69" i="28"/>
  <c r="J19" i="94"/>
  <c r="S8" i="94"/>
  <c r="T8" i="94" s="1"/>
  <c r="U8" i="94" s="1"/>
  <c r="W8" i="94" s="1"/>
  <c r="X8" i="94" s="1"/>
  <c r="Y8" i="94" s="1"/>
  <c r="Z8" i="94" s="1"/>
  <c r="AB8" i="94" s="1"/>
  <c r="AC8" i="94" s="1"/>
  <c r="AD8" i="94" s="1"/>
  <c r="S6" i="94"/>
  <c r="T6" i="94" s="1"/>
  <c r="U6" i="94" s="1"/>
  <c r="W6" i="94" s="1"/>
  <c r="X6" i="94" s="1"/>
  <c r="Y6" i="94" s="1"/>
  <c r="Z6" i="94" s="1"/>
  <c r="AB6" i="94" s="1"/>
  <c r="AC6" i="94" s="1"/>
  <c r="AD6" i="94" s="1"/>
  <c r="S9" i="94"/>
  <c r="T9" i="94" s="1"/>
  <c r="U9" i="94" s="1"/>
  <c r="W9" i="94" s="1"/>
  <c r="X9" i="94" s="1"/>
  <c r="Y9" i="94" s="1"/>
  <c r="Z9" i="94" s="1"/>
  <c r="AB9" i="94" s="1"/>
  <c r="AC9" i="94" s="1"/>
  <c r="AD9" i="94" s="1"/>
  <c r="S7" i="94"/>
  <c r="T7" i="94" s="1"/>
  <c r="U7" i="94" s="1"/>
  <c r="W7" i="94" s="1"/>
  <c r="X7" i="94" s="1"/>
  <c r="Y7" i="94" s="1"/>
  <c r="Z7" i="94" s="1"/>
  <c r="AB7" i="94" s="1"/>
  <c r="AC7" i="94" s="1"/>
  <c r="AD7" i="94" s="1"/>
  <c r="J27" i="94"/>
  <c r="M27" i="94" s="1"/>
  <c r="K11" i="94" s="1"/>
  <c r="J26" i="94"/>
  <c r="AL62" i="28"/>
  <c r="Z70" i="28"/>
  <c r="G98" i="71"/>
  <c r="G108" i="71" s="1"/>
  <c r="G109" i="71"/>
  <c r="S100" i="7"/>
  <c r="B32" i="17" l="1"/>
  <c r="L32" i="17" s="1"/>
  <c r="AF81" i="28"/>
  <c r="M11" i="94"/>
  <c r="I11" i="94"/>
  <c r="H36" i="71" l="1"/>
  <c r="J36" i="71" s="1"/>
  <c r="L93" i="17"/>
  <c r="B93" i="17"/>
  <c r="B95" i="17" s="1"/>
  <c r="L95" i="17"/>
  <c r="J35" i="71"/>
  <c r="H95" i="71"/>
  <c r="J95" i="71" l="1"/>
  <c r="C6" i="94" s="1"/>
  <c r="I8" i="94" s="1"/>
  <c r="K8" i="94" l="1"/>
  <c r="I9" i="94"/>
  <c r="I16" i="94"/>
  <c r="AE8" i="94"/>
  <c r="AF8" i="94" s="1"/>
  <c r="AE9" i="94"/>
  <c r="AF9" i="94" s="1"/>
  <c r="AE7" i="94"/>
  <c r="AF7" i="94" s="1"/>
  <c r="AE6" i="94"/>
  <c r="AF6" i="94" s="1"/>
  <c r="J98" i="71"/>
  <c r="J108" i="71" s="1"/>
  <c r="J109" i="71"/>
  <c r="AG6" i="94" l="1"/>
  <c r="AH6" i="94"/>
  <c r="AI6" i="94"/>
  <c r="J7" i="94"/>
  <c r="K7" i="94"/>
  <c r="L7" i="94"/>
  <c r="M7" i="94"/>
  <c r="AG7" i="94"/>
  <c r="AH7" i="94"/>
  <c r="AI7" i="94"/>
  <c r="L8" i="94"/>
  <c r="M8" i="94"/>
  <c r="AG8" i="94"/>
  <c r="AH8" i="94"/>
  <c r="AI8" i="94"/>
  <c r="K9" i="94"/>
  <c r="M9" i="94"/>
  <c r="AG9" i="94"/>
  <c r="AH9" i="94"/>
  <c r="AI9" i="94"/>
  <c r="S11" i="94"/>
  <c r="T11" i="94"/>
  <c r="U11" i="94"/>
  <c r="W11" i="94"/>
  <c r="X11" i="94"/>
  <c r="Y11" i="94"/>
  <c r="Z11" i="94"/>
  <c r="AB11" i="94"/>
  <c r="AC11" i="94"/>
  <c r="AD11" i="94"/>
  <c r="AE11" i="94"/>
  <c r="AF11" i="94"/>
  <c r="AG11" i="94"/>
  <c r="AH11" i="94"/>
  <c r="AI11" i="94"/>
  <c r="I12" i="94"/>
  <c r="J12" i="94"/>
  <c r="K12" i="94"/>
  <c r="M12" i="94"/>
  <c r="S12" i="94"/>
  <c r="T12" i="94"/>
  <c r="U12" i="94"/>
  <c r="W12" i="94"/>
  <c r="X12" i="94"/>
  <c r="Y12" i="94"/>
  <c r="Z12" i="94"/>
  <c r="AB12" i="94"/>
  <c r="AC12" i="94"/>
  <c r="AD12" i="94"/>
  <c r="AE12" i="94"/>
  <c r="AF12" i="94"/>
  <c r="AG12" i="94"/>
  <c r="AH12" i="94"/>
  <c r="AI12" i="94"/>
  <c r="S13" i="94"/>
  <c r="T13" i="94"/>
  <c r="U13" i="94"/>
  <c r="W13" i="94"/>
  <c r="X13" i="94"/>
  <c r="Y13" i="94"/>
  <c r="Z13" i="94"/>
  <c r="AB13" i="94"/>
  <c r="AC13" i="94"/>
  <c r="AD13" i="94"/>
  <c r="AE13" i="94"/>
  <c r="AF13" i="94"/>
  <c r="AG13" i="94"/>
  <c r="AH13" i="94"/>
  <c r="AI13" i="94"/>
  <c r="I14" i="94"/>
  <c r="K14" i="94"/>
  <c r="M14" i="94"/>
  <c r="S14" i="94"/>
  <c r="T14" i="94"/>
  <c r="U14" i="94"/>
  <c r="W14" i="94"/>
  <c r="X14" i="94"/>
  <c r="Y14" i="94"/>
  <c r="Z14" i="94"/>
  <c r="AB14" i="94"/>
  <c r="AC14" i="94"/>
  <c r="AD14" i="94"/>
  <c r="AE14" i="94"/>
  <c r="AF14" i="94"/>
  <c r="AG14" i="94"/>
  <c r="AH14" i="94"/>
  <c r="AI14" i="94"/>
  <c r="K16" i="94"/>
  <c r="M16" i="94"/>
  <c r="S16" i="94"/>
  <c r="T16" i="94"/>
  <c r="U16" i="94"/>
  <c r="W16" i="94"/>
  <c r="X16" i="94"/>
  <c r="Y16" i="94"/>
  <c r="Z16" i="94"/>
  <c r="AB16" i="94"/>
  <c r="AC16" i="94"/>
  <c r="AD16" i="94"/>
  <c r="AE16" i="94"/>
  <c r="AF16" i="94"/>
  <c r="AG16" i="94"/>
  <c r="AH16" i="94"/>
  <c r="AI16" i="94"/>
  <c r="S17" i="94"/>
  <c r="T17" i="94"/>
  <c r="U17" i="94"/>
  <c r="W17" i="94"/>
  <c r="X17" i="94"/>
  <c r="Y17" i="94"/>
  <c r="Z17" i="94"/>
  <c r="AB17" i="94"/>
  <c r="AC17" i="94"/>
  <c r="AD17" i="94"/>
  <c r="AE17" i="94"/>
  <c r="AF17" i="94"/>
  <c r="AG17" i="94"/>
  <c r="AH17" i="94"/>
  <c r="AI17" i="94"/>
  <c r="S18" i="94"/>
  <c r="T18" i="94"/>
  <c r="U18" i="94"/>
  <c r="W18" i="94"/>
  <c r="X18" i="94"/>
  <c r="Y18" i="94"/>
  <c r="Z18" i="94"/>
  <c r="AB18" i="94"/>
  <c r="AC18" i="94"/>
  <c r="AD18" i="94"/>
  <c r="AE18" i="94"/>
  <c r="AF18" i="94"/>
  <c r="AG18" i="94"/>
  <c r="AH18" i="94"/>
  <c r="AI18" i="94"/>
  <c r="M19" i="94"/>
  <c r="S19" i="94"/>
  <c r="T19" i="94"/>
  <c r="U19" i="94"/>
  <c r="W19" i="94"/>
  <c r="X19" i="94"/>
  <c r="Y19" i="94"/>
  <c r="Z19" i="94"/>
  <c r="AB19" i="94"/>
  <c r="AC19" i="94"/>
  <c r="AD19" i="94"/>
  <c r="AE19" i="94"/>
  <c r="AF19" i="94"/>
  <c r="AG19" i="94"/>
  <c r="AH19" i="94"/>
  <c r="AI19" i="94"/>
  <c r="J20" i="94"/>
  <c r="M20" i="94"/>
  <c r="J21" i="94"/>
  <c r="M21" i="94"/>
  <c r="S21" i="94"/>
  <c r="T21" i="94"/>
  <c r="U21" i="94"/>
  <c r="W21" i="94"/>
  <c r="X21" i="94"/>
  <c r="Y21" i="94"/>
  <c r="Z21" i="94"/>
  <c r="AB21" i="94"/>
  <c r="AC21" i="94"/>
  <c r="AD21" i="94"/>
  <c r="AE21" i="94"/>
  <c r="AF21" i="94"/>
  <c r="AG21" i="94"/>
  <c r="AH21" i="94"/>
  <c r="AI21" i="94"/>
  <c r="S22" i="94"/>
  <c r="T22" i="94"/>
  <c r="U22" i="94"/>
  <c r="W22" i="94"/>
  <c r="X22" i="94"/>
  <c r="Y22" i="94"/>
  <c r="Z22" i="94"/>
  <c r="AB22" i="94"/>
  <c r="AC22" i="94"/>
  <c r="AD22" i="94"/>
  <c r="AE22" i="94"/>
  <c r="AF22" i="94"/>
  <c r="AG22" i="94"/>
  <c r="AH22" i="94"/>
  <c r="AI22" i="94"/>
  <c r="S23" i="94"/>
  <c r="T23" i="94"/>
  <c r="U23" i="94"/>
  <c r="W23" i="94"/>
  <c r="X23" i="94"/>
  <c r="Y23" i="94"/>
  <c r="Z23" i="94"/>
  <c r="AB23" i="94"/>
  <c r="AC23" i="94"/>
  <c r="AD23" i="94"/>
  <c r="AE23" i="94"/>
  <c r="AF23" i="94"/>
  <c r="AG23" i="94"/>
  <c r="AH23" i="94"/>
  <c r="AI23" i="94"/>
  <c r="S24" i="94"/>
  <c r="T24" i="94"/>
  <c r="U24" i="94"/>
  <c r="W24" i="94"/>
  <c r="X24" i="94"/>
  <c r="Y24" i="94"/>
  <c r="Z24" i="94"/>
  <c r="AB24" i="94"/>
  <c r="AC24" i="94"/>
  <c r="AD24" i="94"/>
  <c r="AE24" i="94"/>
  <c r="AF24" i="94"/>
  <c r="AG24" i="94"/>
  <c r="AH24" i="94"/>
  <c r="AI24" i="94"/>
  <c r="K26" i="94"/>
  <c r="L26" i="94"/>
  <c r="M26" i="94"/>
  <c r="S26" i="94"/>
  <c r="T26" i="94"/>
  <c r="U26" i="94"/>
  <c r="W26" i="94"/>
  <c r="X26" i="94"/>
  <c r="Y26" i="94"/>
  <c r="Z26" i="94"/>
  <c r="AB26" i="94"/>
  <c r="AC26" i="94"/>
  <c r="AD26" i="94"/>
  <c r="AE26" i="94"/>
  <c r="AF26" i="94"/>
  <c r="AG26" i="94"/>
  <c r="AH26" i="94"/>
  <c r="AI26" i="94"/>
  <c r="S27" i="94"/>
  <c r="T27" i="94"/>
  <c r="U27" i="94"/>
  <c r="W27" i="94"/>
  <c r="X27" i="94"/>
  <c r="Y27" i="94"/>
  <c r="Z27" i="94"/>
  <c r="AB27" i="94"/>
  <c r="AC27" i="94"/>
  <c r="AD27" i="94"/>
  <c r="AE27" i="94"/>
  <c r="AF27" i="94"/>
  <c r="AG27" i="94"/>
  <c r="AH27" i="94"/>
  <c r="AI27" i="94"/>
  <c r="L28" i="94"/>
  <c r="M28" i="94"/>
  <c r="S28" i="94"/>
  <c r="T28" i="94"/>
  <c r="U28" i="94"/>
  <c r="W28" i="94"/>
  <c r="X28" i="94"/>
  <c r="Y28" i="94"/>
  <c r="Z28" i="94"/>
  <c r="AB28" i="94"/>
  <c r="AC28" i="94"/>
  <c r="AD28" i="94"/>
  <c r="AE28" i="94"/>
  <c r="AF28" i="94"/>
  <c r="AG28" i="94"/>
  <c r="AH28" i="94"/>
  <c r="AI28" i="94"/>
  <c r="S29" i="94"/>
  <c r="T29" i="94"/>
  <c r="U29" i="94"/>
  <c r="W29" i="94"/>
  <c r="X29" i="94"/>
  <c r="Y29" i="94"/>
  <c r="Z29" i="94"/>
  <c r="AB29" i="94"/>
  <c r="AC29" i="94"/>
  <c r="AD29" i="94"/>
  <c r="AE29" i="94"/>
  <c r="AF29" i="94"/>
  <c r="AG29" i="94"/>
  <c r="AH29" i="94"/>
  <c r="AI29" i="94"/>
  <c r="S31" i="94"/>
  <c r="T31" i="94"/>
  <c r="U31" i="94"/>
  <c r="W31" i="94"/>
  <c r="X31" i="94"/>
  <c r="Y31" i="94"/>
  <c r="Z31" i="94"/>
  <c r="AB31" i="94"/>
  <c r="AC31" i="94"/>
  <c r="AD31" i="94"/>
  <c r="AE31" i="94"/>
  <c r="AF31" i="94"/>
  <c r="AG31" i="94"/>
  <c r="AH31" i="94"/>
  <c r="AI31" i="94"/>
  <c r="S32" i="94"/>
  <c r="T32" i="94"/>
  <c r="U32" i="94"/>
  <c r="W32" i="94"/>
  <c r="X32" i="94"/>
  <c r="Y32" i="94"/>
  <c r="Z32" i="94"/>
  <c r="AB32" i="94"/>
  <c r="AC32" i="94"/>
  <c r="AD32" i="94"/>
  <c r="AE32" i="94"/>
  <c r="AF32" i="94"/>
  <c r="AG32" i="94"/>
  <c r="AH32" i="94"/>
  <c r="AI32" i="94"/>
  <c r="J33" i="94"/>
  <c r="K33" i="94"/>
  <c r="S33" i="94"/>
  <c r="T33" i="94"/>
  <c r="U33" i="94"/>
  <c r="W33" i="94"/>
  <c r="X33" i="94"/>
  <c r="Y33" i="94"/>
  <c r="Z33" i="94"/>
  <c r="AB33" i="94"/>
  <c r="AC33" i="94"/>
  <c r="AD33" i="94"/>
  <c r="AE33" i="94"/>
  <c r="AF33" i="94"/>
  <c r="AG33" i="94"/>
  <c r="AH33" i="94"/>
  <c r="AI33" i="94"/>
  <c r="J34" i="94"/>
  <c r="K34" i="94"/>
  <c r="S34" i="94"/>
  <c r="T34" i="94"/>
  <c r="U34" i="94"/>
  <c r="W34" i="94"/>
  <c r="X34" i="94"/>
  <c r="Y34" i="94"/>
  <c r="Z34" i="94"/>
  <c r="AB34" i="94"/>
  <c r="AC34" i="94"/>
  <c r="AD34" i="94"/>
  <c r="AE34" i="94"/>
  <c r="AF34" i="94"/>
  <c r="AG34" i="94"/>
  <c r="AH34" i="94"/>
  <c r="AI34" i="94"/>
  <c r="J35" i="94"/>
  <c r="K35" i="94"/>
  <c r="J36" i="94"/>
  <c r="K36" i="94"/>
  <c r="S36" i="94"/>
  <c r="T36" i="94"/>
  <c r="U36" i="94"/>
  <c r="W36" i="94"/>
  <c r="X36" i="94"/>
  <c r="Y36" i="94"/>
  <c r="Z36" i="94"/>
  <c r="AB36" i="94"/>
  <c r="AC36" i="94"/>
  <c r="AD36" i="94"/>
  <c r="AE36" i="94"/>
  <c r="AF36" i="94"/>
  <c r="AG36" i="94"/>
  <c r="AH36" i="94"/>
  <c r="AI36" i="94"/>
  <c r="J37" i="94"/>
  <c r="K37" i="94"/>
  <c r="S37" i="94"/>
  <c r="T37" i="94"/>
  <c r="U37" i="94"/>
  <c r="W37" i="94"/>
  <c r="X37" i="94"/>
  <c r="Y37" i="94"/>
  <c r="Z37" i="94"/>
  <c r="AB37" i="94"/>
  <c r="AC37" i="94"/>
  <c r="AD37" i="94"/>
  <c r="AE37" i="94"/>
  <c r="AF37" i="94"/>
  <c r="AG37" i="94"/>
  <c r="AH37" i="94"/>
  <c r="AI37" i="94"/>
  <c r="S38" i="94"/>
  <c r="T38" i="94"/>
  <c r="U38" i="94"/>
  <c r="W38" i="94"/>
  <c r="X38" i="94"/>
  <c r="Y38" i="94"/>
  <c r="Z38" i="94"/>
  <c r="AB38" i="94"/>
  <c r="AC38" i="94"/>
  <c r="AD38" i="94"/>
  <c r="AE38" i="94"/>
  <c r="AF38" i="94"/>
  <c r="AG38" i="94"/>
  <c r="AH38" i="94"/>
  <c r="AI38" i="94"/>
  <c r="S39" i="94"/>
  <c r="T39" i="94"/>
  <c r="U39" i="94"/>
  <c r="W39" i="94"/>
  <c r="X39" i="94"/>
  <c r="Y39" i="94"/>
  <c r="Z39" i="94"/>
  <c r="AB39" i="94"/>
  <c r="AC39" i="94"/>
  <c r="AD39" i="94"/>
  <c r="AE39" i="94"/>
  <c r="AF39" i="94"/>
  <c r="AG39" i="94"/>
  <c r="AH39" i="94"/>
  <c r="AI39" i="94"/>
  <c r="K43" i="94"/>
  <c r="V43" i="94"/>
  <c r="K44" i="94"/>
  <c r="V44" i="94"/>
  <c r="K45" i="94"/>
  <c r="V45" i="94"/>
  <c r="K46" i="94"/>
  <c r="K47" i="94"/>
  <c r="R48" i="94"/>
  <c r="J49" i="94"/>
  <c r="R49" i="94"/>
  <c r="R51" i="94"/>
  <c r="Y63" i="94"/>
  <c r="Z63" i="94"/>
  <c r="Y64" i="94"/>
  <c r="Z64" i="94"/>
  <c r="Y65" i="94"/>
  <c r="Z65" i="94"/>
  <c r="Y66" i="94"/>
  <c r="Z66" i="94"/>
  <c r="Y67" i="94"/>
  <c r="Z67" i="94"/>
</calcChain>
</file>

<file path=xl/comments1.xml><?xml version="1.0" encoding="utf-8"?>
<comments xmlns="http://schemas.openxmlformats.org/spreadsheetml/2006/main">
  <authors>
    <author>Logan Davis</author>
  </authors>
  <commentList>
    <comment ref="H13" authorId="0" shapeId="0">
      <text>
        <r>
          <rPr>
            <b/>
            <sz val="9"/>
            <color indexed="81"/>
            <rFont val="Tahoma"/>
            <family val="2"/>
          </rPr>
          <t>Logan Davis:</t>
        </r>
        <r>
          <rPr>
            <sz val="9"/>
            <color indexed="81"/>
            <rFont val="Tahoma"/>
            <family val="2"/>
          </rPr>
          <t xml:space="preserve">
3/3</t>
        </r>
      </text>
    </comment>
    <comment ref="H14" authorId="0" shapeId="0">
      <text>
        <r>
          <rPr>
            <b/>
            <sz val="9"/>
            <color indexed="81"/>
            <rFont val="Tahoma"/>
            <family val="2"/>
          </rPr>
          <t>Logan Davis:</t>
        </r>
        <r>
          <rPr>
            <sz val="9"/>
            <color indexed="81"/>
            <rFont val="Tahoma"/>
            <family val="2"/>
          </rPr>
          <t xml:space="preserve">
3/3</t>
        </r>
      </text>
    </comment>
    <comment ref="H19" authorId="0" shapeId="0">
      <text>
        <r>
          <rPr>
            <b/>
            <sz val="9"/>
            <color indexed="81"/>
            <rFont val="Tahoma"/>
            <family val="2"/>
          </rPr>
          <t>Logan Davis:</t>
        </r>
        <r>
          <rPr>
            <sz val="9"/>
            <color indexed="81"/>
            <rFont val="Tahoma"/>
            <family val="2"/>
          </rPr>
          <t xml:space="preserve">
3/31</t>
        </r>
      </text>
    </comment>
    <comment ref="H20" authorId="0" shapeId="0">
      <text>
        <r>
          <rPr>
            <b/>
            <sz val="9"/>
            <color indexed="81"/>
            <rFont val="Tahoma"/>
            <family val="2"/>
          </rPr>
          <t>Logan Davis:</t>
        </r>
        <r>
          <rPr>
            <sz val="9"/>
            <color indexed="81"/>
            <rFont val="Tahoma"/>
            <family val="2"/>
          </rPr>
          <t xml:space="preserve">
3/3</t>
        </r>
      </text>
    </comment>
    <comment ref="H21" authorId="0" shapeId="0">
      <text>
        <r>
          <rPr>
            <b/>
            <sz val="9"/>
            <color indexed="81"/>
            <rFont val="Tahoma"/>
            <family val="2"/>
          </rPr>
          <t>Logan Davis:</t>
        </r>
        <r>
          <rPr>
            <sz val="9"/>
            <color indexed="81"/>
            <rFont val="Tahoma"/>
            <family val="2"/>
          </rPr>
          <t xml:space="preserve">
2/3</t>
        </r>
      </text>
    </comment>
    <comment ref="I21" authorId="0" shapeId="0">
      <text>
        <r>
          <rPr>
            <b/>
            <sz val="9"/>
            <color indexed="81"/>
            <rFont val="Tahoma"/>
            <family val="2"/>
          </rPr>
          <t>Logan Davis:</t>
        </r>
        <r>
          <rPr>
            <sz val="9"/>
            <color indexed="81"/>
            <rFont val="Tahoma"/>
            <family val="2"/>
          </rPr>
          <t xml:space="preserve">
3/3</t>
        </r>
      </text>
    </comment>
    <comment ref="H22" authorId="0" shapeId="0">
      <text>
        <r>
          <rPr>
            <b/>
            <sz val="9"/>
            <color indexed="81"/>
            <rFont val="Tahoma"/>
            <family val="2"/>
          </rPr>
          <t>Logan Davis:</t>
        </r>
        <r>
          <rPr>
            <sz val="9"/>
            <color indexed="81"/>
            <rFont val="Tahoma"/>
            <family val="2"/>
          </rPr>
          <t xml:space="preserve">
4/14</t>
        </r>
      </text>
    </comment>
    <comment ref="I22" authorId="0" shapeId="0">
      <text>
        <r>
          <rPr>
            <b/>
            <sz val="9"/>
            <color indexed="81"/>
            <rFont val="Tahoma"/>
            <family val="2"/>
          </rPr>
          <t>Logan Davis:</t>
        </r>
        <r>
          <rPr>
            <sz val="9"/>
            <color indexed="81"/>
            <rFont val="Tahoma"/>
            <family val="2"/>
          </rPr>
          <t xml:space="preserve">
6/9</t>
        </r>
      </text>
    </comment>
    <comment ref="H25" authorId="0" shapeId="0">
      <text>
        <r>
          <rPr>
            <b/>
            <sz val="9"/>
            <color indexed="81"/>
            <rFont val="Tahoma"/>
            <family val="2"/>
          </rPr>
          <t>Logan Davis:</t>
        </r>
        <r>
          <rPr>
            <sz val="9"/>
            <color indexed="81"/>
            <rFont val="Tahoma"/>
            <family val="2"/>
          </rPr>
          <t xml:space="preserve">
3/17</t>
        </r>
      </text>
    </comment>
    <comment ref="H26" authorId="0" shapeId="0">
      <text>
        <r>
          <rPr>
            <b/>
            <sz val="9"/>
            <color indexed="81"/>
            <rFont val="Tahoma"/>
            <family val="2"/>
          </rPr>
          <t>Logan Davis:</t>
        </r>
        <r>
          <rPr>
            <sz val="9"/>
            <color indexed="81"/>
            <rFont val="Tahoma"/>
            <family val="2"/>
          </rPr>
          <t xml:space="preserve">
4/14</t>
        </r>
      </text>
    </comment>
    <comment ref="H30" authorId="0" shapeId="0">
      <text>
        <r>
          <rPr>
            <b/>
            <sz val="9"/>
            <color indexed="81"/>
            <rFont val="Tahoma"/>
            <family val="2"/>
          </rPr>
          <t>Logan Davis:</t>
        </r>
        <r>
          <rPr>
            <sz val="9"/>
            <color indexed="81"/>
            <rFont val="Tahoma"/>
            <family val="2"/>
          </rPr>
          <t xml:space="preserve">
3/3</t>
        </r>
      </text>
    </comment>
    <comment ref="H31" authorId="0" shapeId="0">
      <text>
        <r>
          <rPr>
            <b/>
            <sz val="9"/>
            <color indexed="81"/>
            <rFont val="Tahoma"/>
            <family val="2"/>
          </rPr>
          <t>Logan Davis:</t>
        </r>
        <r>
          <rPr>
            <sz val="9"/>
            <color indexed="81"/>
            <rFont val="Tahoma"/>
            <family val="2"/>
          </rPr>
          <t xml:space="preserve">
1/20</t>
        </r>
      </text>
    </comment>
    <comment ref="I31" authorId="0" shapeId="0">
      <text>
        <r>
          <rPr>
            <b/>
            <sz val="9"/>
            <color indexed="81"/>
            <rFont val="Tahoma"/>
            <family val="2"/>
          </rPr>
          <t>Logan Davis:</t>
        </r>
        <r>
          <rPr>
            <sz val="9"/>
            <color indexed="81"/>
            <rFont val="Tahoma"/>
            <family val="2"/>
          </rPr>
          <t xml:space="preserve">
3/3</t>
        </r>
      </text>
    </comment>
    <comment ref="J31" authorId="0" shapeId="0">
      <text>
        <r>
          <rPr>
            <b/>
            <sz val="9"/>
            <color indexed="81"/>
            <rFont val="Tahoma"/>
            <family val="2"/>
          </rPr>
          <t>Logan Davis:</t>
        </r>
        <r>
          <rPr>
            <sz val="9"/>
            <color indexed="81"/>
            <rFont val="Tahoma"/>
            <family val="2"/>
          </rPr>
          <t xml:space="preserve">
9/15</t>
        </r>
      </text>
    </comment>
    <comment ref="D33" authorId="0" shapeId="0">
      <text>
        <r>
          <rPr>
            <b/>
            <sz val="9"/>
            <color indexed="81"/>
            <rFont val="Tahoma"/>
            <family val="2"/>
          </rPr>
          <t>Logan Davis:</t>
        </r>
        <r>
          <rPr>
            <sz val="9"/>
            <color indexed="81"/>
            <rFont val="Tahoma"/>
            <family val="2"/>
          </rPr>
          <t xml:space="preserve">
Eligible on 8/6/2020</t>
        </r>
      </text>
    </comment>
    <comment ref="D35" authorId="0" shapeId="0">
      <text>
        <r>
          <rPr>
            <b/>
            <sz val="9"/>
            <color indexed="81"/>
            <rFont val="Tahoma"/>
            <family val="2"/>
          </rPr>
          <t>Logan Davis:</t>
        </r>
        <r>
          <rPr>
            <sz val="9"/>
            <color indexed="81"/>
            <rFont val="Tahoma"/>
            <family val="2"/>
          </rPr>
          <t xml:space="preserve">
Eligible on 8/20/2020</t>
        </r>
      </text>
    </comment>
    <comment ref="H38" authorId="0" shapeId="0">
      <text>
        <r>
          <rPr>
            <b/>
            <sz val="9"/>
            <color indexed="81"/>
            <rFont val="Tahoma"/>
            <family val="2"/>
          </rPr>
          <t>Logan Davis:</t>
        </r>
        <r>
          <rPr>
            <sz val="9"/>
            <color indexed="81"/>
            <rFont val="Tahoma"/>
            <family val="2"/>
          </rPr>
          <t xml:space="preserve">
3/3</t>
        </r>
      </text>
    </comment>
    <comment ref="H39" authorId="0" shapeId="0">
      <text>
        <r>
          <rPr>
            <b/>
            <sz val="9"/>
            <color indexed="81"/>
            <rFont val="Tahoma"/>
            <family val="2"/>
          </rPr>
          <t>Logan Davis:</t>
        </r>
        <r>
          <rPr>
            <sz val="9"/>
            <color indexed="81"/>
            <rFont val="Tahoma"/>
            <family val="2"/>
          </rPr>
          <t xml:space="preserve">
3/3</t>
        </r>
      </text>
    </comment>
    <comment ref="H40" authorId="0" shapeId="0">
      <text>
        <r>
          <rPr>
            <b/>
            <sz val="9"/>
            <color indexed="81"/>
            <rFont val="Tahoma"/>
            <family val="2"/>
          </rPr>
          <t>Logan Davis:</t>
        </r>
        <r>
          <rPr>
            <sz val="9"/>
            <color indexed="81"/>
            <rFont val="Tahoma"/>
            <family val="2"/>
          </rPr>
          <t xml:space="preserve">
3/3</t>
        </r>
      </text>
    </comment>
    <comment ref="H41" authorId="0" shapeId="0">
      <text>
        <r>
          <rPr>
            <b/>
            <sz val="9"/>
            <color indexed="81"/>
            <rFont val="Tahoma"/>
            <family val="2"/>
          </rPr>
          <t>Logan Davis:</t>
        </r>
        <r>
          <rPr>
            <sz val="9"/>
            <color indexed="81"/>
            <rFont val="Tahoma"/>
            <family val="2"/>
          </rPr>
          <t xml:space="preserve">
3/3</t>
        </r>
      </text>
    </comment>
    <comment ref="H42" authorId="0" shapeId="0">
      <text>
        <r>
          <rPr>
            <b/>
            <sz val="9"/>
            <color indexed="81"/>
            <rFont val="Tahoma"/>
            <family val="2"/>
          </rPr>
          <t>Logan Davis:</t>
        </r>
        <r>
          <rPr>
            <sz val="9"/>
            <color indexed="81"/>
            <rFont val="Tahoma"/>
            <family val="2"/>
          </rPr>
          <t xml:space="preserve">
3/3</t>
        </r>
      </text>
    </comment>
    <comment ref="H43" authorId="0" shapeId="0">
      <text>
        <r>
          <rPr>
            <b/>
            <sz val="9"/>
            <color indexed="81"/>
            <rFont val="Tahoma"/>
            <family val="2"/>
          </rPr>
          <t>Logan Davis:</t>
        </r>
        <r>
          <rPr>
            <sz val="9"/>
            <color indexed="81"/>
            <rFont val="Tahoma"/>
            <family val="2"/>
          </rPr>
          <t xml:space="preserve">
3/3</t>
        </r>
      </text>
    </comment>
    <comment ref="H44" authorId="0" shapeId="0">
      <text>
        <r>
          <rPr>
            <b/>
            <sz val="9"/>
            <color indexed="81"/>
            <rFont val="Tahoma"/>
            <family val="2"/>
          </rPr>
          <t>Logan Davis:</t>
        </r>
        <r>
          <rPr>
            <sz val="9"/>
            <color indexed="81"/>
            <rFont val="Tahoma"/>
            <family val="2"/>
          </rPr>
          <t xml:space="preserve">
3/3</t>
        </r>
      </text>
    </comment>
    <comment ref="H45" authorId="0" shapeId="0">
      <text>
        <r>
          <rPr>
            <b/>
            <sz val="9"/>
            <color indexed="81"/>
            <rFont val="Tahoma"/>
            <family val="2"/>
          </rPr>
          <t>Logan Davis:</t>
        </r>
        <r>
          <rPr>
            <sz val="9"/>
            <color indexed="81"/>
            <rFont val="Tahoma"/>
            <family val="2"/>
          </rPr>
          <t xml:space="preserve">
3/3</t>
        </r>
      </text>
    </comment>
    <comment ref="I45" authorId="0" shapeId="0">
      <text>
        <r>
          <rPr>
            <b/>
            <sz val="9"/>
            <color indexed="81"/>
            <rFont val="Tahoma"/>
            <family val="2"/>
          </rPr>
          <t>Logan Davis:</t>
        </r>
        <r>
          <rPr>
            <sz val="9"/>
            <color indexed="81"/>
            <rFont val="Tahoma"/>
            <family val="2"/>
          </rPr>
          <t xml:space="preserve">
9/15</t>
        </r>
      </text>
    </comment>
    <comment ref="H46" authorId="0" shapeId="0">
      <text>
        <r>
          <rPr>
            <b/>
            <sz val="9"/>
            <color indexed="81"/>
            <rFont val="Tahoma"/>
            <family val="2"/>
          </rPr>
          <t>Logan Davis:</t>
        </r>
        <r>
          <rPr>
            <sz val="9"/>
            <color indexed="81"/>
            <rFont val="Tahoma"/>
            <family val="2"/>
          </rPr>
          <t xml:space="preserve">
3/3</t>
        </r>
      </text>
    </comment>
    <comment ref="H47" authorId="0" shapeId="0">
      <text>
        <r>
          <rPr>
            <b/>
            <sz val="9"/>
            <color indexed="81"/>
            <rFont val="Tahoma"/>
            <family val="2"/>
          </rPr>
          <t>Logan Davis:</t>
        </r>
        <r>
          <rPr>
            <sz val="9"/>
            <color indexed="81"/>
            <rFont val="Tahoma"/>
            <family val="2"/>
          </rPr>
          <t xml:space="preserve">
3/3</t>
        </r>
      </text>
    </comment>
    <comment ref="H48" authorId="0" shapeId="0">
      <text>
        <r>
          <rPr>
            <b/>
            <sz val="9"/>
            <color indexed="81"/>
            <rFont val="Tahoma"/>
            <family val="2"/>
          </rPr>
          <t>Logan Davis:</t>
        </r>
        <r>
          <rPr>
            <sz val="9"/>
            <color indexed="81"/>
            <rFont val="Tahoma"/>
            <family val="2"/>
          </rPr>
          <t xml:space="preserve">
3/3</t>
        </r>
      </text>
    </comment>
    <comment ref="D50" authorId="0" shapeId="0">
      <text>
        <r>
          <rPr>
            <b/>
            <sz val="9"/>
            <color indexed="81"/>
            <rFont val="Tahoma"/>
            <family val="2"/>
          </rPr>
          <t>Logan Davis:</t>
        </r>
        <r>
          <rPr>
            <sz val="9"/>
            <color indexed="81"/>
            <rFont val="Tahoma"/>
            <family val="2"/>
          </rPr>
          <t xml:space="preserve">
Eligible on 9/3/2020
</t>
        </r>
      </text>
    </comment>
    <comment ref="D51" authorId="0" shapeId="0">
      <text>
        <r>
          <rPr>
            <b/>
            <sz val="9"/>
            <color indexed="81"/>
            <rFont val="Tahoma"/>
            <family val="2"/>
          </rPr>
          <t>Logan Davis:</t>
        </r>
        <r>
          <rPr>
            <sz val="9"/>
            <color indexed="81"/>
            <rFont val="Tahoma"/>
            <family val="2"/>
          </rPr>
          <t xml:space="preserve">
Eligible on 5/14/2020</t>
        </r>
      </text>
    </comment>
    <comment ref="H54" authorId="0" shapeId="0">
      <text>
        <r>
          <rPr>
            <b/>
            <sz val="9"/>
            <color indexed="81"/>
            <rFont val="Tahoma"/>
            <family val="2"/>
          </rPr>
          <t>Logan Davis:</t>
        </r>
        <r>
          <rPr>
            <sz val="9"/>
            <color indexed="81"/>
            <rFont val="Tahoma"/>
            <family val="2"/>
          </rPr>
          <t xml:space="preserve">
3/3</t>
        </r>
      </text>
    </comment>
    <comment ref="H55" authorId="0" shapeId="0">
      <text>
        <r>
          <rPr>
            <b/>
            <sz val="9"/>
            <color indexed="81"/>
            <rFont val="Tahoma"/>
            <family val="2"/>
          </rPr>
          <t>Logan Davis:</t>
        </r>
        <r>
          <rPr>
            <sz val="9"/>
            <color indexed="81"/>
            <rFont val="Tahoma"/>
            <family val="2"/>
          </rPr>
          <t xml:space="preserve">
3/3
</t>
        </r>
      </text>
    </comment>
    <comment ref="H56" authorId="0" shapeId="0">
      <text>
        <r>
          <rPr>
            <b/>
            <sz val="9"/>
            <color indexed="81"/>
            <rFont val="Tahoma"/>
            <family val="2"/>
          </rPr>
          <t>Logan Davis:</t>
        </r>
        <r>
          <rPr>
            <sz val="9"/>
            <color indexed="81"/>
            <rFont val="Tahoma"/>
            <family val="2"/>
          </rPr>
          <t xml:space="preserve">
3/3</t>
        </r>
      </text>
    </comment>
    <comment ref="D57" authorId="0" shapeId="0">
      <text>
        <r>
          <rPr>
            <b/>
            <sz val="9"/>
            <color indexed="81"/>
            <rFont val="Tahoma"/>
            <family val="2"/>
          </rPr>
          <t>Logan Davis:</t>
        </r>
        <r>
          <rPr>
            <sz val="9"/>
            <color indexed="81"/>
            <rFont val="Tahoma"/>
            <family val="2"/>
          </rPr>
          <t xml:space="preserve">
Eligible on 8/6/2020</t>
        </r>
      </text>
    </comment>
    <comment ref="D58" authorId="0" shapeId="0">
      <text>
        <r>
          <rPr>
            <b/>
            <sz val="9"/>
            <color indexed="81"/>
            <rFont val="Tahoma"/>
            <family val="2"/>
          </rPr>
          <t>Logan Davis:</t>
        </r>
        <r>
          <rPr>
            <sz val="9"/>
            <color indexed="81"/>
            <rFont val="Tahoma"/>
            <family val="2"/>
          </rPr>
          <t xml:space="preserve">
Eligible on 8/20/2020</t>
        </r>
      </text>
    </comment>
  </commentList>
</comments>
</file>

<file path=xl/sharedStrings.xml><?xml version="1.0" encoding="utf-8"?>
<sst xmlns="http://schemas.openxmlformats.org/spreadsheetml/2006/main" count="2365" uniqueCount="1028">
  <si>
    <t>Total</t>
  </si>
  <si>
    <t>Employee</t>
  </si>
  <si>
    <t>Hours</t>
  </si>
  <si>
    <t>Amount</t>
  </si>
  <si>
    <t>Increase</t>
  </si>
  <si>
    <t xml:space="preserve"> </t>
  </si>
  <si>
    <t>TOTAL</t>
  </si>
  <si>
    <t>Drop Box</t>
  </si>
  <si>
    <t>Payroll</t>
  </si>
  <si>
    <t>MECHANICS</t>
  </si>
  <si>
    <t>Expense</t>
  </si>
  <si>
    <t>Wages Drivers</t>
  </si>
  <si>
    <t>Wages Drop Box Drivers</t>
  </si>
  <si>
    <t>Wages Mechanics</t>
  </si>
  <si>
    <t>Wages Supervisor</t>
  </si>
  <si>
    <t>Fringe Benefits</t>
  </si>
  <si>
    <t>Tires</t>
  </si>
  <si>
    <t>Fuel</t>
  </si>
  <si>
    <t>Officer Salaries</t>
  </si>
  <si>
    <t>Office Salaries</t>
  </si>
  <si>
    <t>Postage</t>
  </si>
  <si>
    <t>WUTC Fee</t>
  </si>
  <si>
    <t>Travel</t>
  </si>
  <si>
    <t>Property Taxes</t>
  </si>
  <si>
    <t>Drug Testing</t>
  </si>
  <si>
    <t>Freight</t>
  </si>
  <si>
    <t>Total Expenses</t>
  </si>
  <si>
    <t>OPERATING EXPENSES</t>
  </si>
  <si>
    <t>NET OPERATING INCOME</t>
  </si>
  <si>
    <t>Adjust</t>
  </si>
  <si>
    <t>Eliminate</t>
  </si>
  <si>
    <t xml:space="preserve">Restate </t>
  </si>
  <si>
    <t>Rate</t>
  </si>
  <si>
    <t>PER</t>
  </si>
  <si>
    <t>Depr to</t>
  </si>
  <si>
    <t>Interest</t>
  </si>
  <si>
    <t>Restating</t>
  </si>
  <si>
    <t>Proforma</t>
  </si>
  <si>
    <t>BOOKS</t>
  </si>
  <si>
    <t>Actual</t>
  </si>
  <si>
    <t>Adjustments</t>
  </si>
  <si>
    <t>Cost</t>
  </si>
  <si>
    <t>REVENUES</t>
  </si>
  <si>
    <t>Expenses</t>
  </si>
  <si>
    <t>Payroll Taxes</t>
  </si>
  <si>
    <t>Amortization</t>
  </si>
  <si>
    <t>OPERATING RATIO %</t>
  </si>
  <si>
    <t>RECLASS</t>
  </si>
  <si>
    <t>Per G/L</t>
  </si>
  <si>
    <t>Reclass</t>
  </si>
  <si>
    <t>Life</t>
  </si>
  <si>
    <t>Per Operations</t>
  </si>
  <si>
    <t>Carts</t>
  </si>
  <si>
    <t>%</t>
  </si>
  <si>
    <t>Increase (decrease)</t>
  </si>
  <si>
    <t xml:space="preserve">Payroll </t>
  </si>
  <si>
    <t>Service</t>
  </si>
  <si>
    <t>Depreciation</t>
  </si>
  <si>
    <t>OTHER INCOME</t>
  </si>
  <si>
    <t>Miscellaneous</t>
  </si>
  <si>
    <t>R-1</t>
  </si>
  <si>
    <t>R-2</t>
  </si>
  <si>
    <t>R-3</t>
  </si>
  <si>
    <t>R-4</t>
  </si>
  <si>
    <t>R-5</t>
  </si>
  <si>
    <t>R-6</t>
  </si>
  <si>
    <t>R-7</t>
  </si>
  <si>
    <t>P-2</t>
  </si>
  <si>
    <t>P-3</t>
  </si>
  <si>
    <t>P-4</t>
  </si>
  <si>
    <t>P-5</t>
  </si>
  <si>
    <t>Wages Extra Labor</t>
  </si>
  <si>
    <t>Gain on asset sale</t>
  </si>
  <si>
    <t>Hourly</t>
  </si>
  <si>
    <t>RC-1</t>
  </si>
  <si>
    <t>RC-2</t>
  </si>
  <si>
    <t>RC-3</t>
  </si>
  <si>
    <t>Disposal</t>
  </si>
  <si>
    <t>Fees</t>
  </si>
  <si>
    <t>December</t>
  </si>
  <si>
    <t>November</t>
  </si>
  <si>
    <t>October</t>
  </si>
  <si>
    <t>September</t>
  </si>
  <si>
    <t>January</t>
  </si>
  <si>
    <t>February</t>
  </si>
  <si>
    <t>March</t>
  </si>
  <si>
    <t>April</t>
  </si>
  <si>
    <t>May</t>
  </si>
  <si>
    <t>June</t>
  </si>
  <si>
    <t>July</t>
  </si>
  <si>
    <t>August</t>
  </si>
  <si>
    <t>Bad Debt Expense</t>
  </si>
  <si>
    <t>&amp; Recycle</t>
  </si>
  <si>
    <t>Taxes</t>
  </si>
  <si>
    <t>P-1</t>
  </si>
  <si>
    <t>Insurance</t>
  </si>
  <si>
    <t>Salary/</t>
  </si>
  <si>
    <t>Eligible for</t>
  </si>
  <si>
    <t>H</t>
  </si>
  <si>
    <t>S</t>
  </si>
  <si>
    <t>Y</t>
  </si>
  <si>
    <t>Bonus</t>
  </si>
  <si>
    <t>Medical/</t>
  </si>
  <si>
    <t>Dental</t>
  </si>
  <si>
    <t>N</t>
  </si>
  <si>
    <t>1.5 over 40 hrs</t>
  </si>
  <si>
    <t>Overtime</t>
  </si>
  <si>
    <t>Projected</t>
  </si>
  <si>
    <t>Annual</t>
  </si>
  <si>
    <t>Months OT</t>
  </si>
  <si>
    <t>Wage</t>
  </si>
  <si>
    <t>increase</t>
  </si>
  <si>
    <t>FICA</t>
  </si>
  <si>
    <t>Employment</t>
  </si>
  <si>
    <t>Security</t>
  </si>
  <si>
    <t>FUTA</t>
  </si>
  <si>
    <t>L&amp;I</t>
  </si>
  <si>
    <t>Clerical</t>
  </si>
  <si>
    <t>Collection</t>
  </si>
  <si>
    <t>Fringe</t>
  </si>
  <si>
    <t>Gallons</t>
  </si>
  <si>
    <t>End of</t>
  </si>
  <si>
    <t>Period</t>
  </si>
  <si>
    <t>Long Term Debt</t>
  </si>
  <si>
    <t>Equity</t>
  </si>
  <si>
    <t>Interest Expense</t>
  </si>
  <si>
    <t>actual test period</t>
  </si>
  <si>
    <t>Weighted cost of debt</t>
  </si>
  <si>
    <t>Debt</t>
  </si>
  <si>
    <t>Adjustment</t>
  </si>
  <si>
    <t>SCHEDULE 1 - EXPLANATION OF RESTATING ADJUSTMENTS</t>
  </si>
  <si>
    <t>RESULTS OF OPERATIONS</t>
  </si>
  <si>
    <t>SCHEDULE 2 - EXPLANATION OF FORECAST ADJUSTMENTS</t>
  </si>
  <si>
    <t>SCHEDULE 3 - EXPLANATION OF RECLASS ADJUSTMENTS</t>
  </si>
  <si>
    <t>WORKPAPER 3 - LABOR ANALYSIS, Continued</t>
  </si>
  <si>
    <t>Containers</t>
  </si>
  <si>
    <t>Net Income</t>
  </si>
  <si>
    <t>Gain(loss) on sale of assets</t>
  </si>
  <si>
    <t>Amortization Expense</t>
  </si>
  <si>
    <t>Freight Expense</t>
  </si>
  <si>
    <t>Fuel and Oil</t>
  </si>
  <si>
    <t>Expenses:</t>
  </si>
  <si>
    <t>Total Revenues</t>
  </si>
  <si>
    <t>Revenues:</t>
  </si>
  <si>
    <t>Totals</t>
  </si>
  <si>
    <t>Income Statement by Month Provided by Client - Used to Calculate the Twelve Months</t>
  </si>
  <si>
    <t>SCHEDULE 1 - SUMMARY OF RESTATING ADJUSTMENTS, Continued</t>
  </si>
  <si>
    <t>SCHEDULE 2 - SUMMARY OF FORECAST ADJUSTMENTS, Continued</t>
  </si>
  <si>
    <t>SCHEDULE 3 - SUMMARY OF RECLASS ADJUSTMENTS, Continued</t>
  </si>
  <si>
    <t>SCHEDULE 4 - CALCULATE THE TWELVE MONTHS</t>
  </si>
  <si>
    <t>Per Books</t>
  </si>
  <si>
    <t>Restated</t>
  </si>
  <si>
    <t>Meals and Entertainment</t>
  </si>
  <si>
    <t>Rate Case</t>
  </si>
  <si>
    <t xml:space="preserve">    NET INCOME </t>
  </si>
  <si>
    <t>Regular</t>
  </si>
  <si>
    <t>Washington</t>
  </si>
  <si>
    <t>Refuse</t>
  </si>
  <si>
    <t>Summary of Significant Forecast Assumptions</t>
  </si>
  <si>
    <t>Work Papers</t>
  </si>
  <si>
    <t>Gross</t>
  </si>
  <si>
    <t>OT</t>
  </si>
  <si>
    <t>Sick</t>
  </si>
  <si>
    <t>Holiday</t>
  </si>
  <si>
    <t>Average</t>
  </si>
  <si>
    <t>Fuel Cost</t>
  </si>
  <si>
    <t>actual</t>
  </si>
  <si>
    <t>Forecasted Fuel Cost</t>
  </si>
  <si>
    <t>Total Forecasted Expense</t>
  </si>
  <si>
    <t>Forecast Adjustment</t>
  </si>
  <si>
    <t>Depn</t>
  </si>
  <si>
    <t>Investment</t>
  </si>
  <si>
    <t>Penalties</t>
  </si>
  <si>
    <t>Wages</t>
  </si>
  <si>
    <t>Office Equipment</t>
  </si>
  <si>
    <t>E.</t>
  </si>
  <si>
    <t>D.</t>
  </si>
  <si>
    <t>C.</t>
  </si>
  <si>
    <t>B</t>
  </si>
  <si>
    <t>A.</t>
  </si>
  <si>
    <t>Depr.</t>
  </si>
  <si>
    <t>Allo.</t>
  </si>
  <si>
    <t>Depreciable Cost</t>
  </si>
  <si>
    <t>Disp</t>
  </si>
  <si>
    <t>Asset Cost</t>
  </si>
  <si>
    <t>Mo</t>
  </si>
  <si>
    <t>Yr</t>
  </si>
  <si>
    <t>Asset Description</t>
  </si>
  <si>
    <t>Test year</t>
  </si>
  <si>
    <t>Test Year</t>
  </si>
  <si>
    <t>Year</t>
  </si>
  <si>
    <t xml:space="preserve">Monthly </t>
  </si>
  <si>
    <t>Asset</t>
  </si>
  <si>
    <t>Fully</t>
  </si>
  <si>
    <t>Mthd</t>
  </si>
  <si>
    <t>Value</t>
  </si>
  <si>
    <t>Accumulated</t>
  </si>
  <si>
    <t>Accum.</t>
  </si>
  <si>
    <t>Branch</t>
  </si>
  <si>
    <t>Allocated</t>
  </si>
  <si>
    <t>Salvage</t>
  </si>
  <si>
    <t>Date in</t>
  </si>
  <si>
    <t>Disposition Date</t>
  </si>
  <si>
    <t>Ending</t>
  </si>
  <si>
    <t>Beginning</t>
  </si>
  <si>
    <t>Second year</t>
  </si>
  <si>
    <t>Date fully Depr</t>
  </si>
  <si>
    <t>C</t>
  </si>
  <si>
    <t>First year</t>
  </si>
  <si>
    <t>Months in second year</t>
  </si>
  <si>
    <t>Months in first year</t>
  </si>
  <si>
    <t>End of Test Period</t>
  </si>
  <si>
    <t>B.</t>
  </si>
  <si>
    <t>Purchase date</t>
  </si>
  <si>
    <t>SL</t>
  </si>
  <si>
    <t>Subtotal</t>
  </si>
  <si>
    <t>Depn.</t>
  </si>
  <si>
    <t xml:space="preserve">  Yr.</t>
  </si>
  <si>
    <t>Test yr.</t>
  </si>
  <si>
    <t>Monthly</t>
  </si>
  <si>
    <t>Depreciable</t>
  </si>
  <si>
    <t>Beg of Test Period</t>
  </si>
  <si>
    <t>Lobbying</t>
  </si>
  <si>
    <t>Test</t>
  </si>
  <si>
    <t>Test Year Totals</t>
  </si>
  <si>
    <t>at 14 Rate</t>
  </si>
  <si>
    <t>wage base</t>
  </si>
  <si>
    <t>UI rate</t>
  </si>
  <si>
    <t>Actual Misc Shop</t>
  </si>
  <si>
    <t>Benefits %</t>
  </si>
  <si>
    <t>Total Payroll</t>
  </si>
  <si>
    <t>Revenue</t>
  </si>
  <si>
    <t xml:space="preserve">Income </t>
  </si>
  <si>
    <t>Statement</t>
  </si>
  <si>
    <t>Income</t>
  </si>
  <si>
    <t>Adj #</t>
  </si>
  <si>
    <t>Total Revenue</t>
  </si>
  <si>
    <t>D =</t>
  </si>
  <si>
    <t>R =</t>
  </si>
  <si>
    <t>N =</t>
  </si>
  <si>
    <t>A =</t>
  </si>
  <si>
    <t>Allocate a portion to non-regulated activities</t>
  </si>
  <si>
    <t xml:space="preserve">Removed adj completely </t>
  </si>
  <si>
    <t xml:space="preserve">Gross operational revenue </t>
  </si>
  <si>
    <t>Bad Debt</t>
  </si>
  <si>
    <t>AVG</t>
  </si>
  <si>
    <t>Change</t>
  </si>
  <si>
    <t>ADJUSTED</t>
  </si>
  <si>
    <t>Results of Operations</t>
  </si>
  <si>
    <t>Drop Box Tons</t>
  </si>
  <si>
    <t>Pro Forma</t>
  </si>
  <si>
    <t>GL Booth JG Davis &amp; Associates</t>
  </si>
  <si>
    <t>Adjusted fuel</t>
  </si>
  <si>
    <t xml:space="preserve">P-1                                    </t>
  </si>
  <si>
    <t>Other adjustments per WUTC:</t>
  </si>
  <si>
    <t>.</t>
  </si>
  <si>
    <t>2018</t>
  </si>
  <si>
    <t>DRIVERS</t>
  </si>
  <si>
    <t>√</t>
  </si>
  <si>
    <t>Residential &amp; Commercial Tons Total</t>
  </si>
  <si>
    <t>Notes:</t>
  </si>
  <si>
    <t>Cost per Gallon</t>
  </si>
  <si>
    <t>WORKPAPER 1 - DEPRECIATION</t>
  </si>
  <si>
    <t>WORKPAPER 1 - DEPRECIATION, Continued</t>
  </si>
  <si>
    <t>WORKPAPER 2 - LABOR ANALYSIS</t>
  </si>
  <si>
    <t>WORKPAPER 2 - LABOR ANALYSIS, Continued</t>
  </si>
  <si>
    <t>WORKPAPER 4 - DUES AND SUBSCRIPTIONS ANYALSIS</t>
  </si>
  <si>
    <t>WORKPAPER 5 - CAPITAL STRUCTURE/COST OF DEBT/ROE ANALYSIS</t>
  </si>
  <si>
    <t>WORKPAPER 5 - CAPITAL STRUCTURE/COST OF DEBT/ROE ANALYSIS, CONTINUED</t>
  </si>
  <si>
    <t>WORKPAPER 6 - TRANSACTIONS WITH AFFILIATED COMPANIES</t>
  </si>
  <si>
    <t>WORKPAPER 8 - FUEL ANALYSIS</t>
  </si>
  <si>
    <t>WORKPAPER 9 - BAD DEBTS</t>
  </si>
  <si>
    <t>WORKPAPER 13 - DISPOSAL FEES</t>
  </si>
  <si>
    <t>WORKPAPER 14 - RATE CASE COSTS</t>
  </si>
  <si>
    <t>July 2017</t>
  </si>
  <si>
    <t>August 2017</t>
  </si>
  <si>
    <t>September 2017</t>
  </si>
  <si>
    <t>January 2018</t>
  </si>
  <si>
    <t>February 2018</t>
  </si>
  <si>
    <t>March 2018</t>
  </si>
  <si>
    <t>Gain/Loss</t>
  </si>
  <si>
    <t>Tie to Operations WP</t>
  </si>
  <si>
    <t>Income/Loss per Operations WP</t>
  </si>
  <si>
    <t>√ - Ties</t>
  </si>
  <si>
    <t>Pro Forma Fuel</t>
  </si>
  <si>
    <t>R = Restate</t>
  </si>
  <si>
    <t>RC = Reclass</t>
  </si>
  <si>
    <t>Depreciation per the financial statements differs from the allowable depreciation for WUTC purposes. This adjustment restates and classifies the depreciation. (See WP-1)</t>
  </si>
  <si>
    <t>A payroll analysis is done at period end so an adjustment has been done to reclass payroll.</t>
  </si>
  <si>
    <t>Explanation:  Staff requires the property and equipment to be depreciated over a different life than the Company uses or its financial statement and uses salvage values. This results in less depreciation expense being allowed in the rate case than the Company records on its books and financial statements and a resulting higher net book value of assets. Therefore, the equity calculation for the Company must be adjusted to reflect the higher net book value of these assets due to the depreciation differences in order for the Lurito Gallagher formula to work correctly. Below is that calculation.</t>
  </si>
  <si>
    <t>PTO</t>
  </si>
  <si>
    <t>Calculations</t>
  </si>
  <si>
    <t>R-8</t>
  </si>
  <si>
    <t>R-9</t>
  </si>
  <si>
    <t>for Actual</t>
  </si>
  <si>
    <t>Included in pro forma</t>
  </si>
  <si>
    <t>Allocated to non-reg activity only</t>
  </si>
  <si>
    <t>Accrued Vacation</t>
  </si>
  <si>
    <t>Accrued Payroll</t>
  </si>
  <si>
    <t>Costs billed for new rate case:</t>
  </si>
  <si>
    <t>Total cost for new rate case:</t>
  </si>
  <si>
    <t>Amortized costs over 3 years:</t>
  </si>
  <si>
    <t>Disposal Increase:</t>
  </si>
  <si>
    <t>More rate case costs will be added as billings sent out…</t>
  </si>
  <si>
    <t>No overtime</t>
  </si>
  <si>
    <t>Updated tax rates with 2018 information</t>
  </si>
  <si>
    <t>If total hours over 2,080, used formula to remove excess to not double-up on overtime</t>
  </si>
  <si>
    <t>payroll</t>
  </si>
  <si>
    <t>increase in</t>
  </si>
  <si>
    <t>revenue</t>
  </si>
  <si>
    <t>percentage</t>
  </si>
  <si>
    <t xml:space="preserve"> HISTORICAL AND FORECASTED</t>
  </si>
  <si>
    <t>Gain on sale of assets</t>
  </si>
  <si>
    <t>Interest income</t>
  </si>
  <si>
    <t>Ties to income statement tab</t>
  </si>
  <si>
    <t>P = Proforma</t>
  </si>
  <si>
    <t>Dues</t>
  </si>
  <si>
    <t>P/R WH</t>
  </si>
  <si>
    <t>Forecast</t>
  </si>
  <si>
    <t>Charges</t>
  </si>
  <si>
    <t>Non-Public Companies</t>
  </si>
  <si>
    <t>nonpubco</t>
  </si>
  <si>
    <r>
      <t xml:space="preserve">LURITO - GALLAGHER FORMULA  MODEL 2018  </t>
    </r>
    <r>
      <rPr>
        <sz val="8"/>
        <color indexed="9"/>
        <rFont val="Calibri"/>
        <family val="2"/>
      </rPr>
      <t>V5.0a</t>
    </r>
  </si>
  <si>
    <t>CALCULATION TABLES</t>
  </si>
  <si>
    <t>Revenue Senstive Taxes (RevS)</t>
  </si>
  <si>
    <t>(b) + (c)</t>
  </si>
  <si>
    <t>(d) + (e)</t>
  </si>
  <si>
    <t>Regession</t>
  </si>
  <si>
    <t>Hauler</t>
  </si>
  <si>
    <t>Revenue Req</t>
  </si>
  <si>
    <t xml:space="preserve">Revenue </t>
  </si>
  <si>
    <t>INPUTS - Test Year</t>
  </si>
  <si>
    <t>(a)</t>
  </si>
  <si>
    <t>(b)</t>
  </si>
  <si>
    <t>(c)</t>
  </si>
  <si>
    <t>(d)</t>
  </si>
  <si>
    <t>(e)</t>
  </si>
  <si>
    <t>(f)</t>
  </si>
  <si>
    <t>Before Tax</t>
  </si>
  <si>
    <t>Less</t>
  </si>
  <si>
    <t>Adjusted</t>
  </si>
  <si>
    <t>After Tax</t>
  </si>
  <si>
    <t>Weighted Cost</t>
  </si>
  <si>
    <t>Before RevS</t>
  </si>
  <si>
    <t xml:space="preserve"> Increase Before</t>
  </si>
  <si>
    <t>Increase After</t>
  </si>
  <si>
    <t xml:space="preserve">RevS </t>
  </si>
  <si>
    <t xml:space="preserve">Total </t>
  </si>
  <si>
    <t>Operating Revenue</t>
  </si>
  <si>
    <t>Line</t>
  </si>
  <si>
    <t>Historical</t>
  </si>
  <si>
    <t>Add: Revenue</t>
  </si>
  <si>
    <t>Profit Ratio</t>
  </si>
  <si>
    <t>BTROI</t>
  </si>
  <si>
    <t>WCDebt</t>
  </si>
  <si>
    <t>BTROE</t>
  </si>
  <si>
    <t>ROE</t>
  </si>
  <si>
    <t>Equity BFT</t>
  </si>
  <si>
    <t>BTROR</t>
  </si>
  <si>
    <t>Operating Ratio</t>
  </si>
  <si>
    <t>RevS Taxes</t>
  </si>
  <si>
    <t>Operating Expenses</t>
  </si>
  <si>
    <t>No.</t>
  </si>
  <si>
    <t xml:space="preserve"> Sensitive Taxes</t>
  </si>
  <si>
    <t>Requirment</t>
  </si>
  <si>
    <t>Capital Structure - Debt %</t>
  </si>
  <si>
    <t>Capital Structure - Debt Cost</t>
  </si>
  <si>
    <t>Operating Income</t>
  </si>
  <si>
    <t>Federal Income Tax Rate</t>
  </si>
  <si>
    <t>2nd Iteration</t>
  </si>
  <si>
    <t>B&amp;O Tax Rate</t>
  </si>
  <si>
    <t>Income Tax Expense</t>
  </si>
  <si>
    <t>City Tax</t>
  </si>
  <si>
    <t>Bad Debts</t>
  </si>
  <si>
    <t>3rd Iteration</t>
  </si>
  <si>
    <t>Check when input is complete</t>
  </si>
  <si>
    <t xml:space="preserve">Operating Ratio </t>
  </si>
  <si>
    <t>No</t>
  </si>
  <si>
    <t>For Intial input: Uncheck Checkbox Until Completed</t>
  </si>
  <si>
    <t>Revenue Requirement</t>
  </si>
  <si>
    <t>Historical Revenue</t>
  </si>
  <si>
    <t>Revenue Increase before taxes</t>
  </si>
  <si>
    <t>Rate Increase</t>
  </si>
  <si>
    <t>Rev Sensitive Taxes</t>
  </si>
  <si>
    <t>4th Iteration</t>
  </si>
  <si>
    <t>2018 Version Update Changes</t>
  </si>
  <si>
    <t>● Allows Income Tax Rate Changes,</t>
  </si>
  <si>
    <t>● Minimizes impact of changes in test-year revenue from</t>
  </si>
  <si>
    <t xml:space="preserve">   resulting revenue requirment,</t>
  </si>
  <si>
    <t>Captial Structure Financing Investment</t>
  </si>
  <si>
    <t>Financing Cost</t>
  </si>
  <si>
    <t>● Corrects interest rate transposition in LG.</t>
  </si>
  <si>
    <t>Type</t>
  </si>
  <si>
    <t>Percent</t>
  </si>
  <si>
    <t>Cost of Capital</t>
  </si>
  <si>
    <t>Weighted</t>
  </si>
  <si>
    <t>5th Iteration</t>
  </si>
  <si>
    <t>Before</t>
  </si>
  <si>
    <t>After</t>
  </si>
  <si>
    <t>6th Iteration</t>
  </si>
  <si>
    <t>Operating Statistics</t>
  </si>
  <si>
    <t>Income Tax</t>
  </si>
  <si>
    <t>Return on Investment</t>
  </si>
  <si>
    <t>Return on Equity</t>
  </si>
  <si>
    <t>7th Iteration</t>
  </si>
  <si>
    <t>Profit Margin</t>
  </si>
  <si>
    <t>Final turnover</t>
  </si>
  <si>
    <t>Tax Rate</t>
  </si>
  <si>
    <t>Revenue Sensitive Taxes Charges</t>
  </si>
  <si>
    <t>Curve</t>
  </si>
  <si>
    <t>Lookup Table</t>
  </si>
  <si>
    <t xml:space="preserve"> B &amp; O Tax</t>
  </si>
  <si>
    <t xml:space="preserve"> WUTC Fee</t>
  </si>
  <si>
    <t xml:space="preserve"> City Tax</t>
  </si>
  <si>
    <t>Percent Chg</t>
  </si>
  <si>
    <t xml:space="preserve"> Bad Debts</t>
  </si>
  <si>
    <t>Revenue Sensitive</t>
  </si>
  <si>
    <t>Curve turnover</t>
  </si>
  <si>
    <t>@EXP(5.72260-(.68367*@LN(T)))</t>
  </si>
  <si>
    <t>Conversion Factor</t>
  </si>
  <si>
    <t>Curve No. used</t>
  </si>
  <si>
    <t>@EXP(5.70827-(.68367*@LN(T)))</t>
  </si>
  <si>
    <t>@EXP(5.69850-(.68367*@LN(T)))</t>
  </si>
  <si>
    <t>@EXP(5.69220-(.68367*@LN(T)))</t>
  </si>
  <si>
    <t>Base Utility from LG Sample Study</t>
  </si>
  <si>
    <t>Regression Results</t>
  </si>
  <si>
    <t>Y intercept (1)</t>
  </si>
  <si>
    <t>Y intercept (3)</t>
  </si>
  <si>
    <t>Y intercept (2)</t>
  </si>
  <si>
    <t>Y intercept (4)</t>
  </si>
  <si>
    <t>Pfd.</t>
  </si>
  <si>
    <t>Slope</t>
  </si>
  <si>
    <t>Pre-tax</t>
  </si>
  <si>
    <t>Pullman Disposal Service, Inc.</t>
  </si>
  <si>
    <t>Pullman Disposal Services, Inc.</t>
  </si>
  <si>
    <t>R</t>
  </si>
  <si>
    <t>Automated Accounts</t>
  </si>
  <si>
    <t>Disposal Service</t>
  </si>
  <si>
    <t>Disposal Service:ACH bill pay</t>
  </si>
  <si>
    <t>Disposal Service: Blue Bags</t>
  </si>
  <si>
    <t>Disposal Service: Chase ELS</t>
  </si>
  <si>
    <t>Disposal Service: Checkfree</t>
  </si>
  <si>
    <t>Disposal Service: iPay Tech</t>
  </si>
  <si>
    <t>Disposal Service: Merchant Services</t>
  </si>
  <si>
    <t>Disposal Service: Retail Lockbox/Settlement</t>
  </si>
  <si>
    <t>Disposal Service: Spring Clean Up</t>
  </si>
  <si>
    <t>E-Waste (Cust) Revenu</t>
  </si>
  <si>
    <t>Miscellaneous revenue</t>
  </si>
  <si>
    <t>Miscellaneous revenue: Shredded Paper</t>
  </si>
  <si>
    <t>Miscellaneous revenue: Stuffer Revenue</t>
  </si>
  <si>
    <t>Other disp. Services - Med Waste</t>
  </si>
  <si>
    <t>Recycling revenue</t>
  </si>
  <si>
    <t>Recycling revenue: Commodity Sales</t>
  </si>
  <si>
    <t>Recycling revenue: Recycling Center</t>
  </si>
  <si>
    <t>Recycling revenue: E-Waste</t>
  </si>
  <si>
    <t>Recycling revenue: Phone Sales</t>
  </si>
  <si>
    <t>Recycling revenue: WMMFA</t>
  </si>
  <si>
    <t>Sales: Sharp Containers</t>
  </si>
  <si>
    <t>Advertising and Promotion</t>
  </si>
  <si>
    <t>Aluminum buy back</t>
  </si>
  <si>
    <t>Bad debt expense</t>
  </si>
  <si>
    <t>Bank Service Charges</t>
  </si>
  <si>
    <t>Company events</t>
  </si>
  <si>
    <t>Company events: Birthday Parties</t>
  </si>
  <si>
    <t>Damage Reimbursement</t>
  </si>
  <si>
    <t>Donations</t>
  </si>
  <si>
    <t>Dues: Washington Refuse &amp; Recycling</t>
  </si>
  <si>
    <t>Equipment Lease</t>
  </si>
  <si>
    <t>Insurance and safety</t>
  </si>
  <si>
    <t>Insurance and safety: Beneficial life insurance</t>
  </si>
  <si>
    <t>Insurance and safety: Drug Testing</t>
  </si>
  <si>
    <t>Insurance and safety: Health insurance</t>
  </si>
  <si>
    <t>Insurance and safety: Health insurance - Aflac</t>
  </si>
  <si>
    <t>Insurance and safety: HAS Contributions</t>
  </si>
  <si>
    <t>Insurance and safety: Life insurance</t>
  </si>
  <si>
    <t>Insurance and safety: Safety</t>
  </si>
  <si>
    <t>Insurance and safety:Safety:Clothing allowance</t>
  </si>
  <si>
    <t>Insurance and safety:Safety:Water</t>
  </si>
  <si>
    <t>Landfill Fees</t>
  </si>
  <si>
    <t>Landfill fees: Baling Fees</t>
  </si>
  <si>
    <t>Licenses and taxes</t>
  </si>
  <si>
    <t>Licenses and taxes: WUTC Annual Fee</t>
  </si>
  <si>
    <t>Licenses and taxes: Property Tax</t>
  </si>
  <si>
    <t>Licenses and taxes: Other taxes</t>
  </si>
  <si>
    <t>Licenses and taxes: Licenses</t>
  </si>
  <si>
    <t>Licenses and taxes: Employment Security</t>
  </si>
  <si>
    <t>Licenses and taxes: B &amp; O Tax</t>
  </si>
  <si>
    <t>Licenses and taxes: Corporate income tax</t>
  </si>
  <si>
    <t>Licenses and taxes: Pullman city tax</t>
  </si>
  <si>
    <t>Licenses and taxes: Tabs</t>
  </si>
  <si>
    <t>Locksmith</t>
  </si>
  <si>
    <t>Meals and entertainment</t>
  </si>
  <si>
    <t>Miscellaneous: Reimbursables</t>
  </si>
  <si>
    <t>Office</t>
  </si>
  <si>
    <t>Office: Computer and internet expenses</t>
  </si>
  <si>
    <t>Office: Office - Miscellaneous</t>
  </si>
  <si>
    <t>Office: Office Supplies</t>
  </si>
  <si>
    <t>Office: Postage</t>
  </si>
  <si>
    <t>Oil</t>
  </si>
  <si>
    <t>Parts</t>
  </si>
  <si>
    <t>Pension Plan Expense</t>
  </si>
  <si>
    <t>Printing Service</t>
  </si>
  <si>
    <t>Professional Fees</t>
  </si>
  <si>
    <t>Recycling Center Expenses</t>
  </si>
  <si>
    <t>Recycling Charges</t>
  </si>
  <si>
    <t>Repair and Maintenance</t>
  </si>
  <si>
    <t>Round Up Program</t>
  </si>
  <si>
    <t>Sharps containers for sale</t>
  </si>
  <si>
    <t>Shop: Shop maintenance</t>
  </si>
  <si>
    <t>Shop: Shop rent</t>
  </si>
  <si>
    <t>Shop: Shop supplies</t>
  </si>
  <si>
    <t>Shop: Shoip utilities</t>
  </si>
  <si>
    <t>Shredding servies</t>
  </si>
  <si>
    <t>Storage</t>
  </si>
  <si>
    <t>Stormwater Regulation</t>
  </si>
  <si>
    <t>Subscriptions</t>
  </si>
  <si>
    <t>Tools</t>
  </si>
  <si>
    <t>Training</t>
  </si>
  <si>
    <t>Travel Expense</t>
  </si>
  <si>
    <t>Wages and salary</t>
  </si>
  <si>
    <t>Wages and salary: Payroll Expenses</t>
  </si>
  <si>
    <t>Wages and salary: Labor and Industries tax</t>
  </si>
  <si>
    <t>Wages and salary: Payroll tax expense</t>
  </si>
  <si>
    <t>Wages and salary: Unemployment tax</t>
  </si>
  <si>
    <t>Increase in life insurance cash</t>
  </si>
  <si>
    <t>Interest Income</t>
  </si>
  <si>
    <t>Ask my accountant</t>
  </si>
  <si>
    <t>Corporate Income Tax</t>
  </si>
  <si>
    <t>Depreciation Expense</t>
  </si>
  <si>
    <t>Federal Income Tax</t>
  </si>
  <si>
    <t>Federal Income Tax - Deferred</t>
  </si>
  <si>
    <t>Income tax expense</t>
  </si>
  <si>
    <t>Interest expense</t>
  </si>
  <si>
    <t>Other Disposal Costs - Med Waste</t>
  </si>
  <si>
    <t>Commodity</t>
  </si>
  <si>
    <t>Increase in Life Insurance Cash</t>
  </si>
  <si>
    <t>HSA Contribution</t>
  </si>
  <si>
    <t>Aluminum Buy Back</t>
  </si>
  <si>
    <t>Company Events</t>
  </si>
  <si>
    <t>Damage Reimursement</t>
  </si>
  <si>
    <t>Safety Expenses</t>
  </si>
  <si>
    <t>Landfill Fees - Whitman County Landfill</t>
  </si>
  <si>
    <t>Baling Fees - Whitman County Landfill</t>
  </si>
  <si>
    <t>B &amp; O Taxes</t>
  </si>
  <si>
    <t>Pullman City Taxes</t>
  </si>
  <si>
    <t>Other Licenses and Taxes</t>
  </si>
  <si>
    <t>Vehicle Licenses</t>
  </si>
  <si>
    <t>Reimburseables</t>
  </si>
  <si>
    <t>Computer and Internet</t>
  </si>
  <si>
    <t>Office Supplies</t>
  </si>
  <si>
    <t>Office - Other</t>
  </si>
  <si>
    <t>Medwaste Disposal</t>
  </si>
  <si>
    <t>Sharps Containers for Sale</t>
  </si>
  <si>
    <t>Shop Rent</t>
  </si>
  <si>
    <t>Shop Maintenance</t>
  </si>
  <si>
    <t>Shop Supplies</t>
  </si>
  <si>
    <t>Shop Utilities</t>
  </si>
  <si>
    <t>Shredding Services</t>
  </si>
  <si>
    <t>Payroll Expenses</t>
  </si>
  <si>
    <t>OTHER INCOME/(EXPENSE)</t>
  </si>
  <si>
    <t>Charity Cordova</t>
  </si>
  <si>
    <t>Marilyn K. Dahmen</t>
  </si>
  <si>
    <t>Judith M. Druffel</t>
  </si>
  <si>
    <t>Ricky L. Gibson</t>
  </si>
  <si>
    <t>Michael R. Held</t>
  </si>
  <si>
    <t>Dane . Felsted</t>
  </si>
  <si>
    <t>Sierra A. Robinson</t>
  </si>
  <si>
    <t>Roman G. Felsted</t>
  </si>
  <si>
    <t>Scot L. Askham</t>
  </si>
  <si>
    <t>Isaac T. Anderson</t>
  </si>
  <si>
    <t>Annabelle M. Felsted</t>
  </si>
  <si>
    <t>William N. Felsted</t>
  </si>
  <si>
    <t>Joseph N. Harris</t>
  </si>
  <si>
    <t>Devon L. Felsted</t>
  </si>
  <si>
    <t>Valerie C. Felsted</t>
  </si>
  <si>
    <t>Alex B. Pecora</t>
  </si>
  <si>
    <t>James D. Thompson</t>
  </si>
  <si>
    <t>Ivy R. Woltering</t>
  </si>
  <si>
    <t>Eric R. Gibson</t>
  </si>
  <si>
    <t>Daphne D. Felsted</t>
  </si>
  <si>
    <t>Jason T. Martin</t>
  </si>
  <si>
    <t>Sean M. DeWald</t>
  </si>
  <si>
    <t>Kierah E. Thurgood</t>
  </si>
  <si>
    <t>Merrilie Davidson</t>
  </si>
  <si>
    <t>Hannah E. Livingston</t>
  </si>
  <si>
    <t>Bryan D. Johnson</t>
  </si>
  <si>
    <t>Leslie Olin</t>
  </si>
  <si>
    <t>Brooke Robinson</t>
  </si>
  <si>
    <t>Janis L. DeBolt</t>
  </si>
  <si>
    <t>Justin S. Holt</t>
  </si>
  <si>
    <t>Tim A. Holt</t>
  </si>
  <si>
    <t>Hayley Nickels</t>
  </si>
  <si>
    <t>Kiwanis</t>
  </si>
  <si>
    <t>Club</t>
  </si>
  <si>
    <t>Pullman</t>
  </si>
  <si>
    <t>Chamber of</t>
  </si>
  <si>
    <t>Commerce</t>
  </si>
  <si>
    <t>Whitman County</t>
  </si>
  <si>
    <t>Landlord-Tenant</t>
  </si>
  <si>
    <t>Association</t>
  </si>
  <si>
    <t>Total Deductible Dues and Subscriptions</t>
  </si>
  <si>
    <t>OFFICE/ADMIN</t>
  </si>
  <si>
    <t>OFFICERS</t>
  </si>
  <si>
    <t>Residential Garbage</t>
  </si>
  <si>
    <t>Drop Box / Compactor Collection</t>
  </si>
  <si>
    <t>Per Annual Report</t>
  </si>
  <si>
    <t>Commercial Collection</t>
  </si>
  <si>
    <t>Drop Box / Com. Pass Thru Disposal</t>
  </si>
  <si>
    <t>Residential Recycling Collection</t>
  </si>
  <si>
    <t>Multi-Family Recycling Collection</t>
  </si>
  <si>
    <t>Recycling Credits to Customers - (debits)/credits</t>
  </si>
  <si>
    <t>Yard Waste/Organics Collection</t>
  </si>
  <si>
    <t>Medical Waste Collection</t>
  </si>
  <si>
    <t>Other Revenues:</t>
  </si>
  <si>
    <t>Annual Report Total</t>
  </si>
  <si>
    <t>Operating Revenue per Annual Report:</t>
  </si>
  <si>
    <t>Other Garbage Collection</t>
  </si>
  <si>
    <t>Residential Garbage - Regulated</t>
  </si>
  <si>
    <t>Commercial Collection - Regulated</t>
  </si>
  <si>
    <t>Drop Box/Compactor Collection - Regulated</t>
  </si>
  <si>
    <t>Drop Box/Compactor Pass Through Disposal - Regulated</t>
  </si>
  <si>
    <t>Residential Recycling Collection - Regulated</t>
  </si>
  <si>
    <t>Multi-Family Recycling Collection - Regulated</t>
  </si>
  <si>
    <t>Sale of Recycling Commodities - Regulated</t>
  </si>
  <si>
    <t>Recycling Credits to Customers - Regulated</t>
  </si>
  <si>
    <t>Yard Waste/Organics Collection - Regulated</t>
  </si>
  <si>
    <t>Medical Waste Collection - Regulated</t>
  </si>
  <si>
    <t>Other Revenue - Non-regulated</t>
  </si>
  <si>
    <t>Sale of Recycling Commodities - Non-regulated</t>
  </si>
  <si>
    <t>Sale of Recycle Commodities - Regulated</t>
  </si>
  <si>
    <t>Sale of Recycle Commodities - Nonregulated</t>
  </si>
  <si>
    <t>Annual Report Revenues:</t>
  </si>
  <si>
    <t>Agrees to IS-PBC</t>
  </si>
  <si>
    <t>Auto/Transport Equipment</t>
  </si>
  <si>
    <t>Dodge Pickup</t>
  </si>
  <si>
    <t>2001 Chevy Silverado</t>
  </si>
  <si>
    <t>PKR Peterbuilt</t>
  </si>
  <si>
    <t>Truck Bed</t>
  </si>
  <si>
    <t>Truck Modification</t>
  </si>
  <si>
    <t>Transmission</t>
  </si>
  <si>
    <t>Arm Cylinder</t>
  </si>
  <si>
    <t>Engine</t>
  </si>
  <si>
    <t>Differential</t>
  </si>
  <si>
    <t>Truck Repair</t>
  </si>
  <si>
    <t>Engine Repair</t>
  </si>
  <si>
    <t>Rear End</t>
  </si>
  <si>
    <t>Sideloader - T1</t>
  </si>
  <si>
    <t>Rebuilt Cylinder</t>
  </si>
  <si>
    <t>Peterbilt Truck- T2</t>
  </si>
  <si>
    <t>Peterbuilt Packer - T2</t>
  </si>
  <si>
    <t>2002 Engine Rebuild</t>
  </si>
  <si>
    <t>Truck - T9</t>
  </si>
  <si>
    <t>2006 Peterbilt Truck - T49</t>
  </si>
  <si>
    <t>CPU Systems - Trucks</t>
  </si>
  <si>
    <t>Peterbilt Body - T49</t>
  </si>
  <si>
    <t>Arm For T-1</t>
  </si>
  <si>
    <t>Forklift</t>
  </si>
  <si>
    <t>Front Loander - T49</t>
  </si>
  <si>
    <t>Computer Server</t>
  </si>
  <si>
    <t>Recycle Truck</t>
  </si>
  <si>
    <t>Recycle Truck #2</t>
  </si>
  <si>
    <t>Recycling Truck</t>
  </si>
  <si>
    <t>2008 Dodge Ram PU</t>
  </si>
  <si>
    <t>Side Loader Body - T95</t>
  </si>
  <si>
    <t>Side Loader Chassis T95</t>
  </si>
  <si>
    <t>2001 Chev PU</t>
  </si>
  <si>
    <t>2010 Peterbilt/Heil T45</t>
  </si>
  <si>
    <t>2013 Ford F-150</t>
  </si>
  <si>
    <t>2015 Peterbilt 348 T19</t>
  </si>
  <si>
    <t>Truck T69</t>
  </si>
  <si>
    <t>Truck 43 Body</t>
  </si>
  <si>
    <t>Truck T-56 Repurchase</t>
  </si>
  <si>
    <t>Truck 91 Frontload</t>
  </si>
  <si>
    <t>Exhaust Brake T91</t>
  </si>
  <si>
    <t>Peterbilt Garbage Truck</t>
  </si>
  <si>
    <t>Lift Gate</t>
  </si>
  <si>
    <t>Total Auto/Transport Equipment</t>
  </si>
  <si>
    <t>Buildings</t>
  </si>
  <si>
    <t>Sidewalk</t>
  </si>
  <si>
    <t>Building Improvements</t>
  </si>
  <si>
    <t>Paving</t>
  </si>
  <si>
    <t>Gravel</t>
  </si>
  <si>
    <t>Total Buildings</t>
  </si>
  <si>
    <t>Furniture and Fixtures</t>
  </si>
  <si>
    <t>Fire Proof Safe</t>
  </si>
  <si>
    <t>2 File Cabinets</t>
  </si>
  <si>
    <t>4 Office Chairs</t>
  </si>
  <si>
    <t>Office Desk, Etc</t>
  </si>
  <si>
    <t>Shelves</t>
  </si>
  <si>
    <t>Phone/Security</t>
  </si>
  <si>
    <t>Shop Phone</t>
  </si>
  <si>
    <t>Safe</t>
  </si>
  <si>
    <t>Computer</t>
  </si>
  <si>
    <t>Roadwork - Recycle Center</t>
  </si>
  <si>
    <t>New Recyc Cntr Prep</t>
  </si>
  <si>
    <t>Office Computer</t>
  </si>
  <si>
    <t>Galexis Computers</t>
  </si>
  <si>
    <t>Printer</t>
  </si>
  <si>
    <t>Server</t>
  </si>
  <si>
    <t>Subtotal Furniture and Fixtures</t>
  </si>
  <si>
    <t>Total Furniture and Fixtures</t>
  </si>
  <si>
    <t>Machinery and Equipment</t>
  </si>
  <si>
    <t>Can Sorter</t>
  </si>
  <si>
    <t>Snowplow</t>
  </si>
  <si>
    <t>Desk</t>
  </si>
  <si>
    <t>Buck-Up for Computers</t>
  </si>
  <si>
    <t>File Cabinet</t>
  </si>
  <si>
    <t>Antifreeze Separator</t>
  </si>
  <si>
    <t>Baler</t>
  </si>
  <si>
    <t>Install Baler Recy Center</t>
  </si>
  <si>
    <t>Dig Meter</t>
  </si>
  <si>
    <t>Jack</t>
  </si>
  <si>
    <t>Pallet Jack</t>
  </si>
  <si>
    <t xml:space="preserve">Jack Payment </t>
  </si>
  <si>
    <t>Ladder</t>
  </si>
  <si>
    <t>New Shop / Office</t>
  </si>
  <si>
    <t>Inserts for Auto Carts</t>
  </si>
  <si>
    <t>Yard Waste Labels</t>
  </si>
  <si>
    <t>Hose Press</t>
  </si>
  <si>
    <t>Garbage Otto Carts</t>
  </si>
  <si>
    <t>Garbage Carts</t>
  </si>
  <si>
    <t>Polisher</t>
  </si>
  <si>
    <t>Lights for Shop</t>
  </si>
  <si>
    <t>Grinder</t>
  </si>
  <si>
    <t>Compressor</t>
  </si>
  <si>
    <t>Pump</t>
  </si>
  <si>
    <t>Battery Starter</t>
  </si>
  <si>
    <t>Shelves - New Shop</t>
  </si>
  <si>
    <t>Lube Equipment</t>
  </si>
  <si>
    <t>Oil System</t>
  </si>
  <si>
    <t>Dwn Pmt - Spray Booth</t>
  </si>
  <si>
    <t>Spray Booth</t>
  </si>
  <si>
    <t>Oil Heater (Shop)</t>
  </si>
  <si>
    <t>Wire in New Shop</t>
  </si>
  <si>
    <t>Shop Wiring</t>
  </si>
  <si>
    <t>Shop Lighting</t>
  </si>
  <si>
    <t>Creeper &amp; Jack Stand</t>
  </si>
  <si>
    <t>Storage Box</t>
  </si>
  <si>
    <t>File for Shop</t>
  </si>
  <si>
    <t>Used Drill</t>
  </si>
  <si>
    <t>Tool Box</t>
  </si>
  <si>
    <t>Used Hyster Forklift H90x</t>
  </si>
  <si>
    <t>Phone</t>
  </si>
  <si>
    <t xml:space="preserve">Computer </t>
  </si>
  <si>
    <t>Air Gun</t>
  </si>
  <si>
    <t>Fence</t>
  </si>
  <si>
    <t>Dumpsters</t>
  </si>
  <si>
    <t>PC Scale</t>
  </si>
  <si>
    <t>Auto Rollcart Order</t>
  </si>
  <si>
    <t>Scales</t>
  </si>
  <si>
    <t>Dumpters</t>
  </si>
  <si>
    <t>Industrial Truck Jacks</t>
  </si>
  <si>
    <t>Truck Valve</t>
  </si>
  <si>
    <t>Heil 7000 Truck Body</t>
  </si>
  <si>
    <t>Greaser</t>
  </si>
  <si>
    <t>Recycling Carts</t>
  </si>
  <si>
    <t>Truck T-74 Chassis</t>
  </si>
  <si>
    <t>Garbage Toters</t>
  </si>
  <si>
    <t>Lighting</t>
  </si>
  <si>
    <t>Vortex Storwater</t>
  </si>
  <si>
    <t>Arm/Fork</t>
  </si>
  <si>
    <t>Dumpsters 10-6YD</t>
  </si>
  <si>
    <t>RL Containers</t>
  </si>
  <si>
    <t>2014 Heil Refuse Unit T19</t>
  </si>
  <si>
    <t>Truck T-43 Chassis</t>
  </si>
  <si>
    <t>Total Machinery and Equipment</t>
  </si>
  <si>
    <t>4YD Container</t>
  </si>
  <si>
    <t>30YD Container</t>
  </si>
  <si>
    <t>30YD Drop Box</t>
  </si>
  <si>
    <t>40YD Container</t>
  </si>
  <si>
    <t>1-30YD Container</t>
  </si>
  <si>
    <t>1-30 Drop Box</t>
  </si>
  <si>
    <t>377 Containers</t>
  </si>
  <si>
    <t>378 Containers</t>
  </si>
  <si>
    <t>379 Containers</t>
  </si>
  <si>
    <t>1998 Containers</t>
  </si>
  <si>
    <t>420 Containers</t>
  </si>
  <si>
    <t>447 Containers</t>
  </si>
  <si>
    <t>4-3YD Containers</t>
  </si>
  <si>
    <t xml:space="preserve">461 Containers </t>
  </si>
  <si>
    <t>2002 Containers</t>
  </si>
  <si>
    <t>2002 Garbage Carts</t>
  </si>
  <si>
    <t>485 Containers</t>
  </si>
  <si>
    <t>Toters</t>
  </si>
  <si>
    <t>492 Containers</t>
  </si>
  <si>
    <t>25-96 Gal Carts</t>
  </si>
  <si>
    <t>Misc Containers</t>
  </si>
  <si>
    <t>Misc Carts</t>
  </si>
  <si>
    <t>524 Containers</t>
  </si>
  <si>
    <t>529 Containers</t>
  </si>
  <si>
    <t>Recycling Totes</t>
  </si>
  <si>
    <t>Recycling Containers</t>
  </si>
  <si>
    <t>2002 Yardwaste and Recycl</t>
  </si>
  <si>
    <t>2- 1 1/2 Yard Containers</t>
  </si>
  <si>
    <t>2- 3YD Containers</t>
  </si>
  <si>
    <t>2- 2YD Containers</t>
  </si>
  <si>
    <t>8- 8YD Containers</t>
  </si>
  <si>
    <t>2- 6YD Containers</t>
  </si>
  <si>
    <t>1- 2 YD Container</t>
  </si>
  <si>
    <t>4- 2YD Containers</t>
  </si>
  <si>
    <t>3- 6YD Containers</t>
  </si>
  <si>
    <t>3- 4YD Containers</t>
  </si>
  <si>
    <t>3- 3YD Containers</t>
  </si>
  <si>
    <t>4- 8YD Containers</t>
  </si>
  <si>
    <t>Container Lids</t>
  </si>
  <si>
    <t>Plastic Trash Carts</t>
  </si>
  <si>
    <t>5- 8YD Containers</t>
  </si>
  <si>
    <t>15- 1YD Containers</t>
  </si>
  <si>
    <t>1- 2YD Containers</t>
  </si>
  <si>
    <t>Norseman Recycling Bins</t>
  </si>
  <si>
    <t>Four 4 Yard Containers</t>
  </si>
  <si>
    <t>Three 3 Yard Containers</t>
  </si>
  <si>
    <t>One 1 Yard Container</t>
  </si>
  <si>
    <t>One 20 Yard Container</t>
  </si>
  <si>
    <t>Four 6 Yard Containers</t>
  </si>
  <si>
    <t>Routeware Software</t>
  </si>
  <si>
    <t>Non-Depreciable Asset</t>
  </si>
  <si>
    <t>Routeware</t>
  </si>
  <si>
    <t>Rehrig Toters</t>
  </si>
  <si>
    <t>Dropbox</t>
  </si>
  <si>
    <t>Rolloff Cart</t>
  </si>
  <si>
    <t>One 40 Yard Container</t>
  </si>
  <si>
    <t>Twelve 8 Yard Containers</t>
  </si>
  <si>
    <t>Total Miscellaneous</t>
  </si>
  <si>
    <t>Disposal Schedule for Tons @ Whitman County Landfill</t>
  </si>
  <si>
    <t>01/01/2018 to</t>
  </si>
  <si>
    <t>Vision</t>
  </si>
  <si>
    <t>Asuris</t>
  </si>
  <si>
    <t>Medicare</t>
  </si>
  <si>
    <t>Non Regulated</t>
  </si>
  <si>
    <t>non regulated is under 10%</t>
  </si>
  <si>
    <t>For the Twelve Months Ended December 31, 2018 Historical and December 31, 2020 Forecasted</t>
  </si>
  <si>
    <t>For the Year Ended December 31, 2020</t>
  </si>
  <si>
    <t>Plasma Cutter</t>
  </si>
  <si>
    <t>Amount of restate</t>
  </si>
  <si>
    <t>Wages Office</t>
  </si>
  <si>
    <t>Removed</t>
  </si>
  <si>
    <t>Per Monthly Income Statement</t>
  </si>
  <si>
    <t>July 2018</t>
  </si>
  <si>
    <t>August 2018</t>
  </si>
  <si>
    <t>September 2018</t>
  </si>
  <si>
    <t>October 2018</t>
  </si>
  <si>
    <t>November 2018</t>
  </si>
  <si>
    <t>December 2018</t>
  </si>
  <si>
    <t>Adj for Allowance for Doubtful Accounts</t>
  </si>
  <si>
    <t xml:space="preserve">Allowable Bad Debt </t>
  </si>
  <si>
    <t>Total bad debt per monthly income statement</t>
  </si>
  <si>
    <t>This entry removes non deductible expenses.  Charitable contributions are removed as well as any portion of dues that are for political and lobbying costs.</t>
  </si>
  <si>
    <t>Nondeductible</t>
  </si>
  <si>
    <t>1/1/2020 to</t>
  </si>
  <si>
    <t>Health Insurance</t>
  </si>
  <si>
    <t xml:space="preserve">Pay </t>
  </si>
  <si>
    <t>Increases</t>
  </si>
  <si>
    <t>Pay</t>
  </si>
  <si>
    <t>Pay rates</t>
  </si>
  <si>
    <t>as of</t>
  </si>
  <si>
    <t xml:space="preserve">at </t>
  </si>
  <si>
    <t>9/30/19 Rate</t>
  </si>
  <si>
    <t>9/30/19 rate</t>
  </si>
  <si>
    <t>Premera Health</t>
  </si>
  <si>
    <t>Beneficial Life</t>
  </si>
  <si>
    <t>NW Mutual Life</t>
  </si>
  <si>
    <t>Aflac</t>
  </si>
  <si>
    <t>Security Life</t>
  </si>
  <si>
    <t>Reclass one Aflac payment from  insurance account to fringe benefits</t>
  </si>
  <si>
    <t xml:space="preserve">This entry adds an additional month of expense for Premara health insurance that was not included in the income statement from QuickBooks.  </t>
  </si>
  <si>
    <t>Premara monthly premium</t>
  </si>
  <si>
    <t>11 Months paid</t>
  </si>
  <si>
    <t>Missing month</t>
  </si>
  <si>
    <t>Total per WP-2 pg 3 Benefit Analysis</t>
  </si>
  <si>
    <t>401(k)</t>
  </si>
  <si>
    <t>Used hourly wage convervted from salary for salaried employees</t>
  </si>
  <si>
    <t>Officer</t>
  </si>
  <si>
    <t>Aflac WH</t>
  </si>
  <si>
    <t>Equity as of 12/31/2018 per books</t>
  </si>
  <si>
    <t>Add back accumulated depreciation 12/31/2018 per books</t>
  </si>
  <si>
    <t>Subtract for 12/31/2018 accumulated depreciation per WUTC</t>
  </si>
  <si>
    <t>Recalculated Equity for12/31/2018 Rate case</t>
  </si>
  <si>
    <t>12/31/2018 Debt for Workpaper 6 Capital structure</t>
  </si>
  <si>
    <t>1/1/18 Allowance for Doubtful Accounts</t>
  </si>
  <si>
    <t>12/31/18 Allowance for Doubtful Accounts</t>
  </si>
  <si>
    <t>Pay increase effective date added as comment</t>
  </si>
  <si>
    <t xml:space="preserve">Adjust </t>
  </si>
  <si>
    <t>health insurance</t>
  </si>
  <si>
    <t>paid</t>
  </si>
  <si>
    <t>Commercial Garbage</t>
  </si>
  <si>
    <t>Drop Box pass through disposal fees</t>
  </si>
  <si>
    <t>Residential Recycling</t>
  </si>
  <si>
    <t>Multi Family Recycling</t>
  </si>
  <si>
    <t>Commodity Debits</t>
  </si>
  <si>
    <t>Yard Waste</t>
  </si>
  <si>
    <t>Test Year Gallons</t>
  </si>
  <si>
    <t>Med ins family wh</t>
  </si>
  <si>
    <t>pass</t>
  </si>
  <si>
    <t xml:space="preserve">Amortization </t>
  </si>
  <si>
    <t>Reclass interest income on loan to Bill to interest income from interest expense</t>
  </si>
  <si>
    <t>Remove Aflac from fringe benefits as all of the benefit is produced by withholding, no expense should exist</t>
  </si>
  <si>
    <t>Ties to TB</t>
  </si>
  <si>
    <t>Restate adj</t>
  </si>
  <si>
    <t>3 months</t>
  </si>
  <si>
    <t>3 months OT</t>
  </si>
  <si>
    <t>9 months</t>
  </si>
  <si>
    <t>at</t>
  </si>
  <si>
    <t>4% raise</t>
  </si>
  <si>
    <t>after 4/1/2020</t>
  </si>
  <si>
    <t>salary</t>
  </si>
  <si>
    <t>9 months OT</t>
  </si>
  <si>
    <t>This entry adjusts for actual bad debt expense.  See WP 8.</t>
  </si>
  <si>
    <t>Calc'd fees</t>
  </si>
  <si>
    <t>fees in expense including baling</t>
  </si>
  <si>
    <t>Employee withholding</t>
  </si>
  <si>
    <t>Calc'd L&amp;I Expense</t>
  </si>
  <si>
    <t>Restating adjustment</t>
  </si>
  <si>
    <t>Paid to Employment Security - Q1</t>
  </si>
  <si>
    <t>Q2</t>
  </si>
  <si>
    <t>Q3</t>
  </si>
  <si>
    <t>Q4</t>
  </si>
  <si>
    <t>Paid to L&amp;I - Q1</t>
  </si>
  <si>
    <t>FUTA Expense per Payroll Summary</t>
  </si>
  <si>
    <t>Expense on income statement PBC</t>
  </si>
  <si>
    <t>Total restate for payroll taxes</t>
  </si>
  <si>
    <t>Jan 18</t>
  </si>
  <si>
    <t>Feb 18</t>
  </si>
  <si>
    <t>Mar 18</t>
  </si>
  <si>
    <t>Apr 18</t>
  </si>
  <si>
    <t>May 18</t>
  </si>
  <si>
    <t>Jun 18</t>
  </si>
  <si>
    <t>Jul 18</t>
  </si>
  <si>
    <t>Aug 18</t>
  </si>
  <si>
    <t>Sep 18</t>
  </si>
  <si>
    <t>Oct 18</t>
  </si>
  <si>
    <t>Nov 18</t>
  </si>
  <si>
    <t>Dec 18</t>
  </si>
  <si>
    <t>Per income statement pbc - Recycling Charges</t>
  </si>
  <si>
    <t>Baling Fees</t>
  </si>
  <si>
    <t>Credit memo in january is difference</t>
  </si>
  <si>
    <t>credit memo in april is difference</t>
  </si>
  <si>
    <t>balance due on invoice doesn't agree to statement total</t>
  </si>
  <si>
    <t>December payment recorded in january</t>
  </si>
  <si>
    <t>Paid in January</t>
  </si>
  <si>
    <t>This entry adjusts fringe benefits for payroll expenses to actual expenses incurred in 2018</t>
  </si>
  <si>
    <t>RC-4</t>
  </si>
  <si>
    <t>Reclass payroll taxes to fringe benefits account</t>
  </si>
  <si>
    <t>RC-2, R-5, R-6, R-7</t>
  </si>
  <si>
    <t>HSA restated to zero as the Income Statement PBC has an adjustment for a prior year mistake that doesn't pertain to this year's income and expense</t>
  </si>
  <si>
    <t>HSA</t>
  </si>
  <si>
    <t>Recycling restating adjustment**</t>
  </si>
  <si>
    <t>**This amount was accrued in landfill fees account, will be dealt with in a reclassing entry rather than restating</t>
  </si>
  <si>
    <t>Pass Through Drop Box Fees</t>
  </si>
  <si>
    <t>Landfill Fees to Build Into Rates</t>
  </si>
  <si>
    <t>Uncharges Tons on Statements</t>
  </si>
  <si>
    <t>Tons Included in Rates</t>
  </si>
  <si>
    <t>New rate effective Jan 1, 2019 - Per county letter of notice - disposal fee rate increase</t>
  </si>
  <si>
    <t>Accrued Landfill Fees per QuickBooks</t>
  </si>
  <si>
    <t>Actual Fees per Invoice</t>
  </si>
  <si>
    <t>Reclass Adjsutment</t>
  </si>
  <si>
    <t>Recycling Charges From Invoices</t>
  </si>
  <si>
    <t>Difference Between Invoices and QuickBooks</t>
  </si>
  <si>
    <t>Benefits higher than QuickBooks</t>
  </si>
  <si>
    <t>Income statement PBC</t>
  </si>
  <si>
    <t>Premara Adjustment</t>
  </si>
  <si>
    <t>Benefits</t>
  </si>
  <si>
    <t>Pass through fees</t>
  </si>
  <si>
    <t>Disposals fees will increase approximately 3.8% as of January 1, 2019.  See WP 9.</t>
  </si>
  <si>
    <t>Landfill fees increased 3.8% in Whitman County in January 2019, the estimated cost of rate case filing expenses along with the unamortized portion of the prior case has been included, a 4% cost of living increase effective April 1 has been included and fuel costs are estimated based on the last twelve months average cost of fuel per gallon.  Other unallowable WUTC costs have been eliminated such as interest, and a portion of dues and franchise fees.  Other costs are based upon WUTC allowable historic costs.</t>
  </si>
  <si>
    <t>The financial forecast presents, to the best of management’s knowledge and belief, the financial position and results of operation of Pullman Disposal Services, Inc.  Accordingly, this forecast reflects management’s judgment as of December 31, 2020, the date of this forecast, of the expected conditions and its’ expected course of action.  The assumptions disclosed herein are those that management believes are significant to this forecast.  Furthermore, there will usually be differences between the forecasted and actual results, because events and circumstances frequently do not occur as expected, and those differences may be material.</t>
  </si>
  <si>
    <t>RC-5</t>
  </si>
  <si>
    <t>Reclass recycling charges accrued in landfill fees</t>
  </si>
  <si>
    <t>landfill fees</t>
  </si>
  <si>
    <t>to recycling</t>
  </si>
  <si>
    <t>AnnaLee Sears</t>
  </si>
  <si>
    <t>Trevor Lloyd</t>
  </si>
  <si>
    <t>Hans Harris</t>
  </si>
  <si>
    <t>Ronald Dennison</t>
  </si>
  <si>
    <t>Taylor Jackson</t>
  </si>
  <si>
    <t>Abigail Luke</t>
  </si>
  <si>
    <t>Claire Felsted</t>
  </si>
  <si>
    <t>Mya Hawreliak</t>
  </si>
  <si>
    <t>Rhiannon Baisch</t>
  </si>
  <si>
    <t>Inactive</t>
  </si>
  <si>
    <t>For New</t>
  </si>
  <si>
    <t>Employees</t>
  </si>
  <si>
    <t>New AMREP ASL Model AMHOASLPO-21</t>
  </si>
  <si>
    <t>Asset purchased after test year</t>
  </si>
  <si>
    <t>Proforma Adjustment:</t>
  </si>
  <si>
    <t>Monthly depreciation of asset purchased after test year</t>
  </si>
  <si>
    <t>Months in forecast year</t>
  </si>
  <si>
    <t>Proforma adjustment</t>
  </si>
  <si>
    <t>New hires after test year</t>
  </si>
  <si>
    <t>Annual Hours</t>
  </si>
  <si>
    <t>Proforma:</t>
  </si>
  <si>
    <t>Officer Pay</t>
  </si>
  <si>
    <t>New hire in 2019</t>
  </si>
  <si>
    <t>Payroll is adjusted to reflect payroll increases, staff attaining benefits, and increases in medical costs, employment security and labor and industry rates in effect as of January 1, 2019</t>
  </si>
  <si>
    <t xml:space="preserve">Revenue from revised rates per tipping fee only </t>
  </si>
  <si>
    <t>Commercial garbage revenue per books</t>
  </si>
  <si>
    <t>Residential garbage revenue per books</t>
  </si>
  <si>
    <t>Total garbage revenue per books</t>
  </si>
  <si>
    <t>Revenue increase to residential garbage</t>
  </si>
  <si>
    <t>Revenue increase to commercial garbage</t>
  </si>
  <si>
    <t>Pro Forma - Tipping Fee Increase - Revenue from Revised Rates</t>
  </si>
  <si>
    <t>Revenue from revised rates from previous tipping fee only case</t>
  </si>
  <si>
    <t>From Revised</t>
  </si>
  <si>
    <t>Rates</t>
  </si>
  <si>
    <t>In Support of Tariff 19 effective January 1, 2019</t>
  </si>
  <si>
    <t>01/01/18-12/31/18</t>
  </si>
  <si>
    <t>1/1/20-12/31/20</t>
  </si>
  <si>
    <t>*</t>
  </si>
  <si>
    <t>total paid</t>
  </si>
  <si>
    <t xml:space="preserve">Prime Rate </t>
  </si>
  <si>
    <t>Basis points</t>
  </si>
  <si>
    <t>Cost of debt allowed</t>
  </si>
  <si>
    <t>Affiliated long-term debt consist of the following as of December 31, 2018:</t>
  </si>
  <si>
    <t>Rent paid to William and Valerie Felsted for real property used by Pullman Disposal Services, Inc under lease dated July 1, 1997, with the option to renew every 5 years through June 30, 2027.  Monthly rent is $10,700.</t>
  </si>
  <si>
    <t>The estimated cost of the rate case, amortized over 3 years, is recorded.</t>
  </si>
  <si>
    <t>Rate Case Cost</t>
  </si>
  <si>
    <t>This entry eliminates city tax collected and remitted from revenue and expense</t>
  </si>
  <si>
    <t>City Tax From</t>
  </si>
  <si>
    <t>Revenue and Expense</t>
  </si>
  <si>
    <t>Total expense Employment Security</t>
  </si>
  <si>
    <t>Total expense L&amp;I</t>
  </si>
  <si>
    <t>In Support of Tariff 18 effective January 1, 2020</t>
  </si>
  <si>
    <t>Total benefits</t>
  </si>
  <si>
    <t>Less w/h</t>
  </si>
  <si>
    <t>Total expense</t>
  </si>
  <si>
    <t>differences:</t>
  </si>
  <si>
    <t>01/01/18 - 09/01/19</t>
  </si>
  <si>
    <t>No assurance is provided on this forecasted statement of operations and the summary of signifcant accounting policies has been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</si>
</sst>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mm/dd/yy;@"/>
    <numFmt numFmtId="167" formatCode="_(* #,##0.000_);_(* \(#,##0.000\);_(* &quot;-&quot;???_);_(@_)"/>
    <numFmt numFmtId="168" formatCode="&quot;$&quot;#,##0.00"/>
    <numFmt numFmtId="169" formatCode="General_)"/>
    <numFmt numFmtId="170" formatCode="0.0%"/>
    <numFmt numFmtId="171" formatCode="_(* #,##0_);_(* \(#,##0\);_(* &quot;-&quot;??_);_(@_)"/>
    <numFmt numFmtId="172" formatCode="_(* #,##0.00_);_(* \(#,##0.00\);_(* &quot;-&quot;???_);_(@_)"/>
    <numFmt numFmtId="173" formatCode="#,###_);\(#,###\);&quot;-&quot;"/>
    <numFmt numFmtId="174" formatCode="mmmm\ d\,\ yyyy"/>
    <numFmt numFmtId="175" formatCode="_*\ #,###.0,;_(* \(#,###.0,\);_(* &quot;-&quot;??_);_(@_)"/>
    <numFmt numFmtId="176" formatCode="#,##0.0"/>
    <numFmt numFmtId="177" formatCode="[$-F800]dddd\,\ mmmm\ dd\,\ yyyy"/>
    <numFmt numFmtId="178" formatCode="#,##0.0000_);\(#,##0.0000\)"/>
    <numFmt numFmtId="179" formatCode="#,##0.000_);\(#,##0.000\)"/>
    <numFmt numFmtId="180" formatCode="#,##0.00000_);\(#,##0.00000\)"/>
    <numFmt numFmtId="181" formatCode="0.00000"/>
    <numFmt numFmtId="182" formatCode="#,##0.00;\-#,##0.00"/>
    <numFmt numFmtId="183" formatCode="_(* #,##0.00_);_(* \(#,##0.00\);_(* &quot;-&quot;_);_(@_)"/>
    <numFmt numFmtId="184" formatCode="#,##0.0000000000000_);\(#,##0.0000000000000\)"/>
  </numFmts>
  <fonts count="177">
    <font>
      <sz val="12"/>
      <name val="Arial"/>
    </font>
    <font>
      <sz val="10"/>
      <color indexed="8"/>
      <name val="Arial"/>
      <family val="2"/>
    </font>
    <font>
      <b/>
      <sz val="12"/>
      <name val="Arial"/>
      <family val="2"/>
    </font>
    <font>
      <sz val="12"/>
      <name val="Arial"/>
      <family val="2"/>
    </font>
    <font>
      <sz val="12"/>
      <name val="Times New Roman"/>
      <family val="1"/>
    </font>
    <font>
      <b/>
      <sz val="12"/>
      <name val="Times New Roman"/>
      <family val="1"/>
    </font>
    <font>
      <sz val="12"/>
      <name val="Arial"/>
      <family val="2"/>
    </font>
    <font>
      <sz val="12"/>
      <name val="Times New Roman"/>
      <family val="1"/>
    </font>
    <font>
      <sz val="8"/>
      <name val="Times New Roman"/>
      <family val="1"/>
    </font>
    <font>
      <sz val="10"/>
      <name val="Arial"/>
      <family val="2"/>
    </font>
    <font>
      <sz val="10"/>
      <name val="Times New Roman"/>
      <family val="1"/>
    </font>
    <font>
      <sz val="12"/>
      <name val="Helv"/>
    </font>
    <font>
      <b/>
      <sz val="10"/>
      <name val="Times New Roman"/>
      <family val="1"/>
    </font>
    <font>
      <sz val="14"/>
      <name val="Times New Roman"/>
      <family val="1"/>
    </font>
    <font>
      <sz val="11"/>
      <name val="Times New Roman"/>
      <family val="1"/>
    </font>
    <font>
      <b/>
      <u/>
      <sz val="12"/>
      <name val="Times New Roman"/>
      <family val="1"/>
    </font>
    <font>
      <sz val="12"/>
      <color indexed="10"/>
      <name val="Times New Roman"/>
      <family val="1"/>
    </font>
    <font>
      <b/>
      <sz val="13"/>
      <name val="Times New Roman"/>
      <family val="1"/>
    </font>
    <font>
      <sz val="13"/>
      <name val="Times New Roman"/>
      <family val="1"/>
    </font>
    <font>
      <b/>
      <u/>
      <sz val="10"/>
      <name val="Times New Roman"/>
      <family val="1"/>
    </font>
    <font>
      <b/>
      <sz val="11"/>
      <name val="Times New Roman"/>
      <family val="1"/>
    </font>
    <font>
      <b/>
      <u/>
      <sz val="11"/>
      <name val="Times New Roman"/>
      <family val="1"/>
    </font>
    <font>
      <b/>
      <sz val="18"/>
      <name val="Times New Roman"/>
      <family val="1"/>
    </font>
    <font>
      <sz val="10"/>
      <name val="Arial"/>
      <family val="2"/>
    </font>
    <font>
      <sz val="12"/>
      <name val="SWISS"/>
    </font>
    <font>
      <sz val="12"/>
      <name val="Arial"/>
      <family val="2"/>
    </font>
    <font>
      <sz val="11"/>
      <name val="Arial"/>
      <family val="2"/>
    </font>
    <font>
      <sz val="9"/>
      <name val="Times New Roman"/>
      <family val="1"/>
    </font>
    <font>
      <b/>
      <u val="singleAccounting"/>
      <sz val="11"/>
      <name val="Times New Roman"/>
      <family val="1"/>
    </font>
    <font>
      <u/>
      <sz val="11"/>
      <name val="Times New Roman"/>
      <family val="1"/>
    </font>
    <font>
      <b/>
      <sz val="16"/>
      <name val="Times New Roman"/>
      <family val="1"/>
    </font>
    <font>
      <sz val="9"/>
      <color indexed="81"/>
      <name val="Tahoma"/>
      <family val="2"/>
    </font>
    <font>
      <b/>
      <sz val="9"/>
      <color indexed="81"/>
      <name val="Tahoma"/>
      <family val="2"/>
    </font>
    <font>
      <sz val="7"/>
      <name val="Arial"/>
      <family val="2"/>
    </font>
    <font>
      <sz val="7"/>
      <name val="Times New Roman"/>
      <family val="1"/>
    </font>
    <font>
      <b/>
      <sz val="7"/>
      <name val="Times New Roman"/>
      <family val="1"/>
    </font>
    <font>
      <b/>
      <sz val="7"/>
      <name val="Arial"/>
      <family val="2"/>
    </font>
    <font>
      <b/>
      <sz val="10"/>
      <name val="Arial"/>
      <family val="2"/>
    </font>
    <font>
      <sz val="9"/>
      <name val="Arial"/>
      <family val="2"/>
    </font>
    <font>
      <b/>
      <sz val="9"/>
      <name val="Times New Roman"/>
      <family val="1"/>
    </font>
    <font>
      <sz val="12"/>
      <name val="Arial"/>
      <family val="2"/>
    </font>
    <font>
      <sz val="12"/>
      <name val="Arial"/>
      <family val="2"/>
    </font>
    <font>
      <sz val="12"/>
      <name val="Arial"/>
      <family val="2"/>
    </font>
    <font>
      <sz val="12"/>
      <name val="Arial"/>
      <family val="2"/>
    </font>
    <font>
      <sz val="12"/>
      <name val="Arial"/>
      <family val="2"/>
    </font>
    <font>
      <sz val="10"/>
      <color indexed="9"/>
      <name val="Arial"/>
      <family val="2"/>
    </font>
    <font>
      <b/>
      <sz val="10"/>
      <color indexed="9"/>
      <name val="Arial"/>
      <family val="2"/>
    </font>
    <font>
      <sz val="11"/>
      <color indexed="8"/>
      <name val="Calibri"/>
      <family val="2"/>
    </font>
    <font>
      <sz val="12"/>
      <name val="Arial"/>
      <family val="2"/>
    </font>
    <font>
      <sz val="12"/>
      <color indexed="8"/>
      <name val="Times New Roman"/>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color indexed="8"/>
      <name val="Arial"/>
      <family val="2"/>
    </font>
    <font>
      <sz val="8"/>
      <color indexed="56"/>
      <name val="Arial"/>
      <family val="2"/>
    </font>
    <font>
      <sz val="10"/>
      <name val="MS Sans Serif"/>
      <family val="2"/>
    </font>
    <font>
      <b/>
      <sz val="10"/>
      <name val="MS Sans Serif"/>
      <family val="2"/>
    </font>
    <font>
      <sz val="10"/>
      <color indexed="61"/>
      <name val="Arial"/>
      <family val="2"/>
    </font>
    <font>
      <b/>
      <i/>
      <sz val="10"/>
      <color indexed="9"/>
      <name val="Arial"/>
      <family val="2"/>
    </font>
    <font>
      <i/>
      <sz val="10"/>
      <color indexed="9"/>
      <name val="Arial"/>
      <family val="2"/>
    </font>
    <font>
      <sz val="14"/>
      <name val="Arial"/>
      <family val="2"/>
    </font>
    <font>
      <sz val="11"/>
      <color indexed="8"/>
      <name val="Calibri"/>
      <family val="2"/>
    </font>
    <font>
      <sz val="12"/>
      <color indexed="8"/>
      <name val="Times New Roman"/>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b/>
      <sz val="12"/>
      <color indexed="60"/>
      <name val="Times New Roman"/>
      <family val="1"/>
    </font>
    <font>
      <sz val="12"/>
      <color indexed="60"/>
      <name val="Times New Roman"/>
      <family val="1"/>
    </font>
    <font>
      <sz val="12"/>
      <color indexed="36"/>
      <name val="Times New Roman"/>
      <family val="1"/>
    </font>
    <font>
      <sz val="12"/>
      <color indexed="10"/>
      <name val="Times New Roman"/>
      <family val="1"/>
    </font>
    <font>
      <i/>
      <sz val="12"/>
      <color indexed="36"/>
      <name val="Times New Roman"/>
      <family val="1"/>
    </font>
    <font>
      <sz val="11"/>
      <color indexed="36"/>
      <name val="Calibri"/>
      <family val="2"/>
    </font>
    <font>
      <sz val="9"/>
      <color indexed="60"/>
      <name val="Times New Roman"/>
      <family val="1"/>
    </font>
    <font>
      <b/>
      <sz val="12"/>
      <color indexed="10"/>
      <name val="Times New Roman"/>
      <family val="1"/>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i/>
      <sz val="10"/>
      <color indexed="10"/>
      <name val="Arial"/>
      <family val="2"/>
    </font>
    <font>
      <b/>
      <sz val="11"/>
      <color indexed="61"/>
      <name val="Calibri"/>
      <family val="2"/>
    </font>
    <font>
      <sz val="11"/>
      <color indexed="61"/>
      <name val="Calibri"/>
      <family val="2"/>
    </font>
    <font>
      <b/>
      <sz val="18"/>
      <color indexed="61"/>
      <name val="Cambria"/>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2"/>
      <name val="Ariel"/>
    </font>
    <font>
      <sz val="12"/>
      <name val="Arial"/>
      <family val="2"/>
    </font>
    <font>
      <sz val="10"/>
      <color theme="1"/>
      <name val="Arial"/>
      <family val="2"/>
    </font>
    <font>
      <sz val="11"/>
      <color theme="1"/>
      <name val="Calibri"/>
      <family val="2"/>
      <scheme val="minor"/>
    </font>
    <font>
      <sz val="12"/>
      <color theme="1"/>
      <name val="Times New Roman"/>
      <family val="2"/>
    </font>
    <font>
      <sz val="12"/>
      <color theme="1"/>
      <name val="Times New Roman"/>
      <family val="1"/>
    </font>
    <font>
      <sz val="12"/>
      <color rgb="FFC00000"/>
      <name val="Times New Roman"/>
      <family val="1"/>
    </font>
    <font>
      <b/>
      <sz val="12"/>
      <color rgb="FFC00000"/>
      <name val="Times New Roman"/>
      <family val="1"/>
    </font>
    <font>
      <sz val="11"/>
      <color theme="1"/>
      <name val="Times New Roman"/>
      <family val="2"/>
    </font>
    <font>
      <b/>
      <sz val="11"/>
      <color theme="1"/>
      <name val="Times New Roman"/>
      <family val="1"/>
    </font>
    <font>
      <b/>
      <sz val="12"/>
      <color theme="1"/>
      <name val="Times New Roman"/>
      <family val="1"/>
    </font>
    <font>
      <sz val="11"/>
      <color theme="1"/>
      <name val="Times New Roman"/>
      <family val="1"/>
    </font>
    <font>
      <b/>
      <sz val="10"/>
      <color theme="1"/>
      <name val="Times New Roman"/>
      <family val="1"/>
    </font>
    <font>
      <b/>
      <sz val="13"/>
      <color theme="1"/>
      <name val="Times New Roman"/>
      <family val="1"/>
    </font>
    <font>
      <b/>
      <sz val="14"/>
      <color theme="1"/>
      <name val="Times New Roman"/>
      <family val="1"/>
    </font>
    <font>
      <sz val="14"/>
      <color theme="1"/>
      <name val="Times New Roman"/>
      <family val="1"/>
    </font>
    <font>
      <sz val="12"/>
      <color theme="1"/>
      <name val="Arial"/>
      <family val="2"/>
    </font>
    <font>
      <sz val="11"/>
      <color theme="1"/>
      <name val="Arial"/>
      <family val="2"/>
    </font>
    <font>
      <sz val="8"/>
      <color theme="1"/>
      <name val="Times New Roman"/>
      <family val="1"/>
    </font>
    <font>
      <sz val="12"/>
      <color theme="1" tint="4.9989318521683403E-2"/>
      <name val="Times New Roman"/>
      <family val="1"/>
    </font>
    <font>
      <sz val="10"/>
      <color rgb="FF000000"/>
      <name val="Times New Roman"/>
      <family val="1"/>
    </font>
    <font>
      <sz val="10"/>
      <color rgb="FF00B050"/>
      <name val="Calibri"/>
      <family val="2"/>
    </font>
    <font>
      <sz val="11"/>
      <color rgb="FF00B050"/>
      <name val="Calibri"/>
      <family val="2"/>
    </font>
    <font>
      <sz val="12"/>
      <color rgb="FF00B050"/>
      <name val="Times New Roman"/>
      <family val="1"/>
    </font>
    <font>
      <sz val="12"/>
      <color rgb="FF00B050"/>
      <name val="Arial"/>
      <family val="2"/>
    </font>
    <font>
      <sz val="11"/>
      <color rgb="FF00B050"/>
      <name val="Times New Roman"/>
      <family val="1"/>
    </font>
    <font>
      <sz val="12"/>
      <color rgb="FF00B050"/>
      <name val="Times New Roman"/>
      <family val="2"/>
    </font>
    <font>
      <b/>
      <sz val="12"/>
      <color rgb="FF00B050"/>
      <name val="Times New Roman"/>
      <family val="1"/>
    </font>
    <font>
      <sz val="14"/>
      <color rgb="FF00B050"/>
      <name val="Times New Roman"/>
      <family val="1"/>
    </font>
    <font>
      <sz val="12"/>
      <color rgb="FFFF0000"/>
      <name val="Times New Roman"/>
      <family val="1"/>
    </font>
    <font>
      <sz val="10"/>
      <color rgb="FF00B050"/>
      <name val="Times New Roman"/>
      <family val="1"/>
    </font>
    <font>
      <sz val="12"/>
      <name val="Calibri"/>
      <family val="2"/>
    </font>
    <font>
      <sz val="12"/>
      <color theme="0"/>
      <name val="Times New Roman"/>
      <family val="1"/>
    </font>
    <font>
      <sz val="11"/>
      <color theme="0"/>
      <name val="Calibri"/>
      <family val="2"/>
      <scheme val="minor"/>
    </font>
    <font>
      <sz val="12"/>
      <color indexed="12"/>
      <name val="SWISS"/>
    </font>
    <font>
      <b/>
      <sz val="12"/>
      <name val="SWISS"/>
    </font>
    <font>
      <sz val="8"/>
      <color indexed="9"/>
      <name val="Calibri"/>
      <family val="2"/>
    </font>
    <font>
      <sz val="14"/>
      <color indexed="9"/>
      <name val="Calibri"/>
      <family val="2"/>
    </font>
    <font>
      <b/>
      <sz val="14"/>
      <name val="SWISS"/>
    </font>
    <font>
      <sz val="9"/>
      <color rgb="FF0070C0"/>
      <name val="SWISS"/>
    </font>
    <font>
      <b/>
      <sz val="12"/>
      <color indexed="12"/>
      <name val="Times New Roman"/>
      <family val="1"/>
    </font>
    <font>
      <sz val="12"/>
      <color indexed="39"/>
      <name val="SWISS"/>
    </font>
    <font>
      <sz val="12"/>
      <color indexed="39"/>
      <name val="Times New Roman"/>
      <family val="1"/>
    </font>
    <font>
      <b/>
      <sz val="12"/>
      <color indexed="39"/>
      <name val="Times New Roman"/>
      <family val="1"/>
    </font>
    <font>
      <sz val="12"/>
      <color indexed="10"/>
      <name val="SWISS"/>
    </font>
    <font>
      <sz val="12"/>
      <color indexed="8"/>
      <name val="SWISS"/>
    </font>
    <font>
      <sz val="9"/>
      <color indexed="39"/>
      <name val="Times New Roman"/>
      <family val="1"/>
    </font>
    <font>
      <u/>
      <sz val="12"/>
      <color indexed="12"/>
      <name val="Times New Roman"/>
      <family val="1"/>
    </font>
    <font>
      <b/>
      <u/>
      <sz val="12"/>
      <color indexed="39"/>
      <name val="Times New Roman"/>
      <family val="1"/>
    </font>
    <font>
      <sz val="12"/>
      <color indexed="18"/>
      <name val="Times New Roman"/>
      <family val="1"/>
    </font>
    <font>
      <u/>
      <sz val="12"/>
      <color indexed="8"/>
      <name val="Times New Roman"/>
      <family val="1"/>
    </font>
    <font>
      <sz val="12"/>
      <color indexed="32"/>
      <name val="SWISS"/>
    </font>
    <font>
      <sz val="12"/>
      <color indexed="18"/>
      <name val="SWISS"/>
    </font>
    <font>
      <b/>
      <sz val="10"/>
      <name val="SWISS"/>
    </font>
    <font>
      <sz val="12"/>
      <color indexed="56"/>
      <name val="SWISS"/>
    </font>
    <font>
      <i/>
      <sz val="12"/>
      <name val="SWISS"/>
    </font>
    <font>
      <sz val="10"/>
      <color indexed="39"/>
      <name val="Times New Roman"/>
      <family val="1"/>
    </font>
    <font>
      <sz val="10"/>
      <color indexed="18"/>
      <name val="Times New Roman"/>
      <family val="1"/>
    </font>
    <font>
      <sz val="8"/>
      <color rgb="FF000000"/>
      <name val="Arial"/>
      <family val="2"/>
    </font>
    <font>
      <sz val="12"/>
      <color theme="3"/>
      <name val="Times New Roman"/>
      <family val="1"/>
    </font>
    <font>
      <sz val="8"/>
      <name val="Arial"/>
    </font>
  </fonts>
  <fills count="41">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mediumGray">
        <fgColor indexed="22"/>
      </patternFill>
    </fill>
    <fill>
      <patternFill patternType="solid">
        <fgColor indexed="43"/>
        <bgColor indexed="64"/>
      </patternFill>
    </fill>
    <fill>
      <patternFill patternType="solid">
        <fgColor indexed="9"/>
        <bgColor indexed="64"/>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theme="8"/>
      </patternFill>
    </fill>
    <fill>
      <patternFill patternType="solid">
        <fgColor indexed="15"/>
        <bgColor indexed="64"/>
      </patternFill>
    </fill>
    <fill>
      <patternFill patternType="solid">
        <fgColor rgb="FFFFFF00"/>
        <bgColor indexed="64"/>
      </patternFill>
    </fill>
    <fill>
      <patternFill patternType="solid">
        <fgColor indexed="9"/>
        <bgColor indexed="8"/>
      </patternFill>
    </fill>
  </fills>
  <borders count="7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right/>
      <top/>
      <bottom style="thin">
        <color indexed="8"/>
      </bottom>
      <diagonal/>
    </border>
    <border>
      <left/>
      <right/>
      <top/>
      <bottom style="double">
        <color indexed="8"/>
      </bottom>
      <diagonal/>
    </border>
    <border>
      <left/>
      <right/>
      <top style="thin">
        <color indexed="8"/>
      </top>
      <bottom style="thin">
        <color indexed="8"/>
      </bottom>
      <diagonal/>
    </border>
    <border>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ck">
        <color indexed="8"/>
      </left>
      <right/>
      <top/>
      <bottom/>
      <diagonal/>
    </border>
    <border>
      <left style="thick">
        <color indexed="8"/>
      </left>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double">
        <color indexed="64"/>
      </bottom>
      <diagonal/>
    </border>
    <border>
      <left/>
      <right/>
      <top style="thin">
        <color theme="4" tint="-0.24994659260841701"/>
      </top>
      <bottom style="double">
        <color theme="4" tint="-0.2499465926084170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8"/>
      </bottom>
      <diagonal/>
    </border>
  </borders>
  <cellStyleXfs count="427">
    <xf numFmtId="37" fontId="0" fillId="0" borderId="0"/>
    <xf numFmtId="0" fontId="47" fillId="3"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7" borderId="0" applyNumberFormat="0" applyBorder="0" applyAlignment="0" applyProtection="0"/>
    <xf numFmtId="0" fontId="47" fillId="3"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2" borderId="0" applyNumberFormat="0" applyBorder="0" applyAlignment="0" applyProtection="0"/>
    <xf numFmtId="0" fontId="47" fillId="3" borderId="0" applyNumberFormat="0" applyBorder="0" applyAlignment="0" applyProtection="0"/>
    <xf numFmtId="0" fontId="47" fillId="8"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96" fillId="15" borderId="0" applyNumberFormat="0" applyBorder="0" applyAlignment="0" applyProtection="0"/>
    <xf numFmtId="0" fontId="96" fillId="14" borderId="0" applyNumberFormat="0" applyBorder="0" applyAlignment="0" applyProtection="0"/>
    <xf numFmtId="0" fontId="96" fillId="5" borderId="0" applyNumberFormat="0" applyBorder="0" applyAlignment="0" applyProtection="0"/>
    <xf numFmtId="0" fontId="96" fillId="12" borderId="0" applyNumberFormat="0" applyBorder="0" applyAlignment="0" applyProtection="0"/>
    <xf numFmtId="0" fontId="96" fillId="11" borderId="0" applyNumberFormat="0" applyBorder="0" applyAlignment="0" applyProtection="0"/>
    <xf numFmtId="0" fontId="96" fillId="3" borderId="0" applyNumberFormat="0" applyBorder="0" applyAlignment="0" applyProtection="0"/>
    <xf numFmtId="0" fontId="96" fillId="16" borderId="0" applyNumberFormat="0" applyBorder="0" applyAlignment="0" applyProtection="0"/>
    <xf numFmtId="0" fontId="96" fillId="15" borderId="0" applyNumberFormat="0" applyBorder="0" applyAlignment="0" applyProtection="0"/>
    <xf numFmtId="0" fontId="96" fillId="5" borderId="0" applyNumberFormat="0" applyBorder="0" applyAlignment="0" applyProtection="0"/>
    <xf numFmtId="0" fontId="96" fillId="15"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0" borderId="0" applyNumberFormat="0" applyBorder="0" applyAlignment="0" applyProtection="0"/>
    <xf numFmtId="41" fontId="9" fillId="0" borderId="0"/>
    <xf numFmtId="41" fontId="9" fillId="0" borderId="0"/>
    <xf numFmtId="41" fontId="9" fillId="0" borderId="0"/>
    <xf numFmtId="41" fontId="9" fillId="0" borderId="0"/>
    <xf numFmtId="0" fontId="88" fillId="4" borderId="0" applyNumberFormat="0" applyBorder="0" applyAlignment="0" applyProtection="0"/>
    <xf numFmtId="3" fontId="9" fillId="0" borderId="0"/>
    <xf numFmtId="3" fontId="9" fillId="0" borderId="0"/>
    <xf numFmtId="3" fontId="9" fillId="0" borderId="0"/>
    <xf numFmtId="3" fontId="9" fillId="0" borderId="0"/>
    <xf numFmtId="168" fontId="50" fillId="0" borderId="0" applyFill="0"/>
    <xf numFmtId="168" fontId="50" fillId="0" borderId="0">
      <alignment horizontal="center"/>
    </xf>
    <xf numFmtId="0" fontId="50" fillId="0" borderId="0" applyFill="0">
      <alignment horizontal="center"/>
    </xf>
    <xf numFmtId="168" fontId="51" fillId="0" borderId="1" applyFill="0"/>
    <xf numFmtId="0" fontId="9" fillId="0" borderId="0" applyFont="0" applyAlignment="0"/>
    <xf numFmtId="0" fontId="52" fillId="0" borderId="0" applyFill="0">
      <alignment vertical="top"/>
    </xf>
    <xf numFmtId="0" fontId="51" fillId="0" borderId="0" applyFill="0">
      <alignment horizontal="left" vertical="top"/>
    </xf>
    <xf numFmtId="168" fontId="2" fillId="0" borderId="2" applyFill="0"/>
    <xf numFmtId="0" fontId="9" fillId="0" borderId="0" applyNumberFormat="0" applyFont="0" applyAlignment="0"/>
    <xf numFmtId="0" fontId="52" fillId="0" borderId="0" applyFill="0">
      <alignment wrapText="1"/>
    </xf>
    <xf numFmtId="0" fontId="51" fillId="0" borderId="0" applyFill="0">
      <alignment horizontal="left" vertical="top" wrapText="1"/>
    </xf>
    <xf numFmtId="168" fontId="53" fillId="0" borderId="0" applyFill="0"/>
    <xf numFmtId="0" fontId="54" fillId="0" borderId="0" applyNumberFormat="0" applyFont="0" applyAlignment="0">
      <alignment horizontal="center"/>
    </xf>
    <xf numFmtId="0" fontId="55" fillId="0" borderId="0" applyFill="0">
      <alignment vertical="top" wrapText="1"/>
    </xf>
    <xf numFmtId="0" fontId="2" fillId="0" borderId="0" applyFill="0">
      <alignment horizontal="left" vertical="top" wrapText="1"/>
    </xf>
    <xf numFmtId="168" fontId="9" fillId="0" borderId="0" applyFill="0"/>
    <xf numFmtId="0" fontId="54" fillId="0" borderId="0" applyNumberFormat="0" applyFont="0" applyAlignment="0">
      <alignment horizontal="center"/>
    </xf>
    <xf numFmtId="0" fontId="56" fillId="0" borderId="0" applyFill="0">
      <alignment vertical="center" wrapText="1"/>
    </xf>
    <xf numFmtId="0" fontId="3" fillId="0" borderId="0">
      <alignment horizontal="left" vertical="center" wrapText="1"/>
    </xf>
    <xf numFmtId="168" fontId="38" fillId="0" borderId="0" applyFill="0"/>
    <xf numFmtId="0" fontId="54" fillId="0" borderId="0" applyNumberFormat="0" applyFont="0" applyAlignment="0">
      <alignment horizontal="center"/>
    </xf>
    <xf numFmtId="0" fontId="57" fillId="0" borderId="0" applyFill="0">
      <alignment horizontal="center" vertical="center" wrapText="1"/>
    </xf>
    <xf numFmtId="0" fontId="9" fillId="0" borderId="0" applyFill="0">
      <alignment horizontal="center" vertical="center" wrapText="1"/>
    </xf>
    <xf numFmtId="168" fontId="58" fillId="0" borderId="0" applyFill="0"/>
    <xf numFmtId="0" fontId="54" fillId="0" borderId="0" applyNumberFormat="0" applyFont="0" applyAlignment="0">
      <alignment horizontal="center"/>
    </xf>
    <xf numFmtId="0" fontId="59" fillId="0" borderId="0" applyFill="0">
      <alignment horizontal="center" vertical="center" wrapText="1"/>
    </xf>
    <xf numFmtId="0" fontId="60" fillId="0" borderId="0" applyFill="0">
      <alignment horizontal="center" vertical="center" wrapText="1"/>
    </xf>
    <xf numFmtId="168" fontId="61" fillId="0" borderId="0" applyFill="0"/>
    <xf numFmtId="0" fontId="54" fillId="0" borderId="0" applyNumberFormat="0" applyFont="0" applyAlignment="0">
      <alignment horizontal="center"/>
    </xf>
    <xf numFmtId="0" fontId="62" fillId="0" borderId="0">
      <alignment horizontal="center" wrapText="1"/>
    </xf>
    <xf numFmtId="0" fontId="58" fillId="0" borderId="0" applyFill="0">
      <alignment horizontal="center" wrapText="1"/>
    </xf>
    <xf numFmtId="0" fontId="90" fillId="22" borderId="3" applyNumberFormat="0" applyAlignment="0" applyProtection="0"/>
    <xf numFmtId="0" fontId="90" fillId="3" borderId="3" applyNumberFormat="0" applyAlignment="0" applyProtection="0"/>
    <xf numFmtId="0" fontId="92" fillId="23" borderId="4" applyNumberFormat="0" applyAlignment="0" applyProtection="0"/>
    <xf numFmtId="0" fontId="9" fillId="24" borderId="0">
      <alignment horizontal="center"/>
    </xf>
    <xf numFmtId="43" fontId="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0" fillId="0" borderId="0" applyFont="0" applyFill="0" applyBorder="0" applyAlignment="0" applyProtection="0"/>
    <xf numFmtId="43" fontId="7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17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71" fillId="0" borderId="0" applyFont="0" applyFill="0" applyBorder="0" applyAlignment="0" applyProtection="0"/>
    <xf numFmtId="43" fontId="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 fillId="0" borderId="0"/>
    <xf numFmtId="3" fontId="9" fillId="0" borderId="0" applyFill="0" applyBorder="0" applyAlignment="0" applyProtection="0"/>
    <xf numFmtId="0" fontId="97" fillId="0" borderId="0"/>
    <xf numFmtId="0" fontId="97" fillId="0" borderId="0"/>
    <xf numFmtId="0" fontId="98" fillId="25" borderId="5" applyAlignment="0">
      <alignment horizontal="right"/>
      <protection locked="0"/>
    </xf>
    <xf numFmtId="44" fontId="7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9" fillId="0" borderId="0" applyFont="0" applyFill="0" applyBorder="0" applyAlignment="0" applyProtection="0"/>
    <xf numFmtId="44" fontId="10" fillId="0" borderId="0" applyFont="0" applyFill="0" applyBorder="0" applyAlignment="0" applyProtection="0"/>
    <xf numFmtId="44" fontId="4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7" fillId="0" borderId="0" applyFont="0" applyFill="0" applyBorder="0" applyAlignment="0" applyProtection="0"/>
    <xf numFmtId="44" fontId="9" fillId="0" borderId="0" applyFont="0" applyFill="0" applyBorder="0" applyAlignment="0" applyProtection="0"/>
    <xf numFmtId="44" fontId="47" fillId="0" borderId="0" applyFont="0" applyFill="0" applyBorder="0" applyAlignment="0" applyProtection="0"/>
    <xf numFmtId="44" fontId="9" fillId="0" borderId="0" applyFont="0" applyFill="0" applyBorder="0" applyAlignment="0" applyProtection="0"/>
    <xf numFmtId="44" fontId="47"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5" fontId="9" fillId="0" borderId="0" applyFill="0" applyBorder="0" applyAlignment="0" applyProtection="0"/>
    <xf numFmtId="0" fontId="100" fillId="26" borderId="0">
      <alignment horizontal="right"/>
      <protection locked="0"/>
    </xf>
    <xf numFmtId="174" fontId="9" fillId="0" borderId="0" applyFill="0" applyBorder="0" applyAlignment="0" applyProtection="0"/>
    <xf numFmtId="14" fontId="9" fillId="0" borderId="0"/>
    <xf numFmtId="0" fontId="94" fillId="0" borderId="0" applyNumberFormat="0" applyFill="0" applyBorder="0" applyAlignment="0" applyProtection="0"/>
    <xf numFmtId="2" fontId="100" fillId="26" borderId="0">
      <alignment horizontal="right"/>
      <protection locked="0"/>
    </xf>
    <xf numFmtId="1" fontId="9" fillId="0" borderId="0">
      <alignment horizontal="center"/>
    </xf>
    <xf numFmtId="2" fontId="9" fillId="0" borderId="0" applyFill="0" applyBorder="0" applyAlignment="0" applyProtection="0"/>
    <xf numFmtId="0" fontId="87" fillId="6" borderId="0" applyNumberFormat="0" applyBorder="0" applyAlignment="0" applyProtection="0"/>
    <xf numFmtId="38" fontId="50" fillId="27" borderId="0" applyNumberFormat="0" applyBorder="0" applyAlignment="0" applyProtection="0"/>
    <xf numFmtId="0" fontId="2" fillId="0" borderId="6" applyNumberFormat="0" applyAlignment="0" applyProtection="0">
      <alignment horizontal="left" vertical="center"/>
    </xf>
    <xf numFmtId="0" fontId="2" fillId="0" borderId="7">
      <alignment horizontal="left" vertical="center"/>
    </xf>
    <xf numFmtId="0" fontId="101" fillId="0" borderId="9" applyNumberFormat="0" applyFill="0" applyAlignment="0" applyProtection="0"/>
    <xf numFmtId="0" fontId="111" fillId="0" borderId="8" applyNumberFormat="0" applyFill="0" applyAlignment="0" applyProtection="0"/>
    <xf numFmtId="0" fontId="102" fillId="0" borderId="10" applyNumberFormat="0" applyFill="0" applyAlignment="0" applyProtection="0"/>
    <xf numFmtId="0" fontId="112" fillId="0" borderId="10" applyNumberFormat="0" applyFill="0" applyAlignment="0" applyProtection="0"/>
    <xf numFmtId="0" fontId="103" fillId="0" borderId="12" applyNumberFormat="0" applyFill="0" applyAlignment="0" applyProtection="0"/>
    <xf numFmtId="0" fontId="113" fillId="0" borderId="11" applyNumberFormat="0" applyFill="0" applyAlignment="0" applyProtection="0"/>
    <xf numFmtId="0" fontId="108" fillId="0" borderId="0" applyNumberFormat="0" applyFill="0" applyBorder="0" applyAlignment="0" applyProtection="0"/>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10" fontId="50" fillId="28" borderId="13" applyNumberFormat="0" applyBorder="0" applyAlignment="0" applyProtection="0"/>
    <xf numFmtId="0" fontId="109" fillId="12" borderId="3" applyNumberFormat="0" applyAlignment="0" applyProtection="0"/>
    <xf numFmtId="3" fontId="106" fillId="27" borderId="0">
      <protection locked="0"/>
    </xf>
    <xf numFmtId="4" fontId="106" fillId="27" borderId="0">
      <protection locked="0"/>
    </xf>
    <xf numFmtId="0" fontId="91" fillId="0" borderId="14" applyNumberFormat="0" applyFill="0" applyAlignment="0" applyProtection="0"/>
    <xf numFmtId="41" fontId="63" fillId="29" borderId="0" applyFill="0" applyBorder="0" applyAlignment="0" applyProtection="0"/>
    <xf numFmtId="0" fontId="89" fillId="12" borderId="0" applyNumberFormat="0" applyBorder="0" applyAlignment="0" applyProtection="0"/>
    <xf numFmtId="43"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7" fontId="3" fillId="0" borderId="0"/>
    <xf numFmtId="0" fontId="119" fillId="0" borderId="0"/>
    <xf numFmtId="0" fontId="119" fillId="0" borderId="0"/>
    <xf numFmtId="0" fontId="47" fillId="0" borderId="0"/>
    <xf numFmtId="0" fontId="9" fillId="0" borderId="0"/>
    <xf numFmtId="0" fontId="9" fillId="0" borderId="0"/>
    <xf numFmtId="0" fontId="9" fillId="0" borderId="0"/>
    <xf numFmtId="37" fontId="3" fillId="0" borderId="0"/>
    <xf numFmtId="37" fontId="3" fillId="0" borderId="0"/>
    <xf numFmtId="0" fontId="119" fillId="0" borderId="0"/>
    <xf numFmtId="0" fontId="47" fillId="0" borderId="0"/>
    <xf numFmtId="37" fontId="3" fillId="0" borderId="0"/>
    <xf numFmtId="0" fontId="47" fillId="0" borderId="0"/>
    <xf numFmtId="37" fontId="3" fillId="0" borderId="0"/>
    <xf numFmtId="0" fontId="47" fillId="0" borderId="0"/>
    <xf numFmtId="37" fontId="3" fillId="0" borderId="0"/>
    <xf numFmtId="0" fontId="47" fillId="0" borderId="0"/>
    <xf numFmtId="0" fontId="119" fillId="0" borderId="0"/>
    <xf numFmtId="0" fontId="47" fillId="0" borderId="0"/>
    <xf numFmtId="0" fontId="47" fillId="0" borderId="0"/>
    <xf numFmtId="0" fontId="47" fillId="0" borderId="0"/>
    <xf numFmtId="0" fontId="47" fillId="0" borderId="0"/>
    <xf numFmtId="0" fontId="118" fillId="0" borderId="0"/>
    <xf numFmtId="169" fontId="11"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119" fillId="0" borderId="0"/>
    <xf numFmtId="0" fontId="9" fillId="0" borderId="0"/>
    <xf numFmtId="0" fontId="9" fillId="0" borderId="0"/>
    <xf numFmtId="0" fontId="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119" fillId="0" borderId="0"/>
    <xf numFmtId="0" fontId="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0" fillId="0" borderId="0"/>
    <xf numFmtId="0" fontId="1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47" fillId="0" borderId="0"/>
    <xf numFmtId="0" fontId="1" fillId="0" borderId="0">
      <alignment vertical="top"/>
    </xf>
    <xf numFmtId="0" fontId="1" fillId="0" borderId="0">
      <alignment vertical="top"/>
    </xf>
    <xf numFmtId="0" fontId="1" fillId="0" borderId="0">
      <alignment vertical="top"/>
    </xf>
    <xf numFmtId="0" fontId="47" fillId="0" borderId="0"/>
    <xf numFmtId="0" fontId="119" fillId="0" borderId="0"/>
    <xf numFmtId="0" fontId="119" fillId="0" borderId="0"/>
    <xf numFmtId="37" fontId="25" fillId="0" borderId="0"/>
    <xf numFmtId="37" fontId="3" fillId="0" borderId="0"/>
    <xf numFmtId="0" fontId="9" fillId="0" borderId="0"/>
    <xf numFmtId="0" fontId="7" fillId="0" borderId="0"/>
    <xf numFmtId="0" fontId="47" fillId="7" borderId="15" applyNumberFormat="0" applyFont="0" applyAlignment="0" applyProtection="0"/>
    <xf numFmtId="0" fontId="50" fillId="7" borderId="15" applyNumberFormat="0" applyFont="0" applyAlignment="0" applyProtection="0"/>
    <xf numFmtId="170" fontId="107" fillId="0" borderId="0" applyNumberFormat="0"/>
    <xf numFmtId="0" fontId="103" fillId="22" borderId="16" applyNumberFormat="0" applyAlignment="0" applyProtection="0"/>
    <xf numFmtId="9" fontId="6" fillId="0" borderId="0" applyFont="0" applyFill="0" applyBorder="0" applyAlignment="0" applyProtection="0"/>
    <xf numFmtId="10" fontId="9" fillId="0" borderId="0" applyFont="0" applyFill="0" applyBorder="0" applyAlignment="0" applyProtection="0"/>
    <xf numFmtId="9" fontId="47" fillId="0" borderId="0" applyFont="0" applyFill="0" applyBorder="0" applyAlignment="0" applyProtection="0"/>
    <xf numFmtId="9" fontId="119" fillId="0" borderId="0" applyFont="0" applyFill="0" applyBorder="0" applyAlignment="0" applyProtection="0"/>
    <xf numFmtId="9" fontId="120"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72"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1" fillId="0" borderId="0" applyFont="0" applyFill="0" applyBorder="0" applyAlignment="0" applyProtection="0"/>
    <xf numFmtId="9" fontId="47" fillId="0" borderId="0" applyFont="0" applyFill="0" applyBorder="0" applyAlignment="0" applyProtection="0"/>
    <xf numFmtId="170" fontId="9" fillId="0" borderId="0" applyFont="0" applyFill="0" applyBorder="0" applyAlignment="0" applyProtection="0"/>
    <xf numFmtId="10" fontId="9" fillId="0" borderId="0" applyFont="0" applyFill="0" applyBorder="0" applyAlignment="0" applyProtection="0"/>
    <xf numFmtId="0" fontId="9" fillId="0" borderId="0"/>
    <xf numFmtId="0" fontId="9" fillId="0" borderId="0"/>
    <xf numFmtId="0" fontId="9" fillId="0" borderId="0"/>
    <xf numFmtId="0" fontId="9" fillId="0" borderId="0"/>
    <xf numFmtId="38" fontId="64" fillId="0" borderId="0" applyNumberFormat="0" applyFont="0" applyFill="0" applyBorder="0">
      <alignment horizontal="left" indent="4"/>
      <protection locked="0"/>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17">
      <alignment horizontal="center"/>
    </xf>
    <xf numFmtId="0" fontId="66" fillId="0" borderId="17">
      <alignment horizontal="center"/>
    </xf>
    <xf numFmtId="3" fontId="65" fillId="0" borderId="0" applyFont="0" applyFill="0" applyBorder="0" applyAlignment="0" applyProtection="0"/>
    <xf numFmtId="0" fontId="65" fillId="30" borderId="0" applyNumberFormat="0" applyFont="0" applyBorder="0" applyAlignment="0" applyProtection="0"/>
    <xf numFmtId="175" fontId="26" fillId="31" borderId="18" applyNumberFormat="0" applyFill="0"/>
    <xf numFmtId="0" fontId="67" fillId="31" borderId="0" applyNumberFormat="0" applyFill="0" applyBorder="0" applyAlignment="0" applyProtection="0">
      <alignment horizontal="left" indent="7"/>
    </xf>
    <xf numFmtId="0" fontId="9" fillId="32" borderId="18" applyNumberFormat="0" applyFill="0">
      <alignment horizontal="left" indent="6"/>
    </xf>
    <xf numFmtId="175" fontId="53" fillId="0" borderId="19" applyNumberFormat="0" applyFill="0"/>
    <xf numFmtId="0" fontId="37" fillId="33" borderId="13" applyNumberFormat="0" applyFill="0" applyBorder="0" applyAlignment="0">
      <alignment horizontal="right"/>
    </xf>
    <xf numFmtId="0" fontId="46" fillId="34" borderId="18" applyNumberFormat="0" applyFill="0" applyBorder="0" applyAlignment="0"/>
    <xf numFmtId="0" fontId="53" fillId="0" borderId="18" applyNumberFormat="0" applyFill="0"/>
    <xf numFmtId="175" fontId="53" fillId="0" borderId="18" applyNumberFormat="0" applyFill="0"/>
    <xf numFmtId="0" fontId="9" fillId="35" borderId="0" applyNumberFormat="0" applyFill="0" applyBorder="0" applyAlignment="0"/>
    <xf numFmtId="0" fontId="68" fillId="36" borderId="18" applyNumberFormat="0" applyFill="0" applyBorder="0">
      <alignment horizontal="left" indent="1"/>
    </xf>
    <xf numFmtId="0" fontId="37" fillId="0" borderId="18" applyNumberFormat="0" applyFill="0">
      <alignment horizontal="left" indent="1"/>
    </xf>
    <xf numFmtId="175" fontId="53" fillId="0" borderId="18" applyNumberFormat="0" applyFill="0"/>
    <xf numFmtId="0" fontId="9" fillId="24" borderId="0" applyNumberFormat="0" applyFill="0" applyBorder="0" applyAlignment="0"/>
    <xf numFmtId="0" fontId="46" fillId="24" borderId="18" applyNumberFormat="0" applyFill="0" applyBorder="0">
      <alignment horizontal="left" indent="2"/>
    </xf>
    <xf numFmtId="0" fontId="37" fillId="24" borderId="18" applyNumberFormat="0" applyFill="0">
      <alignment horizontal="left" indent="2"/>
    </xf>
    <xf numFmtId="175" fontId="26" fillId="0" borderId="18" applyNumberFormat="0" applyFill="0"/>
    <xf numFmtId="0" fontId="9" fillId="0" borderId="0" applyNumberFormat="0" applyFill="0" applyBorder="0" applyAlignment="0"/>
    <xf numFmtId="0" fontId="68" fillId="0" borderId="18" applyNumberFormat="0" applyFill="0" applyBorder="0">
      <alignment horizontal="left" indent="3"/>
    </xf>
    <xf numFmtId="0" fontId="9" fillId="0" borderId="18" applyNumberFormat="0" applyFill="0" applyProtection="0">
      <alignment horizontal="left" indent="3"/>
    </xf>
    <xf numFmtId="175" fontId="26" fillId="0" borderId="18" applyNumberFormat="0" applyFill="0"/>
    <xf numFmtId="0" fontId="9" fillId="0" borderId="0" applyNumberFormat="0" applyFill="0" applyBorder="0" applyAlignment="0"/>
    <xf numFmtId="0" fontId="45" fillId="0" borderId="18" applyNumberFormat="0" applyFill="0" applyBorder="0">
      <alignment horizontal="left" indent="4"/>
    </xf>
    <xf numFmtId="176" fontId="9" fillId="0" borderId="18" applyNumberFormat="0" applyFill="0">
      <alignment horizontal="left" indent="4"/>
    </xf>
    <xf numFmtId="175" fontId="26" fillId="0" borderId="18" applyNumberFormat="0" applyFill="0"/>
    <xf numFmtId="0" fontId="9" fillId="0" borderId="0" applyNumberFormat="0" applyBorder="0" applyAlignment="0"/>
    <xf numFmtId="0" fontId="45" fillId="0" borderId="18" applyNumberFormat="0" applyFill="0" applyBorder="0">
      <alignment horizontal="left" indent="5"/>
    </xf>
    <xf numFmtId="0" fontId="9" fillId="0" borderId="18" applyNumberFormat="0" applyFill="0">
      <alignment horizontal="left" indent="5"/>
    </xf>
    <xf numFmtId="175" fontId="26" fillId="0" borderId="18" applyNumberFormat="0" applyFill="0"/>
    <xf numFmtId="0" fontId="9" fillId="0" borderId="0" applyNumberFormat="0" applyFill="0" applyBorder="0" applyAlignment="0"/>
    <xf numFmtId="0" fontId="69" fillId="0" borderId="18" applyNumberFormat="0" applyFill="0" applyBorder="0">
      <alignment horizontal="left" indent="6"/>
    </xf>
    <xf numFmtId="0" fontId="57" fillId="0" borderId="18" applyNumberFormat="0" applyFill="0">
      <alignment horizontal="left" indent="6"/>
    </xf>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 fillId="0" borderId="0">
      <alignment vertical="top"/>
    </xf>
    <xf numFmtId="0" fontId="1" fillId="0" borderId="0">
      <alignment vertical="top"/>
    </xf>
    <xf numFmtId="0" fontId="1" fillId="0" borderId="0" applyNumberFormat="0" applyBorder="0" applyAlignment="0"/>
    <xf numFmtId="0" fontId="1" fillId="0" borderId="0" applyNumberFormat="0" applyBorder="0" applyAlignment="0"/>
    <xf numFmtId="37" fontId="115" fillId="0" borderId="0"/>
    <xf numFmtId="175" fontId="70" fillId="31" borderId="18" applyNumberFormat="0" applyProtection="0">
      <alignment horizontal="right"/>
    </xf>
    <xf numFmtId="0" fontId="110" fillId="0" borderId="0" applyNumberFormat="0" applyFill="0" applyBorder="0" applyAlignment="0" applyProtection="0"/>
    <xf numFmtId="0" fontId="95" fillId="0" borderId="21" applyNumberFormat="0" applyFill="0" applyAlignment="0" applyProtection="0"/>
    <xf numFmtId="0" fontId="95" fillId="0" borderId="20" applyNumberFormat="0" applyFill="0" applyAlignment="0" applyProtection="0"/>
    <xf numFmtId="0" fontId="93" fillId="0" borderId="0" applyNumberFormat="0" applyFill="0" applyBorder="0" applyAlignment="0" applyProtection="0"/>
    <xf numFmtId="171" fontId="3" fillId="31" borderId="0" applyFont="0" applyFill="0" applyBorder="0" applyAlignment="0" applyProtection="0">
      <alignment wrapText="1"/>
    </xf>
    <xf numFmtId="0" fontId="3" fillId="31" borderId="22" applyNumberFormat="0" applyFill="0" applyBorder="0" applyProtection="0">
      <alignment horizontal="right"/>
    </xf>
    <xf numFmtId="0" fontId="24" fillId="22" borderId="0"/>
    <xf numFmtId="41" fontId="10" fillId="32" borderId="0">
      <alignment horizontal="left"/>
    </xf>
    <xf numFmtId="10" fontId="10" fillId="32" borderId="0"/>
    <xf numFmtId="41" fontId="10" fillId="32" borderId="0">
      <alignment horizontal="left"/>
    </xf>
    <xf numFmtId="0" fontId="149" fillId="37" borderId="0" applyNumberFormat="0" applyBorder="0" applyAlignment="0" applyProtection="0"/>
  </cellStyleXfs>
  <cellXfs count="1104">
    <xf numFmtId="37" fontId="0" fillId="0" borderId="0" xfId="0"/>
    <xf numFmtId="37" fontId="4" fillId="0" borderId="0" xfId="0" applyFont="1"/>
    <xf numFmtId="37" fontId="4" fillId="0" borderId="0" xfId="0" applyFont="1" applyAlignment="1">
      <alignment horizontal="center"/>
    </xf>
    <xf numFmtId="37" fontId="4" fillId="0" borderId="0" xfId="0" applyFont="1" applyFill="1" applyBorder="1"/>
    <xf numFmtId="37" fontId="5" fillId="0" borderId="0" xfId="0" applyFont="1" applyFill="1"/>
    <xf numFmtId="37" fontId="4" fillId="0" borderId="0" xfId="0" applyNumberFormat="1" applyFont="1" applyFill="1" applyProtection="1"/>
    <xf numFmtId="37" fontId="4" fillId="0" borderId="0" xfId="0" applyFont="1" applyFill="1"/>
    <xf numFmtId="0" fontId="7" fillId="0" borderId="0" xfId="318" applyFill="1"/>
    <xf numFmtId="41" fontId="4" fillId="0" borderId="0" xfId="0" applyNumberFormat="1" applyFont="1" applyFill="1" applyProtection="1"/>
    <xf numFmtId="41" fontId="4" fillId="0" borderId="0" xfId="0" applyNumberFormat="1" applyFont="1" applyFill="1"/>
    <xf numFmtId="41" fontId="4" fillId="0" borderId="23" xfId="0" applyNumberFormat="1" applyFont="1" applyFill="1" applyBorder="1" applyProtection="1"/>
    <xf numFmtId="41" fontId="4" fillId="0" borderId="24" xfId="0" applyNumberFormat="1" applyFont="1" applyFill="1" applyBorder="1" applyProtection="1"/>
    <xf numFmtId="0" fontId="4" fillId="0" borderId="0" xfId="239" applyFont="1"/>
    <xf numFmtId="0" fontId="5" fillId="0" borderId="0" xfId="239" applyFont="1" applyAlignment="1">
      <alignment horizontal="center"/>
    </xf>
    <xf numFmtId="0" fontId="4" fillId="0" borderId="0" xfId="239" applyFont="1" applyFill="1"/>
    <xf numFmtId="43" fontId="4" fillId="0" borderId="0" xfId="239" applyNumberFormat="1" applyFont="1" applyFill="1"/>
    <xf numFmtId="0" fontId="7" fillId="0" borderId="0" xfId="318" applyFont="1" applyFill="1"/>
    <xf numFmtId="0" fontId="7" fillId="0" borderId="0" xfId="318" applyFill="1" applyAlignment="1">
      <alignment vertical="top"/>
    </xf>
    <xf numFmtId="37" fontId="4" fillId="0" borderId="0" xfId="0" applyFont="1" applyFill="1" applyAlignment="1">
      <alignment horizontal="center"/>
    </xf>
    <xf numFmtId="37" fontId="4" fillId="0" borderId="0" xfId="0" applyFont="1" applyFill="1" applyAlignment="1">
      <alignment horizontal="left" indent="1"/>
    </xf>
    <xf numFmtId="41" fontId="4" fillId="0" borderId="0" xfId="0" applyNumberFormat="1" applyFont="1" applyFill="1" applyBorder="1" applyProtection="1"/>
    <xf numFmtId="41" fontId="4" fillId="0" borderId="0" xfId="239" applyNumberFormat="1" applyFont="1" applyFill="1"/>
    <xf numFmtId="37" fontId="4" fillId="0" borderId="0" xfId="239" applyNumberFormat="1" applyFont="1" applyProtection="1"/>
    <xf numFmtId="37" fontId="4" fillId="0" borderId="0" xfId="239" applyNumberFormat="1" applyFont="1" applyFill="1" applyProtection="1"/>
    <xf numFmtId="37" fontId="5" fillId="0" borderId="0" xfId="239" applyNumberFormat="1" applyFont="1" applyAlignment="1">
      <alignment horizontal="left"/>
    </xf>
    <xf numFmtId="37" fontId="5" fillId="0" borderId="0" xfId="239" applyNumberFormat="1" applyFont="1" applyFill="1"/>
    <xf numFmtId="37" fontId="5" fillId="0" borderId="0" xfId="0" applyFont="1" applyFill="1" applyAlignment="1">
      <alignment horizontal="center"/>
    </xf>
    <xf numFmtId="37" fontId="5" fillId="0" borderId="0" xfId="239" applyNumberFormat="1" applyFont="1" applyFill="1" applyProtection="1"/>
    <xf numFmtId="37" fontId="4" fillId="0" borderId="0" xfId="0" quotePrefix="1" applyFont="1" applyFill="1" applyAlignment="1">
      <alignment horizontal="center"/>
    </xf>
    <xf numFmtId="0" fontId="4" fillId="0" borderId="0" xfId="0" applyNumberFormat="1" applyFont="1" applyFill="1" applyAlignment="1">
      <alignment horizontal="center"/>
    </xf>
    <xf numFmtId="41" fontId="4" fillId="0" borderId="0" xfId="0" applyNumberFormat="1" applyFont="1" applyFill="1" applyAlignment="1">
      <alignment horizontal="center"/>
    </xf>
    <xf numFmtId="37" fontId="5" fillId="0" borderId="0" xfId="0" applyFont="1" applyFill="1" applyAlignment="1">
      <alignment horizontal="left" indent="2"/>
    </xf>
    <xf numFmtId="43" fontId="4" fillId="0" borderId="0" xfId="0" applyNumberFormat="1" applyFont="1" applyFill="1"/>
    <xf numFmtId="41" fontId="13" fillId="0" borderId="0" xfId="0" applyNumberFormat="1" applyFont="1" applyFill="1"/>
    <xf numFmtId="0" fontId="4" fillId="0" borderId="0" xfId="221" applyFont="1"/>
    <xf numFmtId="0" fontId="5" fillId="0" borderId="0" xfId="221" applyFont="1"/>
    <xf numFmtId="0" fontId="4" fillId="0" borderId="0" xfId="221" applyFont="1" applyBorder="1"/>
    <xf numFmtId="37" fontId="5" fillId="0" borderId="0" xfId="239" applyNumberFormat="1" applyFont="1" applyFill="1" applyAlignment="1" applyProtection="1">
      <alignment horizontal="center"/>
    </xf>
    <xf numFmtId="0" fontId="5" fillId="0" borderId="0" xfId="221" applyFont="1" applyBorder="1" applyAlignment="1">
      <alignment horizontal="center"/>
    </xf>
    <xf numFmtId="0" fontId="5" fillId="0" borderId="0" xfId="221" applyFont="1" applyAlignment="1">
      <alignment horizontal="center"/>
    </xf>
    <xf numFmtId="37" fontId="18" fillId="0" borderId="0" xfId="0" applyFont="1" applyFill="1"/>
    <xf numFmtId="37" fontId="17" fillId="0" borderId="0" xfId="0" applyFont="1" applyFill="1" applyAlignment="1">
      <alignment horizontal="center"/>
    </xf>
    <xf numFmtId="37" fontId="14" fillId="0" borderId="0" xfId="0" applyFont="1" applyFill="1"/>
    <xf numFmtId="37" fontId="14" fillId="0" borderId="0" xfId="0" applyFont="1" applyAlignment="1">
      <alignment horizontal="left" indent="1"/>
    </xf>
    <xf numFmtId="41" fontId="14" fillId="0" borderId="0" xfId="0" applyNumberFormat="1" applyFont="1" applyFill="1" applyProtection="1"/>
    <xf numFmtId="41" fontId="14" fillId="0" borderId="0" xfId="0" applyNumberFormat="1" applyFont="1" applyFill="1"/>
    <xf numFmtId="37" fontId="18" fillId="0" borderId="0" xfId="0" applyFont="1" applyFill="1" applyBorder="1"/>
    <xf numFmtId="37" fontId="17" fillId="0" borderId="0" xfId="0" applyFont="1" applyFill="1" applyBorder="1" applyAlignment="1">
      <alignment horizontal="center"/>
    </xf>
    <xf numFmtId="37" fontId="14" fillId="0" borderId="0" xfId="0" applyFont="1" applyFill="1" applyAlignment="1">
      <alignment horizontal="left" indent="1"/>
    </xf>
    <xf numFmtId="37" fontId="4" fillId="0" borderId="0" xfId="0" applyNumberFormat="1" applyFont="1" applyFill="1" applyBorder="1" applyProtection="1"/>
    <xf numFmtId="37" fontId="16" fillId="0" borderId="0" xfId="0" applyFont="1" applyFill="1"/>
    <xf numFmtId="37" fontId="5" fillId="0" borderId="23" xfId="0" applyFont="1" applyFill="1" applyBorder="1" applyAlignment="1">
      <alignment horizontal="center"/>
    </xf>
    <xf numFmtId="37" fontId="20" fillId="0" borderId="0" xfId="0" applyFont="1" applyFill="1"/>
    <xf numFmtId="37" fontId="16" fillId="0" borderId="23" xfId="0" applyFont="1" applyFill="1" applyBorder="1"/>
    <xf numFmtId="0" fontId="20" fillId="0" borderId="0" xfId="239" applyFont="1" applyFill="1" applyAlignment="1">
      <alignment horizontal="center"/>
    </xf>
    <xf numFmtId="41" fontId="4" fillId="0" borderId="23" xfId="239" applyNumberFormat="1" applyFont="1" applyFill="1" applyBorder="1"/>
    <xf numFmtId="37" fontId="17" fillId="0" borderId="0" xfId="0" applyFont="1" applyAlignment="1">
      <alignment horizontal="center"/>
    </xf>
    <xf numFmtId="37" fontId="13" fillId="0" borderId="0" xfId="0" applyFont="1" applyAlignment="1">
      <alignment horizontal="justify"/>
    </xf>
    <xf numFmtId="37" fontId="5" fillId="0" borderId="0" xfId="0" applyFont="1" applyAlignment="1"/>
    <xf numFmtId="0" fontId="16" fillId="0" borderId="0" xfId="0" applyNumberFormat="1" applyFont="1" applyFill="1"/>
    <xf numFmtId="0" fontId="4" fillId="0" borderId="0" xfId="0" applyNumberFormat="1" applyFont="1" applyFill="1"/>
    <xf numFmtId="0" fontId="5" fillId="0" borderId="23" xfId="0" applyNumberFormat="1" applyFont="1" applyFill="1" applyBorder="1" applyAlignment="1">
      <alignment horizontal="center"/>
    </xf>
    <xf numFmtId="0" fontId="4" fillId="0" borderId="0" xfId="0" applyNumberFormat="1" applyFont="1" applyFill="1" applyProtection="1"/>
    <xf numFmtId="0" fontId="4" fillId="0" borderId="0" xfId="0" applyNumberFormat="1" applyFont="1" applyFill="1" applyBorder="1" applyProtection="1"/>
    <xf numFmtId="0" fontId="5" fillId="0" borderId="0" xfId="239" applyFont="1" applyFill="1" applyAlignment="1"/>
    <xf numFmtId="0" fontId="5" fillId="0" borderId="0" xfId="239" applyFont="1" applyFill="1" applyAlignment="1">
      <alignment horizontal="left"/>
    </xf>
    <xf numFmtId="37" fontId="5" fillId="0" borderId="0" xfId="239" applyNumberFormat="1" applyFont="1" applyFill="1" applyAlignment="1">
      <alignment horizontal="left"/>
    </xf>
    <xf numFmtId="37" fontId="4" fillId="0" borderId="0" xfId="0" applyFont="1" applyFill="1" applyAlignment="1">
      <alignment horizontal="left"/>
    </xf>
    <xf numFmtId="37" fontId="4" fillId="0" borderId="0" xfId="0" applyFont="1" applyFill="1" applyAlignment="1">
      <alignment horizontal="right"/>
    </xf>
    <xf numFmtId="37" fontId="4" fillId="0" borderId="2" xfId="0" applyFont="1" applyFill="1" applyBorder="1"/>
    <xf numFmtId="0" fontId="4" fillId="0" borderId="0" xfId="239" applyFont="1" applyFill="1" applyAlignment="1">
      <alignment horizontal="center"/>
    </xf>
    <xf numFmtId="37" fontId="0" fillId="0" borderId="0" xfId="0" applyFill="1"/>
    <xf numFmtId="37" fontId="17" fillId="0" borderId="0" xfId="0" applyFont="1" applyFill="1"/>
    <xf numFmtId="37" fontId="4" fillId="0" borderId="0" xfId="0" applyFont="1" applyFill="1" applyBorder="1" applyAlignment="1">
      <alignment horizontal="center"/>
    </xf>
    <xf numFmtId="165" fontId="13" fillId="0" borderId="0" xfId="0" applyNumberFormat="1" applyFont="1" applyFill="1"/>
    <xf numFmtId="0" fontId="17" fillId="0" borderId="0" xfId="318" applyFont="1" applyFill="1" applyAlignment="1">
      <alignment horizontal="center" vertical="top"/>
    </xf>
    <xf numFmtId="0" fontId="7" fillId="0" borderId="0" xfId="318" applyFont="1" applyFill="1" applyAlignment="1">
      <alignment wrapText="1"/>
    </xf>
    <xf numFmtId="0" fontId="4" fillId="0" borderId="0" xfId="306" applyFont="1"/>
    <xf numFmtId="0" fontId="4" fillId="0" borderId="0" xfId="306" applyFont="1" applyBorder="1"/>
    <xf numFmtId="0" fontId="14" fillId="0" borderId="0" xfId="306" applyFont="1"/>
    <xf numFmtId="0" fontId="14" fillId="0" borderId="0" xfId="306" applyFont="1" applyBorder="1"/>
    <xf numFmtId="43" fontId="14" fillId="0" borderId="0" xfId="306" applyNumberFormat="1" applyFont="1"/>
    <xf numFmtId="43" fontId="14" fillId="0" borderId="0" xfId="306" applyNumberFormat="1" applyFont="1" applyBorder="1"/>
    <xf numFmtId="43" fontId="10" fillId="0" borderId="0" xfId="306" applyNumberFormat="1" applyFont="1"/>
    <xf numFmtId="43" fontId="10" fillId="0" borderId="0" xfId="306" applyNumberFormat="1" applyFont="1" applyBorder="1"/>
    <xf numFmtId="0" fontId="10" fillId="0" borderId="0" xfId="306" applyFont="1"/>
    <xf numFmtId="44" fontId="10" fillId="0" borderId="24" xfId="306" applyNumberFormat="1" applyFont="1" applyBorder="1"/>
    <xf numFmtId="0" fontId="19" fillId="0" borderId="0" xfId="306" applyFont="1" applyBorder="1" applyAlignment="1">
      <alignment horizontal="center"/>
    </xf>
    <xf numFmtId="14" fontId="10" fillId="0" borderId="0" xfId="306" applyNumberFormat="1" applyFont="1" applyBorder="1" applyAlignment="1">
      <alignment horizontal="center"/>
    </xf>
    <xf numFmtId="14" fontId="19" fillId="0" borderId="0" xfId="306" applyNumberFormat="1" applyFont="1" applyBorder="1" applyAlignment="1">
      <alignment horizontal="center"/>
    </xf>
    <xf numFmtId="14" fontId="10" fillId="0" borderId="0" xfId="306" applyNumberFormat="1" applyFont="1" applyFill="1" applyBorder="1" applyAlignment="1">
      <alignment horizontal="center"/>
    </xf>
    <xf numFmtId="14" fontId="19" fillId="0" borderId="0" xfId="306" quotePrefix="1" applyNumberFormat="1" applyFont="1" applyBorder="1" applyAlignment="1">
      <alignment horizontal="center"/>
    </xf>
    <xf numFmtId="0" fontId="10" fillId="0" borderId="0" xfId="306" applyFont="1" applyBorder="1" applyAlignment="1">
      <alignment horizontal="center"/>
    </xf>
    <xf numFmtId="0" fontId="10" fillId="0" borderId="0" xfId="306" applyFont="1" applyBorder="1"/>
    <xf numFmtId="0" fontId="12" fillId="0" borderId="0" xfId="306" applyFont="1" applyBorder="1" applyAlignment="1">
      <alignment horizontal="left"/>
    </xf>
    <xf numFmtId="0" fontId="12" fillId="0" borderId="0" xfId="306" applyFont="1" applyAlignment="1">
      <alignment horizontal="center"/>
    </xf>
    <xf numFmtId="0" fontId="10" fillId="0" borderId="0" xfId="306" applyFont="1" applyAlignment="1">
      <alignment horizontal="center"/>
    </xf>
    <xf numFmtId="0" fontId="10" fillId="0" borderId="0" xfId="306" applyFont="1" applyFill="1"/>
    <xf numFmtId="0" fontId="10" fillId="0" borderId="0" xfId="306" quotePrefix="1" applyFont="1" applyFill="1" applyAlignment="1">
      <alignment horizontal="right"/>
    </xf>
    <xf numFmtId="37" fontId="5" fillId="0" borderId="0" xfId="306" applyNumberFormat="1" applyFont="1" applyAlignment="1">
      <alignment horizontal="center"/>
    </xf>
    <xf numFmtId="37" fontId="5" fillId="0" borderId="0" xfId="306" applyNumberFormat="1" applyFont="1" applyBorder="1" applyAlignment="1">
      <alignment horizontal="center"/>
    </xf>
    <xf numFmtId="0" fontId="5" fillId="0" borderId="0" xfId="306" applyFont="1"/>
    <xf numFmtId="0" fontId="5" fillId="0" borderId="0" xfId="306" applyFont="1" applyBorder="1"/>
    <xf numFmtId="37" fontId="5" fillId="0" borderId="0" xfId="306" applyNumberFormat="1" applyFont="1"/>
    <xf numFmtId="0" fontId="4" fillId="0" borderId="0" xfId="306" applyFont="1" applyFill="1"/>
    <xf numFmtId="39" fontId="4" fillId="0" borderId="0" xfId="306" applyNumberFormat="1" applyFont="1" applyFill="1" applyProtection="1"/>
    <xf numFmtId="43" fontId="4" fillId="0" borderId="0" xfId="306" applyNumberFormat="1" applyFont="1" applyFill="1" applyProtection="1"/>
    <xf numFmtId="43" fontId="4" fillId="0" borderId="0" xfId="306" applyNumberFormat="1" applyFont="1" applyFill="1"/>
    <xf numFmtId="44" fontId="4" fillId="0" borderId="24" xfId="306" applyNumberFormat="1" applyFont="1" applyFill="1" applyBorder="1" applyProtection="1"/>
    <xf numFmtId="0" fontId="5" fillId="0" borderId="0" xfId="306" applyFont="1" applyFill="1"/>
    <xf numFmtId="43" fontId="4" fillId="0" borderId="0" xfId="306" applyNumberFormat="1" applyFont="1" applyFill="1" applyBorder="1" applyProtection="1"/>
    <xf numFmtId="10" fontId="4" fillId="0" borderId="0" xfId="306" applyNumberFormat="1" applyFont="1" applyFill="1" applyBorder="1" applyProtection="1"/>
    <xf numFmtId="0" fontId="4" fillId="0" borderId="0" xfId="306" applyFont="1" applyFill="1" applyAlignment="1">
      <alignment horizontal="center"/>
    </xf>
    <xf numFmtId="9" fontId="4" fillId="0" borderId="0" xfId="306" applyNumberFormat="1" applyFont="1" applyFill="1" applyProtection="1"/>
    <xf numFmtId="10" fontId="4" fillId="0" borderId="0" xfId="306" applyNumberFormat="1" applyFont="1" applyFill="1" applyProtection="1"/>
    <xf numFmtId="44" fontId="4" fillId="0" borderId="0" xfId="306" applyNumberFormat="1" applyFont="1" applyFill="1" applyBorder="1" applyProtection="1"/>
    <xf numFmtId="43" fontId="4" fillId="0" borderId="24" xfId="306" applyNumberFormat="1" applyFont="1" applyFill="1" applyBorder="1" applyProtection="1"/>
    <xf numFmtId="0" fontId="4" fillId="0" borderId="0" xfId="306" applyFont="1" applyFill="1" applyAlignment="1">
      <alignment horizontal="right"/>
    </xf>
    <xf numFmtId="43" fontId="4" fillId="0" borderId="23" xfId="306" applyNumberFormat="1" applyFont="1" applyFill="1" applyBorder="1" applyProtection="1"/>
    <xf numFmtId="43" fontId="4" fillId="0" borderId="0" xfId="306" applyNumberFormat="1" applyFont="1" applyFill="1" applyBorder="1"/>
    <xf numFmtId="10" fontId="4" fillId="0" borderId="0" xfId="306" applyNumberFormat="1" applyFont="1" applyFill="1" applyBorder="1"/>
    <xf numFmtId="0" fontId="4" fillId="0" borderId="0" xfId="306" applyFont="1" applyFill="1" applyAlignment="1">
      <alignment horizontal="left"/>
    </xf>
    <xf numFmtId="43" fontId="4" fillId="0" borderId="26" xfId="306" applyNumberFormat="1" applyFont="1" applyFill="1" applyBorder="1" applyProtection="1"/>
    <xf numFmtId="39" fontId="4" fillId="0" borderId="0" xfId="306" applyNumberFormat="1" applyFont="1" applyFill="1" applyBorder="1" applyProtection="1"/>
    <xf numFmtId="0" fontId="4" fillId="0" borderId="0" xfId="306" applyFont="1" applyFill="1" applyAlignment="1">
      <alignment horizontal="fill"/>
    </xf>
    <xf numFmtId="14" fontId="4" fillId="0" borderId="23" xfId="306" quotePrefix="1" applyNumberFormat="1" applyFont="1" applyFill="1" applyBorder="1" applyAlignment="1">
      <alignment horizontal="center"/>
    </xf>
    <xf numFmtId="14" fontId="4" fillId="0" borderId="23" xfId="306" applyNumberFormat="1" applyFont="1" applyFill="1" applyBorder="1" applyAlignment="1">
      <alignment horizontal="center"/>
    </xf>
    <xf numFmtId="0" fontId="4" fillId="0" borderId="23" xfId="306" applyFont="1" applyFill="1" applyBorder="1" applyAlignment="1">
      <alignment horizontal="center"/>
    </xf>
    <xf numFmtId="0" fontId="5" fillId="0" borderId="0" xfId="306" applyFont="1" applyFill="1" applyBorder="1" applyAlignment="1">
      <alignment horizontal="left"/>
    </xf>
    <xf numFmtId="166" fontId="4" fillId="0" borderId="0" xfId="306" quotePrefix="1" applyNumberFormat="1" applyFont="1" applyFill="1" applyAlignment="1" applyProtection="1">
      <alignment horizontal="left"/>
    </xf>
    <xf numFmtId="37" fontId="5" fillId="0" borderId="0" xfId="306" applyNumberFormat="1" applyFont="1" applyFill="1"/>
    <xf numFmtId="0" fontId="20" fillId="0" borderId="0" xfId="239" applyFont="1" applyFill="1"/>
    <xf numFmtId="43" fontId="20" fillId="0" borderId="0" xfId="239" applyNumberFormat="1" applyFont="1" applyFill="1"/>
    <xf numFmtId="0" fontId="4" fillId="0" borderId="0" xfId="239" applyFont="1" applyFill="1" applyAlignment="1">
      <alignment horizontal="left"/>
    </xf>
    <xf numFmtId="0" fontId="16" fillId="0" borderId="0" xfId="0" applyNumberFormat="1" applyFont="1" applyFill="1" applyBorder="1"/>
    <xf numFmtId="37" fontId="16" fillId="0" borderId="0" xfId="0" applyFont="1" applyFill="1" applyBorder="1"/>
    <xf numFmtId="0" fontId="4" fillId="0" borderId="0" xfId="0" applyNumberFormat="1" applyFont="1" applyFill="1" applyBorder="1"/>
    <xf numFmtId="0" fontId="4"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37" fontId="10" fillId="0" borderId="0" xfId="0" applyFont="1" applyFill="1" applyAlignment="1">
      <alignment horizontal="left"/>
    </xf>
    <xf numFmtId="43" fontId="4" fillId="0" borderId="0" xfId="0" applyNumberFormat="1" applyFont="1" applyFill="1" applyBorder="1" applyProtection="1"/>
    <xf numFmtId="37" fontId="5" fillId="0" borderId="27" xfId="0" applyFont="1" applyFill="1" applyBorder="1"/>
    <xf numFmtId="37" fontId="5" fillId="0" borderId="18" xfId="0" applyFont="1" applyFill="1" applyBorder="1"/>
    <xf numFmtId="164" fontId="5" fillId="0" borderId="18" xfId="0" applyNumberFormat="1" applyFont="1" applyFill="1" applyBorder="1"/>
    <xf numFmtId="37" fontId="5" fillId="0" borderId="28" xfId="0" applyFont="1" applyFill="1" applyBorder="1"/>
    <xf numFmtId="37" fontId="5" fillId="0" borderId="0" xfId="0" applyFont="1" applyFill="1" applyBorder="1"/>
    <xf numFmtId="37" fontId="4" fillId="0" borderId="0" xfId="0" applyFont="1" applyFill="1" applyBorder="1" applyAlignment="1">
      <alignment horizontal="left" indent="1"/>
    </xf>
    <xf numFmtId="0" fontId="120" fillId="0" borderId="0" xfId="281"/>
    <xf numFmtId="37" fontId="4" fillId="0" borderId="0" xfId="315" applyFont="1" applyFill="1"/>
    <xf numFmtId="0" fontId="12" fillId="0" borderId="0" xfId="215" applyFont="1" applyFill="1"/>
    <xf numFmtId="43" fontId="10" fillId="0" borderId="0" xfId="215" applyNumberFormat="1" applyFont="1" applyFill="1"/>
    <xf numFmtId="0" fontId="10" fillId="0" borderId="0" xfId="215" applyFont="1" applyFill="1"/>
    <xf numFmtId="43" fontId="10" fillId="0" borderId="0" xfId="215" quotePrefix="1" applyNumberFormat="1" applyFont="1" applyFill="1" applyAlignment="1">
      <alignment horizontal="center"/>
    </xf>
    <xf numFmtId="49" fontId="10" fillId="0" borderId="0" xfId="215" applyNumberFormat="1" applyFont="1" applyFill="1" applyAlignment="1">
      <alignment horizontal="center"/>
    </xf>
    <xf numFmtId="43" fontId="10" fillId="0" borderId="0" xfId="215" applyNumberFormat="1" applyFont="1" applyFill="1" applyAlignment="1">
      <alignment horizontal="center"/>
    </xf>
    <xf numFmtId="49" fontId="10" fillId="0" borderId="0" xfId="215" applyNumberFormat="1" applyFont="1" applyFill="1" applyAlignment="1">
      <alignment horizontal="left"/>
    </xf>
    <xf numFmtId="43" fontId="10" fillId="0" borderId="0" xfId="215" applyNumberFormat="1" applyFont="1" applyFill="1" applyAlignment="1">
      <alignment horizontal="right"/>
    </xf>
    <xf numFmtId="49" fontId="9" fillId="0" borderId="0" xfId="215" applyNumberFormat="1" applyFont="1" applyFill="1" applyAlignment="1">
      <alignment horizontal="left"/>
    </xf>
    <xf numFmtId="43" fontId="9" fillId="0" borderId="2" xfId="215" applyNumberFormat="1" applyFont="1" applyFill="1" applyBorder="1" applyAlignment="1">
      <alignment horizontal="right"/>
    </xf>
    <xf numFmtId="43" fontId="9" fillId="0" borderId="0" xfId="215" applyNumberFormat="1" applyFont="1" applyFill="1"/>
    <xf numFmtId="0" fontId="9" fillId="0" borderId="0" xfId="215" applyFont="1" applyFill="1"/>
    <xf numFmtId="43" fontId="10" fillId="0" borderId="29" xfId="215" applyNumberFormat="1" applyFont="1" applyFill="1" applyBorder="1" applyAlignment="1">
      <alignment horizontal="right"/>
    </xf>
    <xf numFmtId="43" fontId="120" fillId="0" borderId="0" xfId="281" applyNumberFormat="1" applyFill="1"/>
    <xf numFmtId="37" fontId="4" fillId="0" borderId="0" xfId="0" applyFont="1" applyAlignment="1">
      <alignment wrapText="1"/>
    </xf>
    <xf numFmtId="37" fontId="4" fillId="0" borderId="0" xfId="0" quotePrefix="1" applyFont="1" applyAlignment="1">
      <alignment wrapText="1"/>
    </xf>
    <xf numFmtId="164" fontId="4" fillId="0" borderId="0" xfId="0" applyNumberFormat="1" applyFont="1"/>
    <xf numFmtId="0" fontId="73" fillId="0" borderId="0" xfId="281" applyFont="1"/>
    <xf numFmtId="0" fontId="73" fillId="0" borderId="0" xfId="225" applyFont="1"/>
    <xf numFmtId="0" fontId="73" fillId="0" borderId="0" xfId="281" applyFont="1" applyFill="1"/>
    <xf numFmtId="43" fontId="73" fillId="0" borderId="0" xfId="225" applyNumberFormat="1" applyFont="1" applyFill="1"/>
    <xf numFmtId="0" fontId="73" fillId="0" borderId="0" xfId="225" applyFont="1" applyFill="1"/>
    <xf numFmtId="167" fontId="73" fillId="0" borderId="0" xfId="225" applyNumberFormat="1" applyFont="1" applyFill="1"/>
    <xf numFmtId="43" fontId="73" fillId="0" borderId="5" xfId="225" applyNumberFormat="1" applyFont="1" applyFill="1" applyBorder="1"/>
    <xf numFmtId="43" fontId="73" fillId="0" borderId="0" xfId="281" applyNumberFormat="1" applyFont="1" applyFill="1"/>
    <xf numFmtId="0" fontId="74" fillId="0" borderId="0" xfId="225" applyFont="1"/>
    <xf numFmtId="44" fontId="74" fillId="0" borderId="29" xfId="225" applyNumberFormat="1" applyFont="1" applyBorder="1"/>
    <xf numFmtId="0" fontId="4" fillId="0" borderId="0" xfId="239" applyFont="1" applyFill="1" applyBorder="1"/>
    <xf numFmtId="37" fontId="5" fillId="0" borderId="0" xfId="239" applyNumberFormat="1" applyFont="1" applyFill="1" applyBorder="1" applyAlignment="1" applyProtection="1">
      <alignment horizontal="center"/>
    </xf>
    <xf numFmtId="41" fontId="4" fillId="0" borderId="0" xfId="239" applyNumberFormat="1" applyFont="1" applyFill="1" applyBorder="1"/>
    <xf numFmtId="41" fontId="4" fillId="0" borderId="0" xfId="239" applyNumberFormat="1" applyFont="1" applyFill="1" applyBorder="1" applyProtection="1"/>
    <xf numFmtId="41" fontId="4" fillId="0" borderId="0" xfId="239" applyNumberFormat="1" applyFont="1" applyFill="1" applyBorder="1" applyAlignment="1">
      <alignment horizontal="center"/>
    </xf>
    <xf numFmtId="0" fontId="20" fillId="0" borderId="0" xfId="239" applyFont="1" applyFill="1" applyBorder="1" applyAlignment="1">
      <alignment horizontal="center"/>
    </xf>
    <xf numFmtId="0" fontId="20" fillId="0" borderId="0" xfId="239" applyFont="1" applyFill="1" applyBorder="1"/>
    <xf numFmtId="43" fontId="28" fillId="0" borderId="0" xfId="239" applyNumberFormat="1" applyFont="1" applyFill="1" applyAlignment="1">
      <alignment horizontal="center"/>
    </xf>
    <xf numFmtId="0" fontId="21" fillId="0" borderId="0" xfId="239" applyFont="1" applyFill="1" applyAlignment="1">
      <alignment horizontal="center"/>
    </xf>
    <xf numFmtId="42" fontId="4" fillId="0" borderId="0" xfId="239" applyNumberFormat="1" applyFont="1" applyFill="1"/>
    <xf numFmtId="42" fontId="4" fillId="0" borderId="24" xfId="239" applyNumberFormat="1" applyFont="1" applyFill="1" applyBorder="1" applyProtection="1"/>
    <xf numFmtId="42" fontId="4" fillId="0" borderId="0" xfId="239" applyNumberFormat="1" applyFont="1" applyFill="1" applyProtection="1"/>
    <xf numFmtId="0" fontId="73" fillId="0" borderId="0" xfId="281" applyFont="1" applyBorder="1"/>
    <xf numFmtId="0" fontId="73" fillId="0" borderId="0" xfId="225" applyFont="1" applyBorder="1"/>
    <xf numFmtId="0" fontId="73" fillId="0" borderId="0" xfId="225" applyFont="1" applyBorder="1" applyAlignment="1">
      <alignment horizontal="right"/>
    </xf>
    <xf numFmtId="0" fontId="73" fillId="0" borderId="0" xfId="225" applyFont="1" applyFill="1" applyBorder="1" applyAlignment="1">
      <alignment horizontal="right"/>
    </xf>
    <xf numFmtId="0" fontId="74" fillId="0" borderId="0" xfId="225" applyFont="1" applyBorder="1"/>
    <xf numFmtId="0" fontId="76" fillId="0" borderId="0" xfId="225" applyFont="1" applyAlignment="1">
      <alignment horizontal="center"/>
    </xf>
    <xf numFmtId="0" fontId="76" fillId="0" borderId="0" xfId="225" applyFont="1" applyBorder="1" applyAlignment="1">
      <alignment horizontal="center"/>
    </xf>
    <xf numFmtId="43" fontId="75" fillId="0" borderId="0" xfId="281" applyNumberFormat="1" applyFont="1"/>
    <xf numFmtId="0" fontId="75" fillId="0" borderId="0" xfId="225" applyFont="1" applyAlignment="1">
      <alignment horizontal="center"/>
    </xf>
    <xf numFmtId="43" fontId="76" fillId="0" borderId="0" xfId="225" applyNumberFormat="1" applyFont="1" applyAlignment="1">
      <alignment horizontal="center"/>
    </xf>
    <xf numFmtId="0" fontId="77" fillId="0" borderId="0" xfId="225" applyFont="1" applyAlignment="1">
      <alignment horizontal="center"/>
    </xf>
    <xf numFmtId="0" fontId="77" fillId="0" borderId="0" xfId="225" applyFont="1" applyBorder="1" applyAlignment="1">
      <alignment horizontal="center"/>
    </xf>
    <xf numFmtId="43" fontId="77" fillId="0" borderId="0" xfId="225" applyNumberFormat="1" applyFont="1" applyFill="1" applyAlignment="1">
      <alignment horizontal="center"/>
    </xf>
    <xf numFmtId="0" fontId="78" fillId="0" borderId="0" xfId="225" applyFont="1" applyFill="1" applyAlignment="1">
      <alignment horizontal="center"/>
    </xf>
    <xf numFmtId="0" fontId="21" fillId="0" borderId="0" xfId="239" applyFont="1" applyFill="1" applyBorder="1" applyAlignment="1">
      <alignment horizontal="center"/>
    </xf>
    <xf numFmtId="37" fontId="15" fillId="0" borderId="0" xfId="0" applyFont="1" applyFill="1" applyBorder="1" applyAlignment="1">
      <alignment horizontal="center"/>
    </xf>
    <xf numFmtId="0" fontId="22" fillId="0" borderId="0" xfId="0" applyNumberFormat="1" applyFont="1" applyFill="1" applyBorder="1" applyAlignment="1"/>
    <xf numFmtId="0" fontId="14" fillId="0" borderId="0" xfId="239" applyFont="1"/>
    <xf numFmtId="0" fontId="20" fillId="0" borderId="0" xfId="239" applyFont="1" applyAlignment="1">
      <alignment horizontal="center"/>
    </xf>
    <xf numFmtId="14" fontId="21" fillId="0" borderId="0" xfId="239" applyNumberFormat="1" applyFont="1" applyAlignment="1">
      <alignment horizontal="center"/>
    </xf>
    <xf numFmtId="0" fontId="21" fillId="0" borderId="0" xfId="239" applyFont="1" applyAlignment="1">
      <alignment horizontal="center"/>
    </xf>
    <xf numFmtId="0" fontId="29" fillId="0" borderId="0" xfId="239" applyFont="1" applyAlignment="1">
      <alignment horizontal="center"/>
    </xf>
    <xf numFmtId="0" fontId="4" fillId="0" borderId="0" xfId="306" applyNumberFormat="1" applyFont="1" applyFill="1"/>
    <xf numFmtId="0" fontId="4" fillId="0" borderId="0" xfId="306" applyNumberFormat="1" applyFont="1" applyFill="1" applyProtection="1"/>
    <xf numFmtId="37" fontId="2" fillId="0" borderId="0" xfId="0" applyFont="1" applyAlignment="1">
      <alignment horizontal="center"/>
    </xf>
    <xf numFmtId="37" fontId="33" fillId="0" borderId="0" xfId="0" applyFont="1"/>
    <xf numFmtId="171" fontId="0" fillId="0" borderId="0" xfId="78" applyNumberFormat="1" applyFont="1"/>
    <xf numFmtId="37" fontId="20" fillId="0" borderId="0" xfId="0" applyFont="1" applyFill="1" applyAlignment="1">
      <alignment horizontal="right" indent="1"/>
    </xf>
    <xf numFmtId="171" fontId="2" fillId="0" borderId="7" xfId="78" applyNumberFormat="1" applyFont="1" applyBorder="1"/>
    <xf numFmtId="37" fontId="20" fillId="0" borderId="0" xfId="0" applyFont="1" applyFill="1" applyAlignment="1">
      <alignment horizontal="right"/>
    </xf>
    <xf numFmtId="9" fontId="0" fillId="0" borderId="0" xfId="323" applyFont="1"/>
    <xf numFmtId="37" fontId="34" fillId="0" borderId="0" xfId="0" applyFont="1" applyFill="1" applyBorder="1"/>
    <xf numFmtId="37" fontId="35" fillId="0" borderId="0" xfId="0" applyFont="1" applyFill="1" applyBorder="1" applyAlignment="1">
      <alignment horizontal="center"/>
    </xf>
    <xf numFmtId="37" fontId="33" fillId="0" borderId="5" xfId="0" applyFont="1" applyBorder="1" applyAlignment="1">
      <alignment horizontal="center"/>
    </xf>
    <xf numFmtId="171" fontId="33" fillId="0" borderId="0" xfId="78" applyNumberFormat="1" applyFont="1"/>
    <xf numFmtId="37" fontId="34" fillId="0" borderId="0" xfId="0" applyFont="1" applyFill="1"/>
    <xf numFmtId="37" fontId="35" fillId="0" borderId="0" xfId="0" applyFont="1" applyFill="1" applyAlignment="1">
      <alignment horizontal="center"/>
    </xf>
    <xf numFmtId="0" fontId="81" fillId="0" borderId="0" xfId="318" applyFont="1" applyFill="1"/>
    <xf numFmtId="0" fontId="81" fillId="0" borderId="0" xfId="318" applyFont="1" applyFill="1" applyAlignment="1"/>
    <xf numFmtId="37" fontId="39" fillId="0" borderId="0" xfId="0" applyFont="1" applyFill="1"/>
    <xf numFmtId="0" fontId="7" fillId="0" borderId="0" xfId="318" applyFill="1" applyAlignment="1"/>
    <xf numFmtId="0" fontId="4" fillId="0" borderId="0" xfId="318" applyFont="1" applyFill="1" applyAlignment="1"/>
    <xf numFmtId="0" fontId="80" fillId="0" borderId="0" xfId="318" applyFont="1" applyFill="1" applyAlignment="1">
      <alignment wrapText="1"/>
    </xf>
    <xf numFmtId="14" fontId="120" fillId="0" borderId="0" xfId="281" applyNumberFormat="1"/>
    <xf numFmtId="171" fontId="33" fillId="0" borderId="0" xfId="78" applyNumberFormat="1" applyFont="1" applyFill="1"/>
    <xf numFmtId="41" fontId="82" fillId="0" borderId="0" xfId="0" applyNumberFormat="1" applyFont="1" applyFill="1"/>
    <xf numFmtId="171" fontId="7" fillId="0" borderId="0" xfId="78" applyNumberFormat="1" applyFont="1" applyFill="1"/>
    <xf numFmtId="0" fontId="80" fillId="0" borderId="0" xfId="306" applyFont="1" applyFill="1"/>
    <xf numFmtId="0" fontId="80" fillId="0" borderId="0" xfId="281" applyFont="1"/>
    <xf numFmtId="0" fontId="80" fillId="0" borderId="0" xfId="281" applyFont="1" applyBorder="1"/>
    <xf numFmtId="0" fontId="80" fillId="0" borderId="0" xfId="281" applyFont="1" applyFill="1"/>
    <xf numFmtId="0" fontId="5" fillId="0" borderId="0" xfId="281" applyFont="1" applyFill="1"/>
    <xf numFmtId="167" fontId="80" fillId="0" borderId="0" xfId="281" applyNumberFormat="1" applyFont="1"/>
    <xf numFmtId="172" fontId="80" fillId="0" borderId="0" xfId="281" applyNumberFormat="1" applyFont="1" applyBorder="1"/>
    <xf numFmtId="0" fontId="79" fillId="0" borderId="0" xfId="281" applyFont="1" applyBorder="1"/>
    <xf numFmtId="0" fontId="83" fillId="0" borderId="0" xfId="281" applyFont="1"/>
    <xf numFmtId="0" fontId="81" fillId="0" borderId="0" xfId="281" applyFont="1"/>
    <xf numFmtId="0" fontId="81" fillId="0" borderId="0" xfId="281" applyFont="1" applyBorder="1"/>
    <xf numFmtId="171" fontId="84" fillId="0" borderId="0" xfId="78" applyNumberFormat="1" applyFont="1" applyBorder="1" applyAlignment="1">
      <alignment vertical="center" wrapText="1"/>
    </xf>
    <xf numFmtId="2" fontId="81" fillId="0" borderId="0" xfId="281" applyNumberFormat="1" applyFont="1"/>
    <xf numFmtId="0" fontId="80" fillId="0" borderId="0" xfId="306" applyNumberFormat="1" applyFont="1" applyFill="1"/>
    <xf numFmtId="37" fontId="2" fillId="0" borderId="0" xfId="0" applyFont="1" applyFill="1" applyAlignment="1">
      <alignment horizontal="center"/>
    </xf>
    <xf numFmtId="171" fontId="0" fillId="0" borderId="0" xfId="78" applyNumberFormat="1" applyFont="1" applyFill="1"/>
    <xf numFmtId="171" fontId="2" fillId="0" borderId="7" xfId="78" applyNumberFormat="1" applyFont="1" applyFill="1" applyBorder="1"/>
    <xf numFmtId="37" fontId="33" fillId="0" borderId="0" xfId="0" applyFont="1" applyBorder="1" applyAlignment="1">
      <alignment horizontal="center"/>
    </xf>
    <xf numFmtId="0" fontId="121" fillId="0" borderId="0" xfId="194" applyFont="1"/>
    <xf numFmtId="0" fontId="121" fillId="0" borderId="0" xfId="194" applyFont="1" applyAlignment="1">
      <alignment horizontal="center"/>
    </xf>
    <xf numFmtId="0" fontId="121" fillId="0" borderId="5" xfId="194" applyFont="1" applyBorder="1"/>
    <xf numFmtId="0" fontId="121" fillId="0" borderId="5" xfId="194" applyFont="1" applyBorder="1" applyAlignment="1">
      <alignment horizontal="center"/>
    </xf>
    <xf numFmtId="0" fontId="121" fillId="0" borderId="0" xfId="194" applyFont="1" applyAlignment="1">
      <alignment horizontal="right"/>
    </xf>
    <xf numFmtId="4" fontId="121" fillId="0" borderId="0" xfId="194" applyNumberFormat="1" applyFont="1"/>
    <xf numFmtId="0" fontId="122" fillId="0" borderId="0" xfId="194" applyFont="1" applyBorder="1"/>
    <xf numFmtId="43" fontId="122" fillId="0" borderId="0" xfId="194" applyNumberFormat="1" applyFont="1" applyBorder="1"/>
    <xf numFmtId="43" fontId="121" fillId="0" borderId="0" xfId="194" applyNumberFormat="1" applyFont="1"/>
    <xf numFmtId="0" fontId="123" fillId="0" borderId="0" xfId="194" applyFont="1" applyBorder="1"/>
    <xf numFmtId="1" fontId="123" fillId="0" borderId="0" xfId="194" applyNumberFormat="1" applyFont="1" applyBorder="1"/>
    <xf numFmtId="0" fontId="121" fillId="0" borderId="0" xfId="194" applyFont="1" applyBorder="1"/>
    <xf numFmtId="0" fontId="121" fillId="0" borderId="0" xfId="194" applyFont="1" applyFill="1"/>
    <xf numFmtId="0" fontId="121" fillId="0" borderId="0" xfId="194" applyFont="1" applyFill="1" applyBorder="1"/>
    <xf numFmtId="0" fontId="121" fillId="0" borderId="0" xfId="194" applyFont="1" applyFill="1" applyBorder="1" applyAlignment="1">
      <alignment horizontal="center"/>
    </xf>
    <xf numFmtId="43" fontId="121" fillId="0" borderId="0" xfId="194" applyNumberFormat="1" applyFont="1" applyFill="1"/>
    <xf numFmtId="43" fontId="121" fillId="0" borderId="0" xfId="194" applyNumberFormat="1" applyFont="1" applyFill="1" applyBorder="1"/>
    <xf numFmtId="0" fontId="121" fillId="0" borderId="0" xfId="194" applyFont="1" applyFill="1" applyAlignment="1">
      <alignment horizontal="left" vertical="center" wrapText="1"/>
    </xf>
    <xf numFmtId="43" fontId="121" fillId="0" borderId="0" xfId="194" applyNumberFormat="1" applyFont="1" applyFill="1" applyAlignment="1">
      <alignment horizontal="left" vertical="center" wrapText="1"/>
    </xf>
    <xf numFmtId="43" fontId="80" fillId="0" borderId="0" xfId="281" applyNumberFormat="1" applyFont="1" applyBorder="1"/>
    <xf numFmtId="43" fontId="79" fillId="0" borderId="0" xfId="281" applyNumberFormat="1" applyFont="1" applyBorder="1"/>
    <xf numFmtId="43" fontId="120" fillId="0" borderId="0" xfId="281" applyNumberFormat="1"/>
    <xf numFmtId="43" fontId="120" fillId="0" borderId="0" xfId="281" applyNumberFormat="1" applyBorder="1"/>
    <xf numFmtId="43" fontId="120" fillId="0" borderId="2" xfId="281" applyNumberFormat="1" applyBorder="1"/>
    <xf numFmtId="0" fontId="121" fillId="0" borderId="0" xfId="318" applyFont="1" applyFill="1"/>
    <xf numFmtId="37" fontId="126" fillId="0" borderId="0" xfId="0" applyFont="1" applyFill="1"/>
    <xf numFmtId="37" fontId="121" fillId="0" borderId="0" xfId="0" applyFont="1" applyFill="1"/>
    <xf numFmtId="37" fontId="121" fillId="0" borderId="0" xfId="0" applyFont="1" applyFill="1" applyBorder="1"/>
    <xf numFmtId="37" fontId="121" fillId="0" borderId="0" xfId="0" applyNumberFormat="1" applyFont="1" applyFill="1" applyProtection="1"/>
    <xf numFmtId="37" fontId="121" fillId="0" borderId="0" xfId="0" applyNumberFormat="1" applyFont="1" applyFill="1" applyBorder="1" applyProtection="1"/>
    <xf numFmtId="0" fontId="126" fillId="0" borderId="0" xfId="318" applyFont="1" applyFill="1" applyAlignment="1">
      <alignment horizontal="right"/>
    </xf>
    <xf numFmtId="0" fontId="126" fillId="0" borderId="0" xfId="318" applyFont="1" applyFill="1"/>
    <xf numFmtId="37" fontId="126" fillId="0" borderId="0" xfId="0" applyFont="1" applyFill="1" applyAlignment="1">
      <alignment horizontal="center"/>
    </xf>
    <xf numFmtId="37" fontId="126" fillId="0" borderId="0" xfId="0" applyFont="1" applyFill="1" applyBorder="1" applyAlignment="1">
      <alignment horizontal="center"/>
    </xf>
    <xf numFmtId="37" fontId="127" fillId="0" borderId="0" xfId="0" applyFont="1" applyFill="1"/>
    <xf numFmtId="37" fontId="128" fillId="0" borderId="0" xfId="0" applyFont="1" applyFill="1" applyAlignment="1">
      <alignment horizontal="center"/>
    </xf>
    <xf numFmtId="37" fontId="128" fillId="0" borderId="0" xfId="0" applyFont="1" applyFill="1" applyBorder="1" applyAlignment="1">
      <alignment horizontal="center"/>
    </xf>
    <xf numFmtId="37" fontId="128" fillId="0" borderId="0" xfId="0" applyFont="1" applyFill="1"/>
    <xf numFmtId="37" fontId="128" fillId="0" borderId="0" xfId="0" applyNumberFormat="1" applyFont="1" applyFill="1" applyBorder="1" applyProtection="1"/>
    <xf numFmtId="37" fontId="128" fillId="0" borderId="0" xfId="0" applyFont="1" applyFill="1" applyBorder="1"/>
    <xf numFmtId="37" fontId="128" fillId="0" borderId="0" xfId="0" applyNumberFormat="1" applyFont="1" applyFill="1" applyAlignment="1" applyProtection="1">
      <alignment horizontal="center"/>
    </xf>
    <xf numFmtId="37" fontId="128" fillId="0" borderId="0" xfId="0" applyNumberFormat="1" applyFont="1" applyFill="1" applyBorder="1" applyAlignment="1" applyProtection="1">
      <alignment horizontal="center"/>
    </xf>
    <xf numFmtId="37" fontId="128" fillId="0" borderId="23" xfId="0" applyFont="1" applyFill="1" applyBorder="1" applyAlignment="1">
      <alignment horizontal="center"/>
    </xf>
    <xf numFmtId="37" fontId="128" fillId="0" borderId="23" xfId="0" applyNumberFormat="1" applyFont="1" applyFill="1" applyBorder="1" applyAlignment="1" applyProtection="1">
      <alignment horizontal="center"/>
    </xf>
    <xf numFmtId="37" fontId="125" fillId="0" borderId="0" xfId="0" applyFont="1" applyFill="1"/>
    <xf numFmtId="37" fontId="127" fillId="0" borderId="0" xfId="0" applyFont="1" applyFill="1" applyBorder="1"/>
    <xf numFmtId="37" fontId="127" fillId="0" borderId="0" xfId="0" applyNumberFormat="1" applyFont="1" applyFill="1" applyProtection="1"/>
    <xf numFmtId="37" fontId="127" fillId="0" borderId="0" xfId="0" applyNumberFormat="1" applyFont="1" applyFill="1" applyBorder="1" applyProtection="1"/>
    <xf numFmtId="37" fontId="127" fillId="0" borderId="0" xfId="0" applyFont="1" applyFill="1" applyAlignment="1">
      <alignment horizontal="left" indent="1"/>
    </xf>
    <xf numFmtId="41" fontId="127" fillId="0" borderId="0" xfId="0" applyNumberFormat="1" applyFont="1" applyFill="1"/>
    <xf numFmtId="37" fontId="125" fillId="0" borderId="0" xfId="0" applyNumberFormat="1" applyFont="1" applyFill="1" applyProtection="1"/>
    <xf numFmtId="41" fontId="127" fillId="0" borderId="0" xfId="0" applyNumberFormat="1" applyFont="1" applyFill="1" applyBorder="1"/>
    <xf numFmtId="0" fontId="129" fillId="0" borderId="0" xfId="318" applyFont="1" applyFill="1" applyAlignment="1">
      <alignment horizontal="center" vertical="top"/>
    </xf>
    <xf numFmtId="0" fontId="121" fillId="0" borderId="0" xfId="318" applyFont="1" applyFill="1" applyAlignment="1">
      <alignment wrapText="1"/>
    </xf>
    <xf numFmtId="43" fontId="121" fillId="0" borderId="0" xfId="318" applyNumberFormat="1" applyFont="1" applyFill="1"/>
    <xf numFmtId="0" fontId="126" fillId="0" borderId="0" xfId="318" applyFont="1" applyFill="1" applyAlignment="1">
      <alignment vertical="top"/>
    </xf>
    <xf numFmtId="0" fontId="128" fillId="0" borderId="0" xfId="318" applyFont="1" applyFill="1"/>
    <xf numFmtId="0" fontId="128" fillId="0" borderId="0" xfId="318" applyFont="1" applyFill="1" applyBorder="1"/>
    <xf numFmtId="0" fontId="128" fillId="0" borderId="0" xfId="318" applyFont="1" applyFill="1" applyAlignment="1">
      <alignment horizontal="center"/>
    </xf>
    <xf numFmtId="37" fontId="128" fillId="0" borderId="5" xfId="0" applyFont="1" applyFill="1" applyBorder="1" applyAlignment="1">
      <alignment horizontal="center"/>
    </xf>
    <xf numFmtId="0" fontId="121" fillId="0" borderId="0" xfId="318" applyFont="1"/>
    <xf numFmtId="0" fontId="129" fillId="0" borderId="0" xfId="318" applyFont="1" applyAlignment="1">
      <alignment horizontal="center" vertical="top"/>
    </xf>
    <xf numFmtId="0" fontId="129" fillId="0" borderId="0" xfId="318" applyFont="1" applyBorder="1" applyAlignment="1">
      <alignment horizontal="center" vertical="top"/>
    </xf>
    <xf numFmtId="0" fontId="121" fillId="0" borderId="0" xfId="318" applyFont="1" applyBorder="1" applyAlignment="1">
      <alignment wrapText="1"/>
    </xf>
    <xf numFmtId="0" fontId="121" fillId="0" borderId="0" xfId="318" applyFont="1" applyAlignment="1">
      <alignment wrapText="1"/>
    </xf>
    <xf numFmtId="49" fontId="121" fillId="0" borderId="0" xfId="318" applyNumberFormat="1" applyFont="1" applyFill="1" applyAlignment="1">
      <alignment horizontal="center"/>
    </xf>
    <xf numFmtId="49" fontId="121" fillId="0" borderId="0" xfId="318" applyNumberFormat="1" applyFont="1" applyAlignment="1">
      <alignment horizontal="center"/>
    </xf>
    <xf numFmtId="49" fontId="121" fillId="0" borderId="0" xfId="0" applyNumberFormat="1" applyFont="1" applyFill="1" applyAlignment="1"/>
    <xf numFmtId="49" fontId="121" fillId="0" borderId="0" xfId="318" applyNumberFormat="1" applyFont="1" applyFill="1" applyAlignment="1"/>
    <xf numFmtId="41" fontId="121" fillId="0" borderId="0" xfId="318" applyNumberFormat="1" applyFont="1" applyFill="1"/>
    <xf numFmtId="37" fontId="130" fillId="0" borderId="0" xfId="0" applyFont="1"/>
    <xf numFmtId="37" fontId="131" fillId="0" borderId="0" xfId="0" applyFont="1"/>
    <xf numFmtId="37" fontId="131" fillId="0" borderId="0" xfId="0" applyFont="1" applyAlignment="1">
      <alignment wrapText="1"/>
    </xf>
    <xf numFmtId="37" fontId="131" fillId="0" borderId="5" xfId="0" applyFont="1" applyBorder="1" applyAlignment="1">
      <alignment horizontal="center" wrapText="1"/>
    </xf>
    <xf numFmtId="37" fontId="131" fillId="0" borderId="0" xfId="0" applyNumberFormat="1" applyFont="1"/>
    <xf numFmtId="10" fontId="131" fillId="0" borderId="0" xfId="0" applyNumberFormat="1" applyFont="1"/>
    <xf numFmtId="37" fontId="5" fillId="0" borderId="0" xfId="239" applyNumberFormat="1" applyFont="1" applyAlignment="1"/>
    <xf numFmtId="0" fontId="5" fillId="0" borderId="0" xfId="239" applyFont="1" applyAlignment="1"/>
    <xf numFmtId="41" fontId="116" fillId="0" borderId="0" xfId="0" applyNumberFormat="1" applyFont="1" applyFill="1" applyProtection="1"/>
    <xf numFmtId="0" fontId="135" fillId="0" borderId="0" xfId="281" applyFont="1"/>
    <xf numFmtId="167" fontId="135" fillId="0" borderId="0" xfId="225" applyNumberFormat="1" applyFont="1" applyFill="1"/>
    <xf numFmtId="0" fontId="135" fillId="0" borderId="0" xfId="281" applyFont="1" applyFill="1"/>
    <xf numFmtId="0" fontId="135" fillId="0" borderId="0" xfId="281" applyFont="1" applyAlignment="1">
      <alignment horizontal="center"/>
    </xf>
    <xf numFmtId="43" fontId="73" fillId="0" borderId="0" xfId="225" applyNumberFormat="1" applyFont="1" applyFill="1" applyBorder="1"/>
    <xf numFmtId="0" fontId="73" fillId="0" borderId="0" xfId="281" applyFont="1" applyFill="1" applyBorder="1"/>
    <xf numFmtId="0" fontId="135" fillId="0" borderId="0" xfId="281" applyFont="1" applyBorder="1"/>
    <xf numFmtId="17" fontId="73" fillId="0" borderId="0" xfId="225" applyNumberFormat="1" applyFont="1" applyAlignment="1">
      <alignment horizontal="left"/>
    </xf>
    <xf numFmtId="0" fontId="135" fillId="0" borderId="0" xfId="281" applyFont="1" applyFill="1" applyBorder="1" applyAlignment="1">
      <alignment horizontal="center"/>
    </xf>
    <xf numFmtId="0" fontId="121" fillId="0" borderId="0" xfId="194" applyFont="1" applyBorder="1" applyAlignment="1">
      <alignment horizontal="center"/>
    </xf>
    <xf numFmtId="171" fontId="2" fillId="0" borderId="0" xfId="78" applyNumberFormat="1" applyFont="1" applyFill="1" applyBorder="1"/>
    <xf numFmtId="37" fontId="131" fillId="0" borderId="0" xfId="0" applyFont="1" applyAlignment="1">
      <alignment horizontal="left" indent="2"/>
    </xf>
    <xf numFmtId="37" fontId="0" fillId="0" borderId="0" xfId="0" applyBorder="1"/>
    <xf numFmtId="44" fontId="10" fillId="0" borderId="0" xfId="306" applyNumberFormat="1" applyFont="1" applyFill="1"/>
    <xf numFmtId="43" fontId="10" fillId="0" borderId="0" xfId="306" applyNumberFormat="1" applyFont="1" applyFill="1"/>
    <xf numFmtId="43" fontId="10" fillId="0" borderId="0" xfId="306" applyNumberFormat="1" applyFont="1" applyFill="1" applyBorder="1"/>
    <xf numFmtId="43" fontId="4" fillId="0" borderId="24" xfId="306" applyNumberFormat="1" applyFont="1" applyFill="1" applyBorder="1"/>
    <xf numFmtId="44" fontId="4" fillId="0" borderId="0" xfId="306" applyNumberFormat="1" applyFont="1" applyFill="1" applyProtection="1"/>
    <xf numFmtId="43" fontId="4" fillId="0" borderId="26" xfId="306" applyNumberFormat="1" applyFont="1" applyFill="1" applyBorder="1" applyAlignment="1">
      <alignment horizontal="fill"/>
    </xf>
    <xf numFmtId="43" fontId="4" fillId="0" borderId="0" xfId="306" applyNumberFormat="1" applyFont="1" applyFill="1" applyBorder="1" applyAlignment="1">
      <alignment horizontal="fill"/>
    </xf>
    <xf numFmtId="0" fontId="4" fillId="0" borderId="0" xfId="306" applyFont="1" applyFill="1" applyBorder="1" applyAlignment="1">
      <alignment horizontal="fill"/>
    </xf>
    <xf numFmtId="43" fontId="4" fillId="0" borderId="26" xfId="306" applyNumberFormat="1" applyFont="1" applyFill="1" applyBorder="1"/>
    <xf numFmtId="0" fontId="4" fillId="0" borderId="0" xfId="318" applyFont="1" applyFill="1" applyAlignment="1">
      <alignment vertical="top"/>
    </xf>
    <xf numFmtId="42" fontId="127" fillId="0" borderId="0" xfId="0" applyNumberFormat="1" applyFont="1" applyFill="1" applyProtection="1"/>
    <xf numFmtId="41" fontId="127" fillId="0" borderId="0" xfId="0" applyNumberFormat="1" applyFont="1" applyFill="1" applyBorder="1" applyProtection="1"/>
    <xf numFmtId="41" fontId="127" fillId="0" borderId="0" xfId="0" applyNumberFormat="1" applyFont="1" applyFill="1" applyProtection="1"/>
    <xf numFmtId="41" fontId="127" fillId="0" borderId="23" xfId="0" applyNumberFormat="1" applyFont="1" applyFill="1" applyBorder="1" applyProtection="1"/>
    <xf numFmtId="41" fontId="127" fillId="0" borderId="25" xfId="0" applyNumberFormat="1" applyFont="1" applyFill="1" applyBorder="1" applyProtection="1"/>
    <xf numFmtId="42" fontId="127" fillId="0" borderId="24" xfId="0" applyNumberFormat="1" applyFont="1" applyFill="1" applyBorder="1" applyProtection="1"/>
    <xf numFmtId="171" fontId="117" fillId="0" borderId="0" xfId="78" applyNumberFormat="1" applyFont="1" applyFill="1"/>
    <xf numFmtId="9" fontId="117" fillId="0" borderId="0" xfId="323" applyFont="1" applyFill="1"/>
    <xf numFmtId="0" fontId="121" fillId="0" borderId="0" xfId="318" applyFont="1" applyFill="1" applyAlignment="1">
      <alignment vertical="top"/>
    </xf>
    <xf numFmtId="41" fontId="127" fillId="0" borderId="47" xfId="0" applyNumberFormat="1" applyFont="1" applyFill="1" applyBorder="1" applyProtection="1"/>
    <xf numFmtId="171" fontId="36" fillId="0" borderId="7" xfId="78" applyNumberFormat="1" applyFont="1" applyFill="1" applyBorder="1"/>
    <xf numFmtId="49" fontId="128" fillId="0" borderId="0" xfId="318" applyNumberFormat="1" applyFont="1" applyFill="1" applyAlignment="1">
      <alignment horizontal="center" wrapText="1"/>
    </xf>
    <xf numFmtId="49" fontId="128" fillId="0" borderId="0" xfId="318" applyNumberFormat="1" applyFont="1" applyFill="1" applyBorder="1" applyAlignment="1">
      <alignment horizontal="center" wrapText="1"/>
    </xf>
    <xf numFmtId="49" fontId="128" fillId="0" borderId="0" xfId="0" applyNumberFormat="1" applyFont="1" applyFill="1" applyAlignment="1">
      <alignment horizontal="center"/>
    </xf>
    <xf numFmtId="49" fontId="128" fillId="0" borderId="0" xfId="0" applyNumberFormat="1" applyFont="1" applyFill="1" applyBorder="1" applyAlignment="1">
      <alignment horizontal="center"/>
    </xf>
    <xf numFmtId="49" fontId="128" fillId="0" borderId="23" xfId="0" applyNumberFormat="1" applyFont="1" applyFill="1" applyBorder="1" applyAlignment="1">
      <alignment horizontal="center"/>
    </xf>
    <xf numFmtId="49" fontId="128" fillId="0" borderId="0" xfId="0" applyNumberFormat="1" applyFont="1" applyFill="1" applyBorder="1" applyAlignment="1"/>
    <xf numFmtId="42" fontId="127" fillId="0" borderId="0" xfId="0" applyNumberFormat="1" applyFont="1" applyFill="1" applyBorder="1" applyProtection="1"/>
    <xf numFmtId="41" fontId="127" fillId="0" borderId="5" xfId="0" applyNumberFormat="1" applyFont="1" applyFill="1" applyBorder="1" applyProtection="1"/>
    <xf numFmtId="41" fontId="134" fillId="0" borderId="0" xfId="0" applyNumberFormat="1" applyFont="1" applyFill="1" applyBorder="1" applyProtection="1"/>
    <xf numFmtId="9" fontId="33" fillId="0" borderId="0" xfId="323" applyFont="1" applyFill="1"/>
    <xf numFmtId="43" fontId="7" fillId="0" borderId="0" xfId="318" applyNumberFormat="1" applyFill="1"/>
    <xf numFmtId="0" fontId="4" fillId="0" borderId="0" xfId="318" applyFont="1" applyFill="1"/>
    <xf numFmtId="0" fontId="27" fillId="0" borderId="0" xfId="318" applyFont="1" applyFill="1"/>
    <xf numFmtId="171" fontId="44" fillId="0" borderId="0" xfId="78" applyNumberFormat="1" applyFont="1" applyFill="1"/>
    <xf numFmtId="171" fontId="41" fillId="0" borderId="0" xfId="78" applyNumberFormat="1" applyFont="1" applyFill="1"/>
    <xf numFmtId="171" fontId="40" fillId="0" borderId="0" xfId="78" applyNumberFormat="1" applyFont="1" applyFill="1"/>
    <xf numFmtId="37" fontId="131" fillId="0" borderId="0" xfId="0" applyNumberFormat="1" applyFont="1" applyFill="1"/>
    <xf numFmtId="37" fontId="131" fillId="0" borderId="29" xfId="0" applyNumberFormat="1" applyFont="1" applyFill="1" applyBorder="1"/>
    <xf numFmtId="10" fontId="131" fillId="0" borderId="0" xfId="0" applyNumberFormat="1" applyFont="1" applyFill="1"/>
    <xf numFmtId="10" fontId="4" fillId="0" borderId="0" xfId="239" applyNumberFormat="1" applyFont="1" applyFill="1"/>
    <xf numFmtId="44" fontId="4" fillId="0" borderId="0" xfId="239" applyNumberFormat="1" applyFont="1" applyFill="1"/>
    <xf numFmtId="0" fontId="4" fillId="0" borderId="23" xfId="0" applyNumberFormat="1" applyFont="1" applyFill="1" applyBorder="1" applyProtection="1"/>
    <xf numFmtId="41" fontId="4" fillId="0" borderId="0" xfId="0" applyNumberFormat="1" applyFont="1" applyFill="1" applyBorder="1"/>
    <xf numFmtId="0" fontId="4" fillId="0" borderId="47" xfId="0" applyNumberFormat="1" applyFont="1" applyFill="1" applyBorder="1"/>
    <xf numFmtId="41" fontId="4" fillId="0" borderId="25" xfId="0" applyNumberFormat="1" applyFont="1" applyFill="1" applyBorder="1" applyProtection="1"/>
    <xf numFmtId="171" fontId="82" fillId="0" borderId="0" xfId="0" applyNumberFormat="1" applyFont="1" applyFill="1"/>
    <xf numFmtId="171" fontId="82" fillId="0" borderId="0" xfId="0" applyNumberFormat="1" applyFont="1" applyFill="1" applyProtection="1"/>
    <xf numFmtId="39" fontId="4" fillId="0" borderId="0" xfId="0" applyNumberFormat="1" applyFont="1" applyFill="1"/>
    <xf numFmtId="41" fontId="4" fillId="0" borderId="5" xfId="0" applyNumberFormat="1" applyFont="1" applyFill="1" applyBorder="1" applyProtection="1"/>
    <xf numFmtId="43" fontId="4" fillId="0" borderId="0" xfId="0" applyNumberFormat="1" applyFont="1" applyFill="1" applyAlignment="1">
      <alignment horizontal="center"/>
    </xf>
    <xf numFmtId="43" fontId="5" fillId="0" borderId="0" xfId="0" applyNumberFormat="1" applyFont="1" applyFill="1" applyAlignment="1">
      <alignment horizontal="center"/>
    </xf>
    <xf numFmtId="41" fontId="4" fillId="0" borderId="0" xfId="0" applyNumberFormat="1" applyFont="1" applyFill="1" applyBorder="1" applyAlignment="1">
      <alignment horizontal="center"/>
    </xf>
    <xf numFmtId="41" fontId="4" fillId="0" borderId="0" xfId="202" applyNumberFormat="1" applyFont="1" applyFill="1" applyBorder="1" applyProtection="1"/>
    <xf numFmtId="41" fontId="4" fillId="0" borderId="0" xfId="0" applyNumberFormat="1" applyFont="1" applyFill="1" applyAlignment="1"/>
    <xf numFmtId="37" fontId="5" fillId="0" borderId="0" xfId="221" applyNumberFormat="1" applyFont="1" applyFill="1" applyAlignment="1">
      <alignment horizontal="center"/>
    </xf>
    <xf numFmtId="37" fontId="0" fillId="0" borderId="0" xfId="0" applyFill="1" applyAlignment="1">
      <alignment wrapText="1"/>
    </xf>
    <xf numFmtId="37" fontId="5" fillId="0" borderId="0" xfId="0" applyFont="1" applyFill="1" applyAlignment="1">
      <alignment wrapText="1"/>
    </xf>
    <xf numFmtId="0" fontId="137" fillId="0" borderId="0" xfId="215" applyFont="1" applyFill="1"/>
    <xf numFmtId="41" fontId="14" fillId="0" borderId="0" xfId="0" applyNumberFormat="1" applyFont="1" applyFill="1" applyBorder="1" applyAlignment="1" applyProtection="1"/>
    <xf numFmtId="37" fontId="139" fillId="0" borderId="0" xfId="0" applyFont="1" applyFill="1"/>
    <xf numFmtId="0" fontId="4" fillId="0" borderId="0" xfId="194" applyFont="1" applyBorder="1"/>
    <xf numFmtId="2" fontId="4" fillId="0" borderId="0" xfId="194" applyNumberFormat="1" applyFont="1" applyBorder="1"/>
    <xf numFmtId="43" fontId="4" fillId="0" borderId="0" xfId="194" applyNumberFormat="1" applyFont="1" applyBorder="1"/>
    <xf numFmtId="171" fontId="123" fillId="0" borderId="0" xfId="101" applyNumberFormat="1" applyFont="1" applyBorder="1"/>
    <xf numFmtId="49" fontId="128" fillId="0" borderId="0" xfId="318" applyNumberFormat="1" applyFont="1" applyFill="1" applyAlignment="1"/>
    <xf numFmtId="49" fontId="128" fillId="0" borderId="0" xfId="318" applyNumberFormat="1" applyFont="1" applyFill="1" applyBorder="1" applyAlignment="1"/>
    <xf numFmtId="41" fontId="127" fillId="0" borderId="7" xfId="0" applyNumberFormat="1" applyFont="1" applyFill="1" applyBorder="1" applyProtection="1"/>
    <xf numFmtId="37" fontId="139" fillId="0" borderId="0" xfId="0" applyFont="1" applyFill="1" applyAlignment="1">
      <alignment horizontal="center"/>
    </xf>
    <xf numFmtId="41" fontId="20" fillId="0" borderId="0" xfId="0" applyNumberFormat="1" applyFont="1" applyFill="1"/>
    <xf numFmtId="37" fontId="14" fillId="0" borderId="0" xfId="0" applyFont="1" applyFill="1" applyAlignment="1">
      <alignment horizontal="center"/>
    </xf>
    <xf numFmtId="41" fontId="20" fillId="0" borderId="0" xfId="0" applyNumberFormat="1" applyFont="1" applyFill="1" applyProtection="1"/>
    <xf numFmtId="41" fontId="20" fillId="0" borderId="0" xfId="0" applyNumberFormat="1" applyFont="1" applyFill="1" applyAlignment="1">
      <alignment horizontal="center"/>
    </xf>
    <xf numFmtId="41" fontId="20" fillId="0" borderId="0" xfId="0" applyNumberFormat="1" applyFont="1" applyFill="1" applyAlignment="1" applyProtection="1">
      <alignment horizontal="center"/>
    </xf>
    <xf numFmtId="41" fontId="21" fillId="0" borderId="0" xfId="0" applyNumberFormat="1" applyFont="1" applyFill="1" applyAlignment="1">
      <alignment horizontal="center"/>
    </xf>
    <xf numFmtId="41" fontId="13" fillId="0" borderId="0" xfId="0" applyNumberFormat="1" applyFont="1" applyFill="1" applyBorder="1" applyProtection="1"/>
    <xf numFmtId="41" fontId="13" fillId="0" borderId="0" xfId="0" applyNumberFormat="1" applyFont="1" applyFill="1" applyProtection="1"/>
    <xf numFmtId="42" fontId="14" fillId="0" borderId="0" xfId="0" applyNumberFormat="1" applyFont="1" applyFill="1" applyProtection="1"/>
    <xf numFmtId="41" fontId="14" fillId="0" borderId="0" xfId="0" applyNumberFormat="1" applyFont="1" applyFill="1" applyBorder="1" applyProtection="1"/>
    <xf numFmtId="41" fontId="14" fillId="0" borderId="23" xfId="0" applyNumberFormat="1" applyFont="1" applyFill="1" applyBorder="1" applyProtection="1"/>
    <xf numFmtId="41" fontId="14" fillId="0" borderId="0" xfId="0" applyNumberFormat="1" applyFont="1" applyFill="1" applyAlignment="1" applyProtection="1">
      <alignment horizontal="center"/>
    </xf>
    <xf numFmtId="41" fontId="14" fillId="0" borderId="47" xfId="0" applyNumberFormat="1" applyFont="1" applyFill="1" applyBorder="1" applyAlignment="1" applyProtection="1"/>
    <xf numFmtId="41" fontId="14" fillId="0" borderId="26" xfId="0" applyNumberFormat="1" applyFont="1" applyFill="1" applyBorder="1" applyProtection="1"/>
    <xf numFmtId="42" fontId="14" fillId="0" borderId="24" xfId="0" applyNumberFormat="1" applyFont="1" applyFill="1" applyBorder="1" applyProtection="1"/>
    <xf numFmtId="41" fontId="141" fillId="0" borderId="0" xfId="0" applyNumberFormat="1" applyFont="1" applyFill="1" applyProtection="1"/>
    <xf numFmtId="0" fontId="121" fillId="0" borderId="0" xfId="318" applyFont="1" applyFill="1" applyAlignment="1">
      <alignment vertical="top" wrapText="1"/>
    </xf>
    <xf numFmtId="0" fontId="121" fillId="0" borderId="0" xfId="318" applyFont="1" applyFill="1" applyAlignment="1">
      <alignment horizontal="center"/>
    </xf>
    <xf numFmtId="41" fontId="134" fillId="0" borderId="0" xfId="0" applyNumberFormat="1" applyFont="1" applyFill="1" applyProtection="1"/>
    <xf numFmtId="0" fontId="139" fillId="0" borderId="0" xfId="281" applyFont="1"/>
    <xf numFmtId="0" fontId="73" fillId="0" borderId="0" xfId="225" applyFont="1" applyFill="1" applyBorder="1"/>
    <xf numFmtId="41" fontId="141" fillId="0" borderId="0" xfId="0" applyNumberFormat="1" applyFont="1" applyFill="1"/>
    <xf numFmtId="0" fontId="121" fillId="0" borderId="0" xfId="318" applyFont="1" applyFill="1" applyAlignment="1">
      <alignment horizontal="center" vertical="center"/>
    </xf>
    <xf numFmtId="43" fontId="142" fillId="0" borderId="0" xfId="281" applyNumberFormat="1" applyFont="1"/>
    <xf numFmtId="43" fontId="7" fillId="0" borderId="0" xfId="78" applyFont="1" applyFill="1"/>
    <xf numFmtId="171" fontId="42" fillId="0" borderId="0" xfId="78" applyNumberFormat="1" applyFont="1" applyFill="1"/>
    <xf numFmtId="0" fontId="139" fillId="0" borderId="0" xfId="318" applyFont="1" applyFill="1"/>
    <xf numFmtId="171" fontId="48" fillId="0" borderId="0" xfId="78" applyNumberFormat="1" applyFont="1" applyFill="1"/>
    <xf numFmtId="10" fontId="4" fillId="0" borderId="0" xfId="0" applyNumberFormat="1" applyFont="1" applyFill="1" applyAlignment="1">
      <alignment horizontal="center"/>
    </xf>
    <xf numFmtId="10" fontId="4" fillId="0" borderId="0" xfId="0" applyNumberFormat="1" applyFont="1" applyFill="1"/>
    <xf numFmtId="9" fontId="4" fillId="0" borderId="0" xfId="0" applyNumberFormat="1" applyFont="1" applyFill="1"/>
    <xf numFmtId="170" fontId="125" fillId="0" borderId="0" xfId="323" applyNumberFormat="1" applyFont="1" applyFill="1" applyBorder="1" applyAlignment="1">
      <alignment wrapText="1"/>
    </xf>
    <xf numFmtId="37" fontId="5" fillId="0" borderId="0" xfId="0" applyFont="1" applyFill="1" applyBorder="1" applyAlignment="1"/>
    <xf numFmtId="43" fontId="73" fillId="0" borderId="0" xfId="78" applyFont="1" applyFill="1"/>
    <xf numFmtId="43" fontId="73" fillId="0" borderId="0" xfId="78" applyFont="1" applyFill="1" applyAlignment="1">
      <alignment horizontal="right"/>
    </xf>
    <xf numFmtId="43" fontId="73" fillId="0" borderId="0" xfId="78" applyFont="1" applyFill="1" applyBorder="1" applyAlignment="1">
      <alignment horizontal="right"/>
    </xf>
    <xf numFmtId="43" fontId="74" fillId="0" borderId="44" xfId="78" applyFont="1" applyBorder="1"/>
    <xf numFmtId="37" fontId="144" fillId="0" borderId="0" xfId="0" applyFont="1"/>
    <xf numFmtId="0" fontId="139" fillId="0" borderId="0" xfId="225" applyFont="1" applyFill="1"/>
    <xf numFmtId="43" fontId="121" fillId="0" borderId="0" xfId="194" applyNumberFormat="1" applyFont="1" applyBorder="1"/>
    <xf numFmtId="0" fontId="121" fillId="0" borderId="0" xfId="194" quotePrefix="1" applyFont="1" applyFill="1"/>
    <xf numFmtId="0" fontId="5" fillId="0" borderId="0" xfId="318" applyFont="1" applyFill="1" applyAlignment="1">
      <alignment vertical="top"/>
    </xf>
    <xf numFmtId="172" fontId="4" fillId="0" borderId="0" xfId="281" applyNumberFormat="1" applyFont="1" applyFill="1"/>
    <xf numFmtId="177" fontId="121" fillId="0" borderId="0" xfId="194" applyNumberFormat="1" applyFont="1" applyBorder="1" applyAlignment="1">
      <alignment horizontal="left"/>
    </xf>
    <xf numFmtId="43" fontId="121" fillId="0" borderId="0" xfId="101" applyFont="1" applyBorder="1"/>
    <xf numFmtId="0" fontId="121" fillId="0" borderId="0" xfId="194" applyFont="1" applyBorder="1" applyAlignment="1">
      <alignment horizontal="right"/>
    </xf>
    <xf numFmtId="14" fontId="121" fillId="0" borderId="0" xfId="194" applyNumberFormat="1" applyFont="1" applyBorder="1"/>
    <xf numFmtId="39" fontId="0" fillId="0" borderId="0" xfId="0" applyNumberFormat="1" applyBorder="1"/>
    <xf numFmtId="43" fontId="0" fillId="0" borderId="0" xfId="101" applyFont="1" applyBorder="1"/>
    <xf numFmtId="0" fontId="145" fillId="0" borderId="0" xfId="306" applyFont="1" applyFill="1"/>
    <xf numFmtId="37" fontId="26" fillId="0" borderId="0" xfId="0" applyFont="1" applyFill="1" applyAlignment="1"/>
    <xf numFmtId="171" fontId="7" fillId="0" borderId="0" xfId="78" applyNumberFormat="1" applyFont="1" applyFill="1" applyBorder="1"/>
    <xf numFmtId="0" fontId="7" fillId="0" borderId="0" xfId="318" applyFill="1" applyBorder="1"/>
    <xf numFmtId="171" fontId="7" fillId="0" borderId="0" xfId="318" applyNumberFormat="1" applyFill="1" applyBorder="1"/>
    <xf numFmtId="171" fontId="139" fillId="0" borderId="0" xfId="78" applyNumberFormat="1" applyFont="1" applyFill="1" applyBorder="1"/>
    <xf numFmtId="0" fontId="5" fillId="0" borderId="0" xfId="318" applyFont="1" applyFill="1"/>
    <xf numFmtId="0" fontId="5" fillId="0" borderId="0" xfId="318" applyFont="1" applyFill="1" applyAlignment="1"/>
    <xf numFmtId="0" fontId="4" fillId="0" borderId="0" xfId="318" applyFont="1" applyFill="1" applyAlignment="1">
      <alignment horizontal="justify" vertical="top"/>
    </xf>
    <xf numFmtId="37" fontId="0" fillId="0" borderId="0" xfId="0" applyFill="1"/>
    <xf numFmtId="37" fontId="126" fillId="0" borderId="0" xfId="0" applyFont="1" applyFill="1" applyAlignment="1">
      <alignment horizontal="center"/>
    </xf>
    <xf numFmtId="0" fontId="121" fillId="0" borderId="0" xfId="318" applyFont="1" applyFill="1" applyAlignment="1">
      <alignment horizontal="left" vertical="top"/>
    </xf>
    <xf numFmtId="0" fontId="139" fillId="0" borderId="0" xfId="318" applyFont="1" applyFill="1" applyAlignment="1">
      <alignment vertical="top"/>
    </xf>
    <xf numFmtId="37" fontId="139" fillId="0" borderId="0" xfId="0" applyFont="1" applyFill="1" applyAlignment="1">
      <alignment horizontal="right"/>
    </xf>
    <xf numFmtId="39" fontId="139" fillId="0" borderId="0" xfId="0" applyNumberFormat="1" applyFont="1" applyFill="1"/>
    <xf numFmtId="171" fontId="4" fillId="0" borderId="0" xfId="78" applyNumberFormat="1" applyFont="1" applyFill="1" applyBorder="1" applyAlignment="1"/>
    <xf numFmtId="43" fontId="146" fillId="0" borderId="0" xfId="215" applyNumberFormat="1" applyFont="1" applyFill="1"/>
    <xf numFmtId="0" fontId="146" fillId="0" borderId="0" xfId="215" applyFont="1" applyFill="1"/>
    <xf numFmtId="0" fontId="142" fillId="0" borderId="0" xfId="281" applyFont="1"/>
    <xf numFmtId="0" fontId="4" fillId="0" borderId="0" xfId="318" applyFont="1" applyFill="1" applyBorder="1"/>
    <xf numFmtId="0" fontId="5" fillId="0" borderId="0" xfId="318" applyFont="1" applyFill="1" applyBorder="1"/>
    <xf numFmtId="0" fontId="5" fillId="0" borderId="29" xfId="318" applyFont="1" applyFill="1" applyBorder="1"/>
    <xf numFmtId="43" fontId="5" fillId="0" borderId="29" xfId="318" applyNumberFormat="1" applyFont="1" applyFill="1" applyBorder="1"/>
    <xf numFmtId="171" fontId="4" fillId="0" borderId="0" xfId="78" applyNumberFormat="1" applyFont="1" applyFill="1" applyBorder="1"/>
    <xf numFmtId="0" fontId="147" fillId="0" borderId="0" xfId="306" applyFont="1" applyFill="1" applyAlignment="1">
      <alignment horizontal="center"/>
    </xf>
    <xf numFmtId="0" fontId="4" fillId="0" borderId="0" xfId="0" applyNumberFormat="1" applyFont="1" applyFill="1" applyAlignment="1">
      <alignment vertical="top" wrapText="1"/>
    </xf>
    <xf numFmtId="10" fontId="5" fillId="0" borderId="48" xfId="0" applyNumberFormat="1" applyFont="1" applyFill="1" applyBorder="1" applyAlignment="1">
      <alignment horizontal="center"/>
    </xf>
    <xf numFmtId="37" fontId="15" fillId="0" borderId="0" xfId="0" applyFont="1" applyFill="1"/>
    <xf numFmtId="41" fontId="14" fillId="0" borderId="5" xfId="0" applyNumberFormat="1" applyFont="1" applyFill="1" applyBorder="1" applyProtection="1"/>
    <xf numFmtId="10" fontId="121" fillId="0" borderId="0" xfId="194" applyNumberFormat="1" applyFont="1"/>
    <xf numFmtId="44" fontId="4" fillId="0" borderId="0" xfId="306" applyNumberFormat="1" applyFont="1" applyFill="1"/>
    <xf numFmtId="171" fontId="4" fillId="0" borderId="0" xfId="239" applyNumberFormat="1" applyFont="1" applyFill="1" applyAlignment="1">
      <alignment horizontal="center"/>
    </xf>
    <xf numFmtId="37" fontId="5" fillId="0" borderId="0" xfId="0" applyFont="1" applyFill="1" applyAlignment="1">
      <alignment horizontal="center"/>
    </xf>
    <xf numFmtId="37" fontId="5" fillId="0" borderId="0" xfId="0" applyFont="1" applyFill="1" applyBorder="1" applyAlignment="1">
      <alignment horizontal="center"/>
    </xf>
    <xf numFmtId="0" fontId="5" fillId="0" borderId="0" xfId="239" applyFont="1" applyFill="1" applyAlignment="1">
      <alignment horizontal="center"/>
    </xf>
    <xf numFmtId="171" fontId="132" fillId="0" borderId="0" xfId="78" applyNumberFormat="1" applyFont="1" applyFill="1"/>
    <xf numFmtId="171" fontId="0" fillId="0" borderId="5" xfId="78" applyNumberFormat="1" applyFont="1" applyBorder="1"/>
    <xf numFmtId="43" fontId="5" fillId="0" borderId="0" xfId="318" applyNumberFormat="1" applyFont="1" applyFill="1" applyBorder="1"/>
    <xf numFmtId="43" fontId="4" fillId="0" borderId="0" xfId="318" applyNumberFormat="1" applyFont="1" applyFill="1" applyBorder="1"/>
    <xf numFmtId="4" fontId="121" fillId="0" borderId="0" xfId="318" applyNumberFormat="1" applyFont="1" applyFill="1" applyBorder="1"/>
    <xf numFmtId="43" fontId="121" fillId="0" borderId="0" xfId="318" applyNumberFormat="1" applyFont="1" applyFill="1" applyBorder="1"/>
    <xf numFmtId="171" fontId="126" fillId="0" borderId="0" xfId="318" applyNumberFormat="1" applyFont="1" applyFill="1" applyBorder="1"/>
    <xf numFmtId="44" fontId="10" fillId="0" borderId="24" xfId="306" applyNumberFormat="1" applyFont="1" applyFill="1" applyBorder="1"/>
    <xf numFmtId="41" fontId="10" fillId="0" borderId="0" xfId="239" applyNumberFormat="1" applyFont="1" applyFill="1"/>
    <xf numFmtId="41" fontId="5" fillId="0" borderId="0" xfId="239" applyNumberFormat="1" applyFont="1" applyFill="1" applyAlignment="1">
      <alignment horizontal="center"/>
    </xf>
    <xf numFmtId="41" fontId="5" fillId="0" borderId="0" xfId="239" applyNumberFormat="1" applyFont="1" applyFill="1" applyBorder="1" applyAlignment="1">
      <alignment horizontal="right"/>
    </xf>
    <xf numFmtId="0" fontId="5" fillId="0" borderId="0" xfId="239" applyFont="1" applyFill="1" applyBorder="1" applyAlignment="1">
      <alignment horizontal="right"/>
    </xf>
    <xf numFmtId="43" fontId="4" fillId="0" borderId="0" xfId="78" applyNumberFormat="1" applyFont="1" applyFill="1"/>
    <xf numFmtId="39" fontId="0" fillId="0" borderId="0" xfId="0" applyNumberFormat="1"/>
    <xf numFmtId="3" fontId="121" fillId="0" borderId="0" xfId="318" applyNumberFormat="1" applyFont="1" applyFill="1"/>
    <xf numFmtId="43" fontId="126" fillId="0" borderId="44" xfId="78" applyFont="1" applyFill="1" applyBorder="1"/>
    <xf numFmtId="41" fontId="148" fillId="0" borderId="0" xfId="0" applyNumberFormat="1" applyFont="1" applyFill="1" applyBorder="1"/>
    <xf numFmtId="37" fontId="5" fillId="0" borderId="0" xfId="239" applyNumberFormat="1" applyFont="1" applyFill="1" applyAlignment="1"/>
    <xf numFmtId="0" fontId="24" fillId="38" borderId="0" xfId="422" applyNumberFormat="1" applyFill="1"/>
    <xf numFmtId="0" fontId="150" fillId="38" borderId="0" xfId="422" applyNumberFormat="1" applyFont="1" applyFill="1"/>
    <xf numFmtId="0" fontId="150" fillId="38" borderId="17" xfId="422" applyNumberFormat="1" applyFont="1" applyFill="1" applyBorder="1"/>
    <xf numFmtId="0" fontId="150" fillId="0" borderId="33" xfId="422" applyNumberFormat="1" applyFont="1" applyFill="1" applyBorder="1"/>
    <xf numFmtId="0" fontId="150" fillId="0" borderId="0" xfId="422" applyNumberFormat="1" applyFont="1" applyFill="1" applyAlignment="1">
      <alignment horizontal="center"/>
    </xf>
    <xf numFmtId="0" fontId="150" fillId="0" borderId="0" xfId="422" applyNumberFormat="1" applyFont="1" applyFill="1"/>
    <xf numFmtId="0" fontId="152" fillId="37" borderId="45" xfId="426" applyNumberFormat="1" applyFont="1" applyBorder="1" applyAlignment="1">
      <alignment horizontal="centerContinuous"/>
    </xf>
    <xf numFmtId="0" fontId="153" fillId="37" borderId="6" xfId="426" applyNumberFormat="1" applyFont="1" applyBorder="1" applyAlignment="1">
      <alignment horizontal="centerContinuous"/>
    </xf>
    <xf numFmtId="0" fontId="153" fillId="37" borderId="6" xfId="426" applyNumberFormat="1" applyFont="1" applyBorder="1" applyAlignment="1">
      <alignment horizontal="left"/>
    </xf>
    <xf numFmtId="0" fontId="24" fillId="22" borderId="0" xfId="422" applyNumberFormat="1"/>
    <xf numFmtId="0" fontId="24" fillId="22" borderId="33" xfId="422" applyNumberFormat="1" applyBorder="1"/>
    <xf numFmtId="0" fontId="4" fillId="22" borderId="52" xfId="422" applyNumberFormat="1" applyFont="1" applyBorder="1"/>
    <xf numFmtId="0" fontId="4" fillId="22" borderId="0" xfId="422" applyNumberFormat="1" applyFont="1"/>
    <xf numFmtId="0" fontId="155" fillId="22" borderId="0" xfId="422" applyNumberFormat="1" applyFont="1" applyAlignment="1">
      <alignment horizontal="center"/>
    </xf>
    <xf numFmtId="0" fontId="24" fillId="22" borderId="0" xfId="422" applyNumberFormat="1" applyAlignment="1">
      <alignment horizontal="center"/>
    </xf>
    <xf numFmtId="0" fontId="153" fillId="37" borderId="53" xfId="426" applyNumberFormat="1" applyFont="1" applyBorder="1" applyAlignment="1">
      <alignment horizontal="left"/>
    </xf>
    <xf numFmtId="0" fontId="24" fillId="39" borderId="0" xfId="422" applyNumberFormat="1" applyFill="1" applyBorder="1"/>
    <xf numFmtId="0" fontId="4" fillId="22" borderId="33" xfId="422" applyNumberFormat="1" applyFont="1" applyBorder="1"/>
    <xf numFmtId="0" fontId="156" fillId="40" borderId="0" xfId="422" applyNumberFormat="1" applyFont="1" applyFill="1" applyAlignment="1">
      <alignment horizontal="center"/>
    </xf>
    <xf numFmtId="0" fontId="157" fillId="38" borderId="0" xfId="422" applyNumberFormat="1" applyFont="1" applyFill="1"/>
    <xf numFmtId="0" fontId="158" fillId="22" borderId="39" xfId="422" applyNumberFormat="1" applyFont="1" applyBorder="1" applyAlignment="1">
      <alignment horizontal="right"/>
    </xf>
    <xf numFmtId="41" fontId="4" fillId="0" borderId="30" xfId="425" applyFont="1" applyFill="1" applyBorder="1">
      <alignment horizontal="left"/>
    </xf>
    <xf numFmtId="0" fontId="158" fillId="22" borderId="33" xfId="422" applyNumberFormat="1" applyFont="1" applyBorder="1"/>
    <xf numFmtId="0" fontId="158" fillId="22" borderId="0" xfId="422" applyNumberFormat="1" applyFont="1"/>
    <xf numFmtId="0" fontId="159" fillId="40" borderId="0" xfId="422" applyNumberFormat="1" applyFont="1" applyFill="1" applyAlignment="1">
      <alignment horizontal="center"/>
    </xf>
    <xf numFmtId="41" fontId="24" fillId="38" borderId="0" xfId="422" applyNumberFormat="1" applyFill="1"/>
    <xf numFmtId="0" fontId="10" fillId="22" borderId="0" xfId="422" applyNumberFormat="1" applyFont="1"/>
    <xf numFmtId="0" fontId="158" fillId="22" borderId="31" xfId="422" applyNumberFormat="1" applyFont="1" applyBorder="1"/>
    <xf numFmtId="0" fontId="156" fillId="40" borderId="5" xfId="422" applyNumberFormat="1" applyFont="1" applyFill="1" applyBorder="1"/>
    <xf numFmtId="0" fontId="159" fillId="40" borderId="5" xfId="422" applyNumberFormat="1" applyFont="1" applyFill="1" applyBorder="1" applyAlignment="1">
      <alignment horizontal="center"/>
    </xf>
    <xf numFmtId="0" fontId="159" fillId="40" borderId="5" xfId="422" applyNumberFormat="1" applyFont="1" applyFill="1" applyBorder="1"/>
    <xf numFmtId="0" fontId="158" fillId="22" borderId="0" xfId="422" applyNumberFormat="1" applyFont="1" applyAlignment="1">
      <alignment horizontal="right"/>
    </xf>
    <xf numFmtId="41" fontId="158" fillId="22" borderId="0" xfId="422" applyNumberFormat="1" applyFont="1"/>
    <xf numFmtId="0" fontId="161" fillId="22" borderId="33" xfId="422" applyNumberFormat="1" applyFont="1" applyBorder="1" applyAlignment="1">
      <alignment horizontal="center"/>
    </xf>
    <xf numFmtId="2" fontId="24" fillId="22" borderId="33" xfId="422" applyNumberFormat="1" applyBorder="1" applyAlignment="1">
      <alignment horizontal="center"/>
    </xf>
    <xf numFmtId="178" fontId="24" fillId="22" borderId="0" xfId="422" applyNumberFormat="1" applyBorder="1"/>
    <xf numFmtId="10" fontId="160" fillId="22" borderId="0" xfId="422" applyNumberFormat="1" applyFont="1" applyBorder="1"/>
    <xf numFmtId="41" fontId="24" fillId="22" borderId="32" xfId="422" applyNumberFormat="1" applyBorder="1"/>
    <xf numFmtId="41" fontId="24" fillId="22" borderId="33" xfId="422" applyNumberFormat="1" applyBorder="1"/>
    <xf numFmtId="41" fontId="24" fillId="22" borderId="0" xfId="422" applyNumberFormat="1" applyBorder="1"/>
    <xf numFmtId="0" fontId="158" fillId="22" borderId="39" xfId="422" applyNumberFormat="1" applyFont="1" applyBorder="1" applyAlignment="1">
      <alignment horizontal="center"/>
    </xf>
    <xf numFmtId="0" fontId="24" fillId="22" borderId="33" xfId="422" applyNumberFormat="1" applyBorder="1" applyAlignment="1">
      <alignment horizontal="center"/>
    </xf>
    <xf numFmtId="0" fontId="24" fillId="22" borderId="31" xfId="422" applyNumberFormat="1" applyBorder="1" applyAlignment="1">
      <alignment horizontal="center"/>
    </xf>
    <xf numFmtId="0" fontId="159" fillId="22" borderId="39" xfId="422" applyNumberFormat="1" applyFont="1" applyBorder="1" applyAlignment="1">
      <alignment horizontal="right"/>
    </xf>
    <xf numFmtId="178" fontId="161" fillId="22" borderId="0" xfId="422" applyNumberFormat="1" applyFont="1" applyBorder="1"/>
    <xf numFmtId="0" fontId="158" fillId="22" borderId="40" xfId="422" applyNumberFormat="1" applyFont="1" applyBorder="1" applyAlignment="1">
      <alignment horizontal="right"/>
    </xf>
    <xf numFmtId="178" fontId="24" fillId="22" borderId="5" xfId="422" applyNumberFormat="1" applyBorder="1"/>
    <xf numFmtId="41" fontId="4" fillId="22" borderId="0" xfId="422" applyNumberFormat="1" applyFont="1"/>
    <xf numFmtId="0" fontId="158" fillId="22" borderId="54" xfId="422" applyNumberFormat="1" applyFont="1" applyBorder="1" applyAlignment="1">
      <alignment horizontal="right"/>
    </xf>
    <xf numFmtId="10" fontId="158" fillId="22" borderId="0" xfId="422" applyNumberFormat="1" applyFont="1" applyAlignment="1">
      <alignment horizontal="right"/>
    </xf>
    <xf numFmtId="41" fontId="4" fillId="32" borderId="0" xfId="425" applyFont="1" applyAlignment="1">
      <alignment horizontal="right"/>
    </xf>
    <xf numFmtId="0" fontId="24" fillId="22" borderId="0" xfId="422" applyNumberFormat="1" applyAlignment="1">
      <alignment horizontal="right"/>
    </xf>
    <xf numFmtId="0" fontId="24" fillId="22" borderId="55" xfId="422" applyNumberFormat="1" applyBorder="1" applyAlignment="1">
      <alignment horizontal="center"/>
    </xf>
    <xf numFmtId="2" fontId="24" fillId="22" borderId="55" xfId="422" applyNumberFormat="1" applyBorder="1" applyAlignment="1">
      <alignment horizontal="center"/>
    </xf>
    <xf numFmtId="178" fontId="24" fillId="22" borderId="56" xfId="422" applyNumberFormat="1" applyBorder="1"/>
    <xf numFmtId="10" fontId="160" fillId="22" borderId="56" xfId="422" applyNumberFormat="1" applyFont="1" applyBorder="1"/>
    <xf numFmtId="41" fontId="24" fillId="22" borderId="57" xfId="422" applyNumberFormat="1" applyBorder="1"/>
    <xf numFmtId="41" fontId="24" fillId="22" borderId="55" xfId="422" applyNumberFormat="1" applyBorder="1"/>
    <xf numFmtId="41" fontId="24" fillId="22" borderId="56" xfId="422" applyNumberFormat="1" applyBorder="1"/>
    <xf numFmtId="0" fontId="156" fillId="40" borderId="55" xfId="422" applyNumberFormat="1" applyFont="1" applyFill="1" applyBorder="1" applyAlignment="1">
      <alignment horizontal="left"/>
    </xf>
    <xf numFmtId="0" fontId="24" fillId="22" borderId="56" xfId="422" applyNumberFormat="1" applyBorder="1"/>
    <xf numFmtId="0" fontId="24" fillId="22" borderId="57" xfId="422" applyNumberFormat="1" applyBorder="1"/>
    <xf numFmtId="0" fontId="158" fillId="22" borderId="0" xfId="422" applyNumberFormat="1" applyFont="1" applyBorder="1" applyAlignment="1">
      <alignment horizontal="right"/>
    </xf>
    <xf numFmtId="41" fontId="158" fillId="22" borderId="0" xfId="422" applyNumberFormat="1" applyFont="1" applyBorder="1"/>
    <xf numFmtId="0" fontId="162" fillId="22" borderId="0" xfId="422" applyNumberFormat="1" applyFont="1" applyBorder="1" applyAlignment="1">
      <alignment horizontal="left"/>
    </xf>
    <xf numFmtId="41" fontId="158" fillId="22" borderId="32" xfId="422" applyNumberFormat="1" applyFont="1" applyBorder="1"/>
    <xf numFmtId="0" fontId="151" fillId="38" borderId="0" xfId="422" applyNumberFormat="1" applyFont="1" applyFill="1"/>
    <xf numFmtId="0" fontId="159" fillId="22" borderId="0" xfId="422" applyNumberFormat="1" applyFont="1" applyBorder="1" applyAlignment="1">
      <alignment horizontal="right"/>
    </xf>
    <xf numFmtId="41" fontId="159" fillId="22" borderId="44" xfId="422" applyNumberFormat="1" applyFont="1" applyBorder="1"/>
    <xf numFmtId="0" fontId="24" fillId="22" borderId="0" xfId="422" applyNumberFormat="1" applyBorder="1"/>
    <xf numFmtId="41" fontId="159" fillId="22" borderId="59" xfId="422" applyNumberFormat="1" applyFont="1" applyBorder="1"/>
    <xf numFmtId="0" fontId="24" fillId="22" borderId="31" xfId="422" applyNumberFormat="1" applyBorder="1"/>
    <xf numFmtId="0" fontId="24" fillId="22" borderId="5" xfId="422" applyNumberFormat="1" applyBorder="1"/>
    <xf numFmtId="0" fontId="24" fillId="22" borderId="30" xfId="422" applyNumberFormat="1" applyBorder="1"/>
    <xf numFmtId="0" fontId="4" fillId="22" borderId="0" xfId="422" applyNumberFormat="1" applyFont="1" applyBorder="1"/>
    <xf numFmtId="0" fontId="156" fillId="40" borderId="0" xfId="422" applyNumberFormat="1" applyFont="1" applyFill="1" applyBorder="1" applyAlignment="1">
      <alignment horizontal="right"/>
    </xf>
    <xf numFmtId="0" fontId="156" fillId="32" borderId="0" xfId="422" applyNumberFormat="1" applyFont="1" applyFill="1" applyBorder="1" applyAlignment="1">
      <alignment horizontal="centerContinuous"/>
    </xf>
    <xf numFmtId="0" fontId="163" fillId="22" borderId="0" xfId="422" applyNumberFormat="1" applyFont="1" applyAlignment="1">
      <alignment horizontal="right"/>
    </xf>
    <xf numFmtId="41" fontId="163" fillId="22" borderId="0" xfId="422" applyNumberFormat="1" applyFont="1" applyAlignment="1">
      <alignment horizontal="center"/>
    </xf>
    <xf numFmtId="0" fontId="163" fillId="22" borderId="0" xfId="422" applyNumberFormat="1" applyFont="1" applyAlignment="1">
      <alignment horizontal="center"/>
    </xf>
    <xf numFmtId="37" fontId="24" fillId="22" borderId="0" xfId="422" applyNumberFormat="1"/>
    <xf numFmtId="39" fontId="24" fillId="22" borderId="0" xfId="422" applyNumberFormat="1"/>
    <xf numFmtId="178" fontId="24" fillId="22" borderId="0" xfId="422" applyNumberFormat="1"/>
    <xf numFmtId="10" fontId="158" fillId="22" borderId="0" xfId="422" applyNumberFormat="1" applyFont="1" applyAlignment="1">
      <alignment horizontal="center"/>
    </xf>
    <xf numFmtId="41" fontId="158" fillId="22" borderId="0" xfId="422" applyNumberFormat="1" applyFont="1" applyBorder="1" applyProtection="1">
      <protection locked="0"/>
    </xf>
    <xf numFmtId="41" fontId="158" fillId="22" borderId="5" xfId="422" applyNumberFormat="1" applyFont="1" applyBorder="1" applyProtection="1">
      <protection locked="0"/>
    </xf>
    <xf numFmtId="9" fontId="158" fillId="22" borderId="0" xfId="422" applyNumberFormat="1" applyFont="1" applyAlignment="1">
      <alignment horizontal="center"/>
    </xf>
    <xf numFmtId="41" fontId="158" fillId="22" borderId="60" xfId="422" applyNumberFormat="1" applyFont="1" applyBorder="1"/>
    <xf numFmtId="0" fontId="4" fillId="22" borderId="0" xfId="422" applyNumberFormat="1" applyFont="1" applyAlignment="1">
      <alignment horizontal="right"/>
    </xf>
    <xf numFmtId="10" fontId="158" fillId="22" borderId="60" xfId="422" applyNumberFormat="1" applyFont="1" applyBorder="1" applyAlignment="1">
      <alignment horizontal="center"/>
    </xf>
    <xf numFmtId="0" fontId="159" fillId="22" borderId="0" xfId="422" applyNumberFormat="1" applyFont="1" applyAlignment="1">
      <alignment horizontal="center"/>
    </xf>
    <xf numFmtId="0" fontId="164" fillId="22" borderId="0" xfId="422" applyNumberFormat="1" applyFont="1"/>
    <xf numFmtId="0" fontId="159" fillId="22" borderId="0" xfId="422" applyNumberFormat="1" applyFont="1"/>
    <xf numFmtId="0" fontId="164" fillId="22" borderId="0" xfId="422" applyNumberFormat="1" applyFont="1" applyAlignment="1">
      <alignment horizontal="right"/>
    </xf>
    <xf numFmtId="10" fontId="158" fillId="22" borderId="0" xfId="422" applyNumberFormat="1" applyFont="1"/>
    <xf numFmtId="10" fontId="24" fillId="38" borderId="0" xfId="422" applyNumberFormat="1" applyFill="1"/>
    <xf numFmtId="0" fontId="158" fillId="22" borderId="0" xfId="422" quotePrefix="1" applyNumberFormat="1" applyFont="1" applyAlignment="1">
      <alignment horizontal="left"/>
    </xf>
    <xf numFmtId="179" fontId="24" fillId="22" borderId="0" xfId="422" applyNumberFormat="1"/>
    <xf numFmtId="0" fontId="165" fillId="22" borderId="0" xfId="422" applyNumberFormat="1" applyFont="1"/>
    <xf numFmtId="39" fontId="158" fillId="22" borderId="0" xfId="422" applyNumberFormat="1" applyFont="1"/>
    <xf numFmtId="0" fontId="24" fillId="22" borderId="39" xfId="422" applyNumberFormat="1" applyBorder="1"/>
    <xf numFmtId="0" fontId="166" fillId="22" borderId="0" xfId="422" applyNumberFormat="1" applyFont="1"/>
    <xf numFmtId="0" fontId="24" fillId="22" borderId="55" xfId="422" applyNumberFormat="1" applyBorder="1" applyAlignment="1">
      <alignment horizontal="centerContinuous"/>
    </xf>
    <xf numFmtId="0" fontId="24" fillId="22" borderId="57" xfId="422" applyNumberFormat="1" applyBorder="1" applyAlignment="1">
      <alignment horizontal="centerContinuous"/>
    </xf>
    <xf numFmtId="10" fontId="10" fillId="32" borderId="0" xfId="424"/>
    <xf numFmtId="0" fontId="159" fillId="22" borderId="5" xfId="422" applyNumberFormat="1" applyFont="1" applyBorder="1" applyAlignment="1">
      <alignment horizontal="right"/>
    </xf>
    <xf numFmtId="0" fontId="159" fillId="22" borderId="5" xfId="422" applyNumberFormat="1" applyFont="1" applyBorder="1" applyAlignment="1">
      <alignment horizontal="center"/>
    </xf>
    <xf numFmtId="0" fontId="24" fillId="22" borderId="33" xfId="422" applyNumberFormat="1" applyBorder="1" applyAlignment="1">
      <alignment horizontal="centerContinuous"/>
    </xf>
    <xf numFmtId="0" fontId="24" fillId="22" borderId="32" xfId="422" applyNumberFormat="1" applyBorder="1" applyAlignment="1">
      <alignment horizontal="centerContinuous"/>
    </xf>
    <xf numFmtId="0" fontId="24" fillId="22" borderId="32" xfId="422" applyNumberFormat="1" applyBorder="1"/>
    <xf numFmtId="0" fontId="73" fillId="22" borderId="0" xfId="422" applyNumberFormat="1" applyFont="1"/>
    <xf numFmtId="164" fontId="158" fillId="22" borderId="0" xfId="422" applyNumberFormat="1" applyFont="1"/>
    <xf numFmtId="171" fontId="158" fillId="22" borderId="0" xfId="422" applyNumberFormat="1" applyFont="1" applyBorder="1" applyProtection="1">
      <protection locked="0"/>
    </xf>
    <xf numFmtId="0" fontId="24" fillId="22" borderId="32" xfId="422" applyNumberFormat="1" applyBorder="1" applyAlignment="1">
      <alignment horizontal="center"/>
    </xf>
    <xf numFmtId="0" fontId="24" fillId="22" borderId="0" xfId="422" quotePrefix="1" applyNumberFormat="1" applyBorder="1" applyAlignment="1">
      <alignment horizontal="right"/>
    </xf>
    <xf numFmtId="10" fontId="24" fillId="22" borderId="32" xfId="422" applyNumberFormat="1" applyBorder="1"/>
    <xf numFmtId="10" fontId="24" fillId="22" borderId="0" xfId="422" applyNumberFormat="1" applyAlignment="1">
      <alignment horizontal="center"/>
    </xf>
    <xf numFmtId="0" fontId="24" fillId="22" borderId="0" xfId="422" applyNumberFormat="1" applyFont="1" applyBorder="1"/>
    <xf numFmtId="10" fontId="24" fillId="22" borderId="32" xfId="422" applyNumberFormat="1" applyBorder="1" applyAlignment="1">
      <alignment horizontal="right"/>
    </xf>
    <xf numFmtId="41" fontId="24" fillId="22" borderId="0" xfId="422" applyNumberFormat="1"/>
    <xf numFmtId="0" fontId="24" fillId="22" borderId="30" xfId="422" applyNumberFormat="1" applyBorder="1" applyAlignment="1">
      <alignment horizontal="center"/>
    </xf>
    <xf numFmtId="164" fontId="158" fillId="22" borderId="60" xfId="422" applyNumberFormat="1" applyFont="1" applyBorder="1"/>
    <xf numFmtId="0" fontId="24" fillId="22" borderId="0" xfId="422" applyNumberFormat="1" applyBorder="1" applyAlignment="1">
      <alignment horizontal="center"/>
    </xf>
    <xf numFmtId="164" fontId="158" fillId="22" borderId="0" xfId="422" applyNumberFormat="1" applyFont="1" applyBorder="1"/>
    <xf numFmtId="39" fontId="24" fillId="22" borderId="55" xfId="422" applyNumberFormat="1" applyFont="1" applyBorder="1" applyAlignment="1">
      <alignment horizontal="center"/>
    </xf>
    <xf numFmtId="0" fontId="24" fillId="22" borderId="56" xfId="422" quotePrefix="1" applyNumberFormat="1" applyFont="1" applyBorder="1" applyAlignment="1">
      <alignment horizontal="left"/>
    </xf>
    <xf numFmtId="0" fontId="158" fillId="22" borderId="0" xfId="422" applyNumberFormat="1" applyFont="1" applyBorder="1"/>
    <xf numFmtId="10" fontId="158" fillId="22" borderId="0" xfId="422" applyNumberFormat="1" applyFont="1" applyBorder="1"/>
    <xf numFmtId="0" fontId="24" fillId="22" borderId="33" xfId="422" applyNumberFormat="1" applyFont="1" applyBorder="1" applyAlignment="1">
      <alignment horizontal="center"/>
    </xf>
    <xf numFmtId="0" fontId="24" fillId="22" borderId="0" xfId="422" quotePrefix="1" applyNumberFormat="1" applyFont="1" applyBorder="1" applyAlignment="1">
      <alignment horizontal="left"/>
    </xf>
    <xf numFmtId="0" fontId="167" fillId="38" borderId="0" xfId="422" applyNumberFormat="1" applyFont="1" applyFill="1"/>
    <xf numFmtId="2" fontId="167" fillId="38" borderId="0" xfId="422" applyNumberFormat="1" applyFont="1" applyFill="1"/>
    <xf numFmtId="10" fontId="24" fillId="22" borderId="31" xfId="422" applyNumberFormat="1" applyFont="1" applyBorder="1" applyAlignment="1">
      <alignment horizontal="center"/>
    </xf>
    <xf numFmtId="0" fontId="24" fillId="22" borderId="5" xfId="422" applyNumberFormat="1" applyFont="1" applyBorder="1"/>
    <xf numFmtId="0" fontId="168" fillId="22" borderId="30" xfId="422" applyNumberFormat="1" applyFont="1" applyBorder="1"/>
    <xf numFmtId="0" fontId="168" fillId="38" borderId="0" xfId="422" applyNumberFormat="1" applyFont="1" applyFill="1"/>
    <xf numFmtId="180" fontId="24" fillId="22" borderId="0" xfId="422" applyNumberFormat="1"/>
    <xf numFmtId="0" fontId="151" fillId="22" borderId="0" xfId="422" applyNumberFormat="1" applyFont="1" applyBorder="1" applyAlignment="1">
      <alignment horizontal="centerContinuous"/>
    </xf>
    <xf numFmtId="0" fontId="24" fillId="22" borderId="0" xfId="422" applyNumberFormat="1" applyAlignment="1">
      <alignment horizontal="centerContinuous"/>
    </xf>
    <xf numFmtId="0" fontId="24" fillId="38" borderId="0" xfId="422" applyNumberFormat="1" applyFill="1" applyAlignment="1">
      <alignment horizontal="right"/>
    </xf>
    <xf numFmtId="0" fontId="24" fillId="22" borderId="55" xfId="422" applyNumberFormat="1" applyBorder="1"/>
    <xf numFmtId="0" fontId="169" fillId="22" borderId="56" xfId="422" applyNumberFormat="1" applyFont="1" applyBorder="1" applyAlignment="1">
      <alignment horizontal="center"/>
    </xf>
    <xf numFmtId="0" fontId="169" fillId="22" borderId="57" xfId="422" applyNumberFormat="1" applyFont="1" applyBorder="1" applyAlignment="1">
      <alignment horizontal="center"/>
    </xf>
    <xf numFmtId="0" fontId="24" fillId="22" borderId="55" xfId="422" applyNumberFormat="1" applyBorder="1" applyAlignment="1">
      <alignment horizontal="left"/>
    </xf>
    <xf numFmtId="181" fontId="170" fillId="22" borderId="56" xfId="422" applyNumberFormat="1" applyFont="1" applyBorder="1" applyAlignment="1">
      <alignment horizontal="center"/>
    </xf>
    <xf numFmtId="0" fontId="24" fillId="22" borderId="56" xfId="422" applyNumberFormat="1" applyBorder="1" applyAlignment="1">
      <alignment horizontal="left"/>
    </xf>
    <xf numFmtId="181" fontId="170" fillId="22" borderId="57" xfId="422" applyNumberFormat="1" applyFont="1" applyBorder="1" applyAlignment="1">
      <alignment horizontal="center"/>
    </xf>
    <xf numFmtId="10" fontId="24" fillId="22" borderId="0" xfId="422" applyNumberFormat="1" applyBorder="1"/>
    <xf numFmtId="0" fontId="24" fillId="22" borderId="33" xfId="422" applyNumberFormat="1" applyBorder="1" applyAlignment="1">
      <alignment horizontal="left"/>
    </xf>
    <xf numFmtId="181" fontId="170" fillId="22" borderId="0" xfId="422" applyNumberFormat="1" applyFont="1" applyBorder="1" applyAlignment="1">
      <alignment horizontal="center"/>
    </xf>
    <xf numFmtId="0" fontId="24" fillId="22" borderId="0" xfId="422" applyNumberFormat="1" applyBorder="1" applyAlignment="1">
      <alignment horizontal="left"/>
    </xf>
    <xf numFmtId="181" fontId="170" fillId="22" borderId="32" xfId="422" applyNumberFormat="1" applyFont="1" applyBorder="1" applyAlignment="1">
      <alignment horizontal="center"/>
    </xf>
    <xf numFmtId="0" fontId="171" fillId="22" borderId="0" xfId="422" applyNumberFormat="1" applyFont="1" applyBorder="1" applyAlignment="1">
      <alignment horizontal="centerContinuous"/>
    </xf>
    <xf numFmtId="181" fontId="24" fillId="22" borderId="32" xfId="422" applyNumberFormat="1" applyBorder="1" applyAlignment="1">
      <alignment horizontal="center"/>
    </xf>
    <xf numFmtId="0" fontId="168" fillId="38" borderId="0" xfId="422" applyNumberFormat="1" applyFont="1" applyFill="1" applyAlignment="1">
      <alignment horizontal="fill"/>
    </xf>
    <xf numFmtId="10" fontId="24" fillId="22" borderId="5" xfId="422" applyNumberFormat="1" applyBorder="1"/>
    <xf numFmtId="10" fontId="14" fillId="32" borderId="0" xfId="424" applyFont="1" applyBorder="1"/>
    <xf numFmtId="164" fontId="14" fillId="32" borderId="32" xfId="424" applyNumberFormat="1" applyFont="1" applyBorder="1"/>
    <xf numFmtId="0" fontId="24" fillId="22" borderId="5" xfId="422" applyNumberFormat="1" applyBorder="1" applyAlignment="1">
      <alignment horizontal="right"/>
    </xf>
    <xf numFmtId="181" fontId="170" fillId="22" borderId="5" xfId="422" applyNumberFormat="1" applyFont="1" applyBorder="1" applyAlignment="1">
      <alignment horizontal="left"/>
    </xf>
    <xf numFmtId="181" fontId="24" fillId="22" borderId="30" xfId="422" applyNumberFormat="1" applyBorder="1" applyAlignment="1">
      <alignment horizontal="center"/>
    </xf>
    <xf numFmtId="10" fontId="14" fillId="32" borderId="5" xfId="424" applyFont="1" applyBorder="1"/>
    <xf numFmtId="10" fontId="14" fillId="32" borderId="30" xfId="424" applyFont="1" applyBorder="1"/>
    <xf numFmtId="181" fontId="24" fillId="22" borderId="0" xfId="422" applyNumberFormat="1"/>
    <xf numFmtId="0" fontId="172" fillId="22" borderId="56" xfId="422" applyNumberFormat="1" applyFont="1" applyBorder="1"/>
    <xf numFmtId="0" fontId="172" fillId="22" borderId="33" xfId="422" applyNumberFormat="1" applyFont="1" applyBorder="1"/>
    <xf numFmtId="0" fontId="172" fillId="22" borderId="0" xfId="422" applyNumberFormat="1" applyFont="1" applyBorder="1"/>
    <xf numFmtId="0" fontId="172" fillId="22" borderId="32" xfId="422" applyNumberFormat="1" applyFont="1" applyBorder="1"/>
    <xf numFmtId="0" fontId="24" fillId="32" borderId="0" xfId="422" applyNumberFormat="1" applyFill="1"/>
    <xf numFmtId="0" fontId="173" fillId="22" borderId="0" xfId="422" applyNumberFormat="1" applyFont="1" applyBorder="1"/>
    <xf numFmtId="0" fontId="10" fillId="22" borderId="0" xfId="422" applyNumberFormat="1" applyFont="1" applyBorder="1"/>
    <xf numFmtId="10" fontId="14" fillId="32" borderId="32" xfId="424" applyFont="1" applyBorder="1"/>
    <xf numFmtId="39" fontId="24" fillId="22" borderId="5" xfId="422" applyNumberFormat="1" applyBorder="1"/>
    <xf numFmtId="179" fontId="24" fillId="22" borderId="5" xfId="422" applyNumberFormat="1" applyBorder="1"/>
    <xf numFmtId="178" fontId="24" fillId="22" borderId="30" xfId="422" applyNumberFormat="1" applyBorder="1"/>
    <xf numFmtId="41" fontId="158" fillId="22" borderId="21" xfId="422" applyNumberFormat="1" applyFont="1" applyBorder="1"/>
    <xf numFmtId="164" fontId="4" fillId="0" borderId="61" xfId="424" applyNumberFormat="1" applyFont="1" applyFill="1" applyBorder="1"/>
    <xf numFmtId="41" fontId="24" fillId="22" borderId="62" xfId="422" applyNumberFormat="1" applyBorder="1"/>
    <xf numFmtId="41" fontId="24" fillId="22" borderId="63" xfId="422" applyNumberFormat="1" applyBorder="1"/>
    <xf numFmtId="41" fontId="24" fillId="22" borderId="64" xfId="422" applyNumberFormat="1" applyBorder="1"/>
    <xf numFmtId="10" fontId="160" fillId="22" borderId="63" xfId="422" applyNumberFormat="1" applyFont="1" applyBorder="1"/>
    <xf numFmtId="178" fontId="24" fillId="22" borderId="63" xfId="422" applyNumberFormat="1" applyBorder="1"/>
    <xf numFmtId="2" fontId="24" fillId="22" borderId="64" xfId="422" applyNumberFormat="1" applyBorder="1" applyAlignment="1">
      <alignment horizontal="center"/>
    </xf>
    <xf numFmtId="0" fontId="24" fillId="22" borderId="64" xfId="422" applyNumberFormat="1" applyBorder="1" applyAlignment="1">
      <alignment horizontal="center"/>
    </xf>
    <xf numFmtId="5" fontId="158" fillId="22" borderId="65" xfId="422" applyNumberFormat="1" applyFont="1" applyBorder="1"/>
    <xf numFmtId="41" fontId="158" fillId="22" borderId="65" xfId="422" applyNumberFormat="1" applyFont="1" applyBorder="1"/>
    <xf numFmtId="10" fontId="4" fillId="0" borderId="61" xfId="424" applyFont="1" applyFill="1" applyBorder="1"/>
    <xf numFmtId="0" fontId="158" fillId="22" borderId="66" xfId="422" applyNumberFormat="1" applyFont="1" applyBorder="1" applyAlignment="1">
      <alignment horizontal="center"/>
    </xf>
    <xf numFmtId="41" fontId="4" fillId="0" borderId="61" xfId="425" applyFont="1" applyFill="1" applyBorder="1">
      <alignment horizontal="left"/>
    </xf>
    <xf numFmtId="0" fontId="153" fillId="37" borderId="67" xfId="426" applyNumberFormat="1" applyFont="1" applyBorder="1" applyAlignment="1">
      <alignment horizontal="left"/>
    </xf>
    <xf numFmtId="0" fontId="24" fillId="22" borderId="68" xfId="422" applyNumberFormat="1" applyBorder="1" applyAlignment="1">
      <alignment horizontal="centerContinuous"/>
    </xf>
    <xf numFmtId="0" fontId="154" fillId="22" borderId="68" xfId="422" applyNumberFormat="1" applyFont="1" applyBorder="1" applyAlignment="1">
      <alignment horizontal="centerContinuous"/>
    </xf>
    <xf numFmtId="0" fontId="154" fillId="22" borderId="67" xfId="422" applyNumberFormat="1" applyFont="1" applyBorder="1" applyAlignment="1">
      <alignment horizontal="centerContinuous"/>
    </xf>
    <xf numFmtId="0" fontId="145" fillId="0" borderId="0" xfId="239" applyFont="1" applyFill="1"/>
    <xf numFmtId="43" fontId="146" fillId="0" borderId="0" xfId="215" applyNumberFormat="1" applyFont="1" applyFill="1" applyBorder="1"/>
    <xf numFmtId="0" fontId="4" fillId="0" borderId="0" xfId="239" applyFont="1" applyFill="1" applyAlignment="1">
      <alignment horizontal="right"/>
    </xf>
    <xf numFmtId="0" fontId="10" fillId="0" borderId="0" xfId="215" quotePrefix="1" applyNumberFormat="1" applyFont="1" applyFill="1" applyAlignment="1">
      <alignment horizontal="center"/>
    </xf>
    <xf numFmtId="182" fontId="10" fillId="0" borderId="0" xfId="215" applyNumberFormat="1" applyFont="1" applyFill="1"/>
    <xf numFmtId="0" fontId="175" fillId="0" borderId="0" xfId="0" applyNumberFormat="1" applyFont="1" applyFill="1" applyBorder="1" applyProtection="1"/>
    <xf numFmtId="39" fontId="4" fillId="0" borderId="0" xfId="0" applyNumberFormat="1" applyFont="1" applyFill="1" applyAlignment="1">
      <alignment horizontal="center"/>
    </xf>
    <xf numFmtId="183" fontId="4" fillId="0" borderId="24" xfId="0" applyNumberFormat="1" applyFont="1" applyFill="1" applyBorder="1" applyProtection="1"/>
    <xf numFmtId="184" fontId="4" fillId="0" borderId="0" xfId="0" applyNumberFormat="1" applyFont="1" applyFill="1"/>
    <xf numFmtId="39" fontId="4" fillId="0" borderId="2" xfId="0" applyNumberFormat="1" applyFont="1" applyFill="1" applyBorder="1"/>
    <xf numFmtId="0" fontId="4" fillId="0" borderId="0" xfId="0" applyNumberFormat="1" applyFont="1" applyFill="1" applyBorder="1" applyAlignment="1"/>
    <xf numFmtId="37" fontId="4" fillId="0" borderId="0" xfId="0" applyFont="1" applyFill="1" applyAlignment="1"/>
    <xf numFmtId="0" fontId="139" fillId="0" borderId="0" xfId="0" applyNumberFormat="1" applyFont="1" applyFill="1" applyAlignment="1">
      <alignment vertical="top"/>
    </xf>
    <xf numFmtId="42" fontId="4" fillId="0" borderId="0" xfId="239" applyNumberFormat="1" applyFont="1" applyFill="1" applyBorder="1" applyProtection="1"/>
    <xf numFmtId="0" fontId="4" fillId="0" borderId="0" xfId="239" applyFont="1" applyFill="1" applyAlignment="1"/>
    <xf numFmtId="41" fontId="4" fillId="0" borderId="5" xfId="239" applyNumberFormat="1" applyFont="1" applyFill="1" applyBorder="1"/>
    <xf numFmtId="41" fontId="4" fillId="0" borderId="44" xfId="239" applyNumberFormat="1" applyFont="1" applyFill="1" applyBorder="1"/>
    <xf numFmtId="42" fontId="4" fillId="0" borderId="0" xfId="239" applyNumberFormat="1" applyFont="1" applyFill="1" applyBorder="1"/>
    <xf numFmtId="41" fontId="4" fillId="0" borderId="69" xfId="0" applyNumberFormat="1" applyFont="1" applyFill="1" applyBorder="1" applyProtection="1"/>
    <xf numFmtId="0" fontId="4" fillId="0" borderId="69" xfId="0" applyNumberFormat="1" applyFont="1" applyFill="1" applyBorder="1" applyProtection="1"/>
    <xf numFmtId="182" fontId="10" fillId="0" borderId="63" xfId="215" applyNumberFormat="1" applyFont="1" applyFill="1" applyBorder="1"/>
    <xf numFmtId="49" fontId="10" fillId="0" borderId="0" xfId="215" applyNumberFormat="1" applyFont="1" applyFill="1" applyBorder="1" applyAlignment="1">
      <alignment horizontal="left"/>
    </xf>
    <xf numFmtId="43" fontId="10" fillId="0" borderId="0" xfId="215" applyNumberFormat="1" applyFont="1" applyFill="1" applyBorder="1"/>
    <xf numFmtId="182" fontId="10" fillId="0" borderId="0" xfId="215" applyNumberFormat="1" applyFont="1" applyFill="1" applyBorder="1"/>
    <xf numFmtId="0" fontId="10" fillId="0" borderId="0" xfId="215" applyFont="1" applyFill="1" applyBorder="1"/>
    <xf numFmtId="43" fontId="10" fillId="0" borderId="0" xfId="78" applyFont="1" applyFill="1"/>
    <xf numFmtId="43" fontId="10" fillId="0" borderId="5" xfId="78" applyFont="1" applyFill="1" applyBorder="1"/>
    <xf numFmtId="0" fontId="12" fillId="0" borderId="0" xfId="215" applyFont="1" applyFill="1" applyBorder="1" applyAlignment="1">
      <alignment horizontal="center"/>
    </xf>
    <xf numFmtId="49" fontId="12" fillId="0" borderId="0" xfId="215" applyNumberFormat="1" applyFont="1" applyFill="1" applyBorder="1" applyAlignment="1">
      <alignment horizontal="left"/>
    </xf>
    <xf numFmtId="44" fontId="143" fillId="0" borderId="0" xfId="306" applyNumberFormat="1" applyFont="1" applyFill="1" applyBorder="1" applyAlignment="1" applyProtection="1">
      <alignment horizontal="right"/>
    </xf>
    <xf numFmtId="43" fontId="143" fillId="0" borderId="0" xfId="306" applyNumberFormat="1" applyFont="1" applyFill="1" applyBorder="1" applyProtection="1"/>
    <xf numFmtId="43" fontId="10" fillId="0" borderId="5" xfId="306" applyNumberFormat="1" applyFont="1" applyFill="1" applyBorder="1"/>
    <xf numFmtId="167" fontId="73" fillId="0" borderId="0" xfId="225" applyNumberFormat="1" applyFont="1" applyFill="1" applyBorder="1"/>
    <xf numFmtId="14" fontId="4" fillId="0" borderId="0" xfId="0" applyNumberFormat="1" applyFont="1" applyFill="1" applyBorder="1" applyAlignment="1">
      <alignment horizontal="center"/>
    </xf>
    <xf numFmtId="39" fontId="4" fillId="0" borderId="0" xfId="0" applyNumberFormat="1" applyFont="1" applyFill="1" applyBorder="1" applyAlignment="1">
      <alignment horizontal="center"/>
    </xf>
    <xf numFmtId="43" fontId="4" fillId="0" borderId="0" xfId="78" applyFont="1" applyFill="1" applyBorder="1" applyAlignment="1">
      <alignment horizontal="center"/>
    </xf>
    <xf numFmtId="39" fontId="4" fillId="0" borderId="0" xfId="0" applyNumberFormat="1" applyFont="1" applyFill="1" applyBorder="1"/>
    <xf numFmtId="183" fontId="4" fillId="0" borderId="0" xfId="0" applyNumberFormat="1" applyFont="1" applyFill="1"/>
    <xf numFmtId="41" fontId="14" fillId="0" borderId="69" xfId="0" applyNumberFormat="1" applyFont="1" applyFill="1" applyBorder="1" applyProtection="1"/>
    <xf numFmtId="0" fontId="5" fillId="0" borderId="0" xfId="239" applyFont="1" applyFill="1" applyAlignment="1">
      <alignment horizontal="center"/>
    </xf>
    <xf numFmtId="0" fontId="5" fillId="0" borderId="0" xfId="239" applyFont="1" applyFill="1" applyAlignment="1">
      <alignment horizontal="center"/>
    </xf>
    <xf numFmtId="44" fontId="14" fillId="0" borderId="0" xfId="306" applyNumberFormat="1" applyFont="1"/>
    <xf numFmtId="43" fontId="14" fillId="0" borderId="0" xfId="306" applyNumberFormat="1" applyFont="1" applyAlignment="1">
      <alignment horizontal="right"/>
    </xf>
    <xf numFmtId="0" fontId="14" fillId="0" borderId="0" xfId="306" applyFont="1" applyAlignment="1">
      <alignment horizontal="right"/>
    </xf>
    <xf numFmtId="43" fontId="14" fillId="0" borderId="5" xfId="306" applyNumberFormat="1" applyFont="1" applyBorder="1"/>
    <xf numFmtId="183" fontId="4" fillId="0" borderId="0" xfId="0" applyNumberFormat="1" applyFont="1" applyFill="1" applyBorder="1" applyProtection="1"/>
    <xf numFmtId="0" fontId="4" fillId="0" borderId="0" xfId="194" applyFont="1"/>
    <xf numFmtId="0" fontId="121" fillId="0" borderId="0" xfId="318" applyFont="1" applyFill="1" applyAlignment="1"/>
    <xf numFmtId="37" fontId="0" fillId="0" borderId="0" xfId="0" applyFill="1"/>
    <xf numFmtId="43" fontId="121" fillId="0" borderId="0" xfId="194" applyNumberFormat="1" applyFont="1" applyFill="1" applyBorder="1" applyAlignment="1">
      <alignment horizontal="center"/>
    </xf>
    <xf numFmtId="0" fontId="10" fillId="0" borderId="0" xfId="0" applyNumberFormat="1" applyFont="1" applyFill="1"/>
    <xf numFmtId="41" fontId="4" fillId="0" borderId="65" xfId="0" applyNumberFormat="1" applyFont="1" applyFill="1" applyBorder="1" applyProtection="1"/>
    <xf numFmtId="37" fontId="0" fillId="0" borderId="0" xfId="0" applyFill="1"/>
    <xf numFmtId="0" fontId="121" fillId="0" borderId="0" xfId="194" applyFont="1" applyAlignment="1">
      <alignment horizontal="center" wrapText="1"/>
    </xf>
    <xf numFmtId="0" fontId="121" fillId="0" borderId="0" xfId="194" applyFont="1" applyAlignment="1">
      <alignment horizontal="center" vertical="center" wrapText="1"/>
    </xf>
    <xf numFmtId="37" fontId="5" fillId="0" borderId="0" xfId="221" applyNumberFormat="1" applyFont="1" applyAlignment="1"/>
    <xf numFmtId="41" fontId="135" fillId="0" borderId="0" xfId="281" applyNumberFormat="1" applyFont="1" applyBorder="1"/>
    <xf numFmtId="4" fontId="121" fillId="0" borderId="0" xfId="194" applyNumberFormat="1" applyFont="1" applyFill="1"/>
    <xf numFmtId="4" fontId="121" fillId="0" borderId="0" xfId="194" applyNumberFormat="1" applyFont="1" applyFill="1" applyBorder="1"/>
    <xf numFmtId="0" fontId="122" fillId="0" borderId="0" xfId="194" applyFont="1" applyFill="1" applyBorder="1"/>
    <xf numFmtId="0" fontId="5" fillId="0" borderId="0" xfId="318" applyFont="1" applyFill="1" applyBorder="1" applyAlignment="1">
      <alignment vertical="top"/>
    </xf>
    <xf numFmtId="0" fontId="7" fillId="0" borderId="0" xfId="318" applyFill="1" applyBorder="1" applyAlignment="1">
      <alignment vertical="top"/>
    </xf>
    <xf numFmtId="171" fontId="85" fillId="0" borderId="0" xfId="318" applyNumberFormat="1" applyFont="1" applyFill="1" applyBorder="1"/>
    <xf numFmtId="0" fontId="80" fillId="0" borderId="0" xfId="318" applyFont="1" applyFill="1" applyBorder="1"/>
    <xf numFmtId="0" fontId="4" fillId="0" borderId="0" xfId="318" applyFont="1" applyFill="1" applyBorder="1" applyAlignment="1">
      <alignment vertical="top" wrapText="1"/>
    </xf>
    <xf numFmtId="182" fontId="174" fillId="0" borderId="0" xfId="0" applyNumberFormat="1" applyFont="1" applyFill="1" applyBorder="1"/>
    <xf numFmtId="43" fontId="74" fillId="0" borderId="0" xfId="78" applyFont="1" applyBorder="1"/>
    <xf numFmtId="171" fontId="117" fillId="0" borderId="5" xfId="78" applyNumberFormat="1" applyFont="1" applyFill="1" applyBorder="1"/>
    <xf numFmtId="41" fontId="4" fillId="0" borderId="48" xfId="239" applyNumberFormat="1" applyFont="1" applyFill="1" applyBorder="1"/>
    <xf numFmtId="43" fontId="4" fillId="0" borderId="0" xfId="281" applyNumberFormat="1" applyFont="1" applyBorder="1"/>
    <xf numFmtId="37" fontId="0" fillId="0" borderId="0" xfId="0" applyFill="1"/>
    <xf numFmtId="0" fontId="129" fillId="0" borderId="0" xfId="318" applyFont="1" applyAlignment="1">
      <alignment horizontal="center" vertical="top"/>
    </xf>
    <xf numFmtId="0" fontId="5" fillId="0" borderId="0" xfId="239" applyFont="1" applyFill="1" applyAlignment="1">
      <alignment horizontal="center"/>
    </xf>
    <xf numFmtId="14" fontId="5" fillId="0" borderId="0" xfId="0" applyNumberFormat="1" applyFont="1" applyFill="1" applyAlignment="1">
      <alignment horizontal="center"/>
    </xf>
    <xf numFmtId="37" fontId="0" fillId="0" borderId="0" xfId="0" applyFill="1"/>
    <xf numFmtId="0" fontId="129" fillId="0" borderId="0" xfId="318" applyFont="1" applyAlignment="1">
      <alignment horizontal="center" vertical="top"/>
    </xf>
    <xf numFmtId="43" fontId="121" fillId="0" borderId="0" xfId="78" applyFont="1"/>
    <xf numFmtId="43" fontId="121" fillId="0" borderId="0" xfId="78" applyFont="1" applyFill="1"/>
    <xf numFmtId="43" fontId="7" fillId="0" borderId="5" xfId="318" applyNumberFormat="1" applyFill="1" applyBorder="1"/>
    <xf numFmtId="43" fontId="4" fillId="0" borderId="5" xfId="318" applyNumberFormat="1" applyFont="1" applyFill="1" applyBorder="1"/>
    <xf numFmtId="171" fontId="4" fillId="0" borderId="5" xfId="78" applyNumberFormat="1" applyFont="1" applyFill="1" applyBorder="1"/>
    <xf numFmtId="43" fontId="4" fillId="0" borderId="0" xfId="78" applyNumberFormat="1" applyFont="1" applyFill="1" applyBorder="1"/>
    <xf numFmtId="0" fontId="4" fillId="0" borderId="0" xfId="318" applyFont="1" applyFill="1" applyBorder="1" applyAlignment="1"/>
    <xf numFmtId="43" fontId="4" fillId="0" borderId="5" xfId="78" applyNumberFormat="1" applyFont="1" applyFill="1" applyBorder="1"/>
    <xf numFmtId="43" fontId="7" fillId="0" borderId="44" xfId="318" applyNumberFormat="1" applyFill="1" applyBorder="1"/>
    <xf numFmtId="16" fontId="4" fillId="0" borderId="0" xfId="0" quotePrefix="1" applyNumberFormat="1" applyFont="1" applyAlignment="1">
      <alignment horizontal="center"/>
    </xf>
    <xf numFmtId="3" fontId="4" fillId="0" borderId="0" xfId="82" applyNumberFormat="1" applyFont="1" applyFill="1" applyBorder="1" applyAlignment="1">
      <alignment horizontal="right"/>
    </xf>
    <xf numFmtId="2" fontId="4" fillId="0" borderId="0" xfId="82" applyNumberFormat="1" applyFont="1" applyFill="1" applyAlignment="1">
      <alignment horizontal="right"/>
    </xf>
    <xf numFmtId="168" fontId="4" fillId="0" borderId="0" xfId="132" applyNumberFormat="1" applyFont="1" applyFill="1" applyBorder="1" applyAlignment="1">
      <alignment horizontal="right"/>
    </xf>
    <xf numFmtId="168" fontId="73" fillId="0" borderId="0" xfId="132" applyNumberFormat="1" applyFont="1" applyFill="1" applyBorder="1" applyAlignment="1">
      <alignment horizontal="right"/>
    </xf>
    <xf numFmtId="16" fontId="73" fillId="0" borderId="0" xfId="0" quotePrefix="1" applyNumberFormat="1" applyFont="1" applyAlignment="1">
      <alignment horizontal="center"/>
    </xf>
    <xf numFmtId="2" fontId="4" fillId="0" borderId="0" xfId="82" applyNumberFormat="1" applyFont="1" applyFill="1" applyBorder="1" applyAlignment="1">
      <alignment horizontal="right"/>
    </xf>
    <xf numFmtId="37" fontId="73" fillId="0" borderId="0" xfId="0" quotePrefix="1" applyFont="1" applyAlignment="1">
      <alignment horizontal="center"/>
    </xf>
    <xf numFmtId="168" fontId="73" fillId="0" borderId="5" xfId="132" applyNumberFormat="1" applyFont="1" applyFill="1" applyBorder="1" applyAlignment="1">
      <alignment horizontal="right"/>
    </xf>
    <xf numFmtId="37" fontId="3" fillId="0" borderId="0" xfId="0" applyFont="1"/>
    <xf numFmtId="37" fontId="3" fillId="0" borderId="0" xfId="0" applyFont="1" applyAlignment="1">
      <alignment horizontal="right"/>
    </xf>
    <xf numFmtId="37" fontId="3" fillId="0" borderId="0" xfId="0" applyFont="1" applyAlignment="1">
      <alignment horizontal="left"/>
    </xf>
    <xf numFmtId="0" fontId="121" fillId="0" borderId="0" xfId="194" applyFont="1" applyFill="1" applyAlignment="1">
      <alignment horizontal="right"/>
    </xf>
    <xf numFmtId="2" fontId="121" fillId="0" borderId="0" xfId="194" applyNumberFormat="1" applyFont="1" applyFill="1"/>
    <xf numFmtId="0" fontId="121" fillId="0" borderId="5" xfId="194" applyFont="1" applyFill="1" applyBorder="1" applyAlignment="1">
      <alignment horizontal="right"/>
    </xf>
    <xf numFmtId="0" fontId="121" fillId="0" borderId="5" xfId="194" applyFont="1" applyFill="1" applyBorder="1"/>
    <xf numFmtId="2" fontId="121" fillId="0" borderId="5" xfId="194" applyNumberFormat="1" applyFont="1" applyFill="1" applyBorder="1"/>
    <xf numFmtId="4" fontId="121" fillId="0" borderId="5" xfId="194" applyNumberFormat="1" applyFont="1" applyFill="1" applyBorder="1"/>
    <xf numFmtId="43" fontId="0" fillId="0" borderId="0" xfId="0" applyNumberFormat="1" applyFill="1"/>
    <xf numFmtId="37" fontId="3" fillId="0" borderId="0" xfId="0" applyFont="1" applyFill="1"/>
    <xf numFmtId="0" fontId="122" fillId="0" borderId="0" xfId="194" applyFont="1" applyFill="1"/>
    <xf numFmtId="43" fontId="121" fillId="0" borderId="0" xfId="101" applyFont="1" applyFill="1"/>
    <xf numFmtId="0" fontId="139" fillId="0" borderId="0" xfId="194" applyFont="1" applyFill="1"/>
    <xf numFmtId="43" fontId="122" fillId="0" borderId="0" xfId="194" applyNumberFormat="1" applyFont="1" applyFill="1"/>
    <xf numFmtId="170" fontId="121" fillId="0" borderId="0" xfId="326" applyNumberFormat="1" applyFont="1" applyFill="1"/>
    <xf numFmtId="0" fontId="139" fillId="0" borderId="0" xfId="194" applyFont="1" applyFill="1" applyBorder="1"/>
    <xf numFmtId="0" fontId="126" fillId="0" borderId="0" xfId="194" applyFont="1" applyFill="1"/>
    <xf numFmtId="0" fontId="121" fillId="0" borderId="43" xfId="194" applyFont="1" applyFill="1" applyBorder="1"/>
    <xf numFmtId="0" fontId="121" fillId="0" borderId="41" xfId="194" applyFont="1" applyFill="1" applyBorder="1" applyAlignment="1">
      <alignment horizontal="right"/>
    </xf>
    <xf numFmtId="43" fontId="121" fillId="0" borderId="41" xfId="78" applyFont="1" applyFill="1" applyBorder="1"/>
    <xf numFmtId="0" fontId="121" fillId="0" borderId="41" xfId="194" applyFont="1" applyFill="1" applyBorder="1"/>
    <xf numFmtId="0" fontId="121" fillId="0" borderId="42" xfId="194" applyFont="1" applyFill="1" applyBorder="1"/>
    <xf numFmtId="0" fontId="121" fillId="0" borderId="22" xfId="194" applyFont="1" applyFill="1" applyBorder="1"/>
    <xf numFmtId="0" fontId="121" fillId="0" borderId="0" xfId="194" applyFont="1" applyFill="1" applyBorder="1" applyAlignment="1">
      <alignment horizontal="right"/>
    </xf>
    <xf numFmtId="0" fontId="121" fillId="0" borderId="36" xfId="194" applyFont="1" applyFill="1" applyBorder="1"/>
    <xf numFmtId="0" fontId="121" fillId="0" borderId="37" xfId="194" applyFont="1" applyFill="1" applyBorder="1"/>
    <xf numFmtId="0" fontId="121" fillId="0" borderId="17" xfId="194" applyFont="1" applyFill="1" applyBorder="1"/>
    <xf numFmtId="0" fontId="121" fillId="0" borderId="38" xfId="194" applyFont="1" applyFill="1" applyBorder="1"/>
    <xf numFmtId="0" fontId="121" fillId="0" borderId="41" xfId="194" applyFont="1" applyFill="1" applyBorder="1" applyAlignment="1">
      <alignment horizontal="center"/>
    </xf>
    <xf numFmtId="170" fontId="121" fillId="0" borderId="0" xfId="194" applyNumberFormat="1" applyFont="1" applyFill="1" applyBorder="1"/>
    <xf numFmtId="171" fontId="126" fillId="0" borderId="44" xfId="101" applyNumberFormat="1" applyFont="1" applyFill="1" applyBorder="1"/>
    <xf numFmtId="177" fontId="121" fillId="0" borderId="0" xfId="194" applyNumberFormat="1" applyFont="1" applyFill="1" applyBorder="1" applyAlignment="1">
      <alignment horizontal="left"/>
    </xf>
    <xf numFmtId="43" fontId="121" fillId="0" borderId="0" xfId="101" applyFont="1" applyFill="1" applyBorder="1"/>
    <xf numFmtId="0" fontId="123" fillId="0" borderId="0" xfId="194" applyFont="1" applyFill="1" applyBorder="1"/>
    <xf numFmtId="1" fontId="123" fillId="0" borderId="0" xfId="194" applyNumberFormat="1" applyFont="1" applyFill="1" applyBorder="1"/>
    <xf numFmtId="0" fontId="121" fillId="0" borderId="0" xfId="194" applyFont="1" applyFill="1" applyAlignment="1">
      <alignment horizontal="left" vertical="center"/>
    </xf>
    <xf numFmtId="43" fontId="121" fillId="0" borderId="5" xfId="194" applyNumberFormat="1" applyFont="1" applyFill="1" applyBorder="1"/>
    <xf numFmtId="37" fontId="4" fillId="0" borderId="5" xfId="0" applyFont="1" applyFill="1" applyBorder="1"/>
    <xf numFmtId="37" fontId="2" fillId="0" borderId="0" xfId="0" applyFont="1" applyFill="1" applyAlignment="1">
      <alignment horizontal="center" wrapText="1"/>
    </xf>
    <xf numFmtId="37" fontId="15" fillId="0" borderId="50" xfId="0" applyFont="1" applyFill="1" applyBorder="1" applyAlignment="1">
      <alignment horizontal="center"/>
    </xf>
    <xf numFmtId="41" fontId="4" fillId="0" borderId="50" xfId="0" applyNumberFormat="1" applyFont="1" applyFill="1" applyBorder="1"/>
    <xf numFmtId="41" fontId="4" fillId="0" borderId="51" xfId="0" applyNumberFormat="1" applyFont="1" applyFill="1" applyBorder="1" applyProtection="1"/>
    <xf numFmtId="41" fontId="4" fillId="0" borderId="49" xfId="0" applyNumberFormat="1" applyFont="1" applyFill="1" applyBorder="1" applyProtection="1"/>
    <xf numFmtId="37" fontId="139" fillId="0" borderId="0" xfId="0" applyFont="1" applyFill="1" applyBorder="1" applyAlignment="1">
      <alignment horizontal="center"/>
    </xf>
    <xf numFmtId="37" fontId="139" fillId="0" borderId="0" xfId="0" applyFont="1" applyFill="1" applyBorder="1"/>
    <xf numFmtId="41" fontId="4" fillId="0" borderId="29" xfId="0" applyNumberFormat="1" applyFont="1" applyFill="1" applyBorder="1"/>
    <xf numFmtId="41" fontId="4" fillId="0" borderId="26" xfId="0" applyNumberFormat="1" applyFont="1" applyFill="1" applyBorder="1" applyProtection="1"/>
    <xf numFmtId="171" fontId="4" fillId="0" borderId="0" xfId="78" applyNumberFormat="1" applyFont="1" applyFill="1" applyBorder="1" applyAlignment="1">
      <alignment horizontal="center"/>
    </xf>
    <xf numFmtId="10" fontId="4" fillId="0" borderId="0" xfId="323" applyNumberFormat="1" applyFont="1" applyFill="1"/>
    <xf numFmtId="43" fontId="4" fillId="0" borderId="44" xfId="78" applyNumberFormat="1" applyFont="1" applyFill="1" applyBorder="1" applyAlignment="1">
      <alignment horizontal="center"/>
    </xf>
    <xf numFmtId="171" fontId="126" fillId="0" borderId="0" xfId="101" applyNumberFormat="1" applyFont="1" applyFill="1" applyBorder="1"/>
    <xf numFmtId="0" fontId="126" fillId="0" borderId="0" xfId="194" applyFont="1" applyFill="1" applyBorder="1" applyAlignment="1">
      <alignment horizontal="right"/>
    </xf>
    <xf numFmtId="0" fontId="126" fillId="0" borderId="0" xfId="318" applyFont="1" applyFill="1" applyBorder="1" applyAlignment="1">
      <alignment vertical="top"/>
    </xf>
    <xf numFmtId="0" fontId="126" fillId="0" borderId="0" xfId="318" applyFont="1" applyFill="1" applyBorder="1"/>
    <xf numFmtId="0" fontId="121" fillId="0" borderId="0" xfId="318" applyFont="1" applyFill="1" applyBorder="1"/>
    <xf numFmtId="0" fontId="121" fillId="0" borderId="0" xfId="318" applyFont="1" applyFill="1" applyBorder="1" applyAlignment="1">
      <alignment horizontal="center"/>
    </xf>
    <xf numFmtId="43" fontId="126" fillId="0" borderId="0" xfId="318" applyNumberFormat="1" applyFont="1" applyFill="1" applyBorder="1"/>
    <xf numFmtId="4" fontId="126" fillId="0" borderId="0" xfId="318" applyNumberFormat="1" applyFont="1" applyFill="1" applyBorder="1"/>
    <xf numFmtId="37" fontId="5" fillId="0" borderId="0" xfId="0" applyFont="1" applyFill="1" applyAlignment="1">
      <alignment horizontal="justify"/>
    </xf>
    <xf numFmtId="37" fontId="4" fillId="0" borderId="0" xfId="0" applyFont="1" applyFill="1" applyAlignment="1">
      <alignment horizontal="justify"/>
    </xf>
    <xf numFmtId="41" fontId="127" fillId="0" borderId="5" xfId="0" applyNumberFormat="1" applyFont="1" applyFill="1" applyBorder="1"/>
    <xf numFmtId="37" fontId="5" fillId="0" borderId="5" xfId="0" applyFont="1" applyFill="1" applyBorder="1" applyAlignment="1">
      <alignment horizontal="center"/>
    </xf>
    <xf numFmtId="0" fontId="145" fillId="0" borderId="0" xfId="306" applyNumberFormat="1" applyFont="1" applyFill="1"/>
    <xf numFmtId="9" fontId="145" fillId="0" borderId="0" xfId="306" applyNumberFormat="1" applyFont="1" applyFill="1" applyProtection="1"/>
    <xf numFmtId="0" fontId="145" fillId="0" borderId="0" xfId="306" applyFont="1" applyFill="1" applyAlignment="1">
      <alignment horizontal="center"/>
    </xf>
    <xf numFmtId="43" fontId="145" fillId="0" borderId="0" xfId="306" applyNumberFormat="1" applyFont="1" applyFill="1" applyBorder="1" applyProtection="1"/>
    <xf numFmtId="10" fontId="145" fillId="0" borderId="0" xfId="306" applyNumberFormat="1" applyFont="1" applyFill="1" applyBorder="1" applyProtection="1"/>
    <xf numFmtId="43" fontId="4" fillId="0" borderId="0" xfId="78" applyFont="1" applyFill="1"/>
    <xf numFmtId="43" fontId="4" fillId="0" borderId="5" xfId="78" applyFont="1" applyFill="1" applyBorder="1"/>
    <xf numFmtId="37" fontId="145" fillId="0" borderId="0" xfId="0" applyFont="1" applyFill="1"/>
    <xf numFmtId="37" fontId="145" fillId="0" borderId="0" xfId="0" applyFont="1" applyFill="1" applyAlignment="1">
      <alignment horizontal="left" indent="1"/>
    </xf>
    <xf numFmtId="41" fontId="4" fillId="0" borderId="5" xfId="0" applyNumberFormat="1" applyFont="1" applyFill="1" applyBorder="1"/>
    <xf numFmtId="41" fontId="120" fillId="0" borderId="0" xfId="281" applyNumberFormat="1" applyFill="1"/>
    <xf numFmtId="41" fontId="120" fillId="0" borderId="0" xfId="281" applyNumberFormat="1" applyFill="1" applyBorder="1"/>
    <xf numFmtId="0" fontId="120" fillId="0" borderId="0" xfId="281" applyFill="1"/>
    <xf numFmtId="37" fontId="5" fillId="0" borderId="0" xfId="0" applyFont="1" applyFill="1" applyAlignment="1">
      <alignment horizontal="right"/>
    </xf>
    <xf numFmtId="37" fontId="5" fillId="0" borderId="5" xfId="0" applyFont="1" applyFill="1" applyBorder="1"/>
    <xf numFmtId="37" fontId="145" fillId="0" borderId="0" xfId="239" applyNumberFormat="1" applyFont="1" applyFill="1" applyAlignment="1">
      <alignment horizontal="left"/>
    </xf>
    <xf numFmtId="41" fontId="4" fillId="0" borderId="65" xfId="0" applyNumberFormat="1" applyFont="1" applyFill="1" applyBorder="1"/>
    <xf numFmtId="10" fontId="121" fillId="0" borderId="0" xfId="323" applyNumberFormat="1" applyFont="1" applyFill="1" applyBorder="1"/>
    <xf numFmtId="43" fontId="121" fillId="0" borderId="0" xfId="78" applyFont="1" applyFill="1" applyBorder="1"/>
    <xf numFmtId="171" fontId="121" fillId="0" borderId="0" xfId="101" applyNumberFormat="1" applyFont="1" applyFill="1" applyBorder="1"/>
    <xf numFmtId="171" fontId="121" fillId="0" borderId="5" xfId="101" applyNumberFormat="1" applyFont="1" applyFill="1" applyBorder="1"/>
    <xf numFmtId="2" fontId="128" fillId="0" borderId="0" xfId="318" applyNumberFormat="1" applyFont="1" applyFill="1" applyBorder="1" applyAlignment="1">
      <alignment horizontal="center"/>
    </xf>
    <xf numFmtId="0" fontId="5" fillId="0" borderId="0" xfId="221" applyFont="1" applyAlignment="1">
      <alignment horizontal="center"/>
    </xf>
    <xf numFmtId="14" fontId="5" fillId="0" borderId="50" xfId="0" applyNumberFormat="1" applyFont="1" applyFill="1" applyBorder="1" applyAlignment="1">
      <alignment horizontal="center"/>
    </xf>
    <xf numFmtId="14" fontId="5" fillId="0" borderId="0" xfId="0" applyNumberFormat="1" applyFont="1" applyFill="1" applyBorder="1" applyAlignment="1">
      <alignment horizontal="center"/>
    </xf>
    <xf numFmtId="41" fontId="4" fillId="0" borderId="5" xfId="239" applyNumberFormat="1" applyFont="1" applyFill="1" applyBorder="1" applyAlignment="1">
      <alignment horizontal="center"/>
    </xf>
    <xf numFmtId="43" fontId="120" fillId="0" borderId="5" xfId="281" applyNumberFormat="1" applyFill="1" applyBorder="1"/>
    <xf numFmtId="43" fontId="142" fillId="0" borderId="0" xfId="281" applyNumberFormat="1" applyFont="1" applyFill="1"/>
    <xf numFmtId="43" fontId="120" fillId="0" borderId="44" xfId="281" applyNumberFormat="1" applyFill="1" applyBorder="1"/>
    <xf numFmtId="43" fontId="120" fillId="0" borderId="0" xfId="281" applyNumberFormat="1" applyFill="1" applyAlignment="1"/>
    <xf numFmtId="43" fontId="120" fillId="0" borderId="0" xfId="281" applyNumberFormat="1" applyFill="1" applyBorder="1"/>
    <xf numFmtId="14" fontId="4" fillId="0" borderId="0" xfId="239" applyNumberFormat="1" applyFont="1"/>
    <xf numFmtId="10" fontId="4" fillId="0" borderId="0" xfId="239" applyNumberFormat="1" applyFont="1"/>
    <xf numFmtId="10" fontId="4" fillId="0" borderId="5" xfId="239" applyNumberFormat="1" applyFont="1" applyBorder="1"/>
    <xf numFmtId="37" fontId="132" fillId="0" borderId="0" xfId="0" applyFont="1" applyFill="1" applyAlignment="1">
      <alignment horizontal="center"/>
    </xf>
    <xf numFmtId="37" fontId="132" fillId="0" borderId="0" xfId="0" applyFont="1" applyFill="1"/>
    <xf numFmtId="37" fontId="126" fillId="0" borderId="0" xfId="239" applyNumberFormat="1" applyFont="1" applyFill="1" applyAlignment="1">
      <alignment horizontal="left"/>
    </xf>
    <xf numFmtId="0" fontId="121" fillId="0" borderId="0" xfId="239" applyFont="1" applyFill="1"/>
    <xf numFmtId="0" fontId="126" fillId="0" borderId="0" xfId="239" applyFont="1" applyFill="1" applyAlignment="1">
      <alignment horizontal="center"/>
    </xf>
    <xf numFmtId="37" fontId="140" fillId="0" borderId="0" xfId="0" applyFont="1" applyFill="1" applyAlignment="1">
      <alignment horizontal="center"/>
    </xf>
    <xf numFmtId="14" fontId="124" fillId="0" borderId="0" xfId="281" applyNumberFormat="1" applyFont="1" applyFill="1"/>
    <xf numFmtId="37" fontId="133" fillId="0" borderId="0" xfId="0" applyFont="1" applyFill="1"/>
    <xf numFmtId="0" fontId="124" fillId="0" borderId="0" xfId="281" applyFont="1" applyFill="1"/>
    <xf numFmtId="0" fontId="120" fillId="0" borderId="0" xfId="281" applyFont="1" applyFill="1" applyAlignment="1">
      <alignment horizontal="center"/>
    </xf>
    <xf numFmtId="0" fontId="120" fillId="0" borderId="0" xfId="281" applyFont="1" applyFill="1"/>
    <xf numFmtId="0" fontId="124" fillId="0" borderId="0" xfId="281" applyFont="1" applyFill="1" applyAlignment="1">
      <alignment vertical="top"/>
    </xf>
    <xf numFmtId="43" fontId="124" fillId="0" borderId="0" xfId="281" applyNumberFormat="1" applyFont="1" applyFill="1" applyAlignment="1">
      <alignment vertical="top"/>
    </xf>
    <xf numFmtId="43" fontId="124" fillId="0" borderId="0" xfId="281" applyNumberFormat="1" applyFont="1" applyFill="1" applyAlignment="1">
      <alignment vertical="center"/>
    </xf>
    <xf numFmtId="49" fontId="124" fillId="0" borderId="0" xfId="281" applyNumberFormat="1" applyFont="1" applyFill="1" applyAlignment="1">
      <alignment horizontal="justify" vertical="top" wrapText="1"/>
    </xf>
    <xf numFmtId="43" fontId="120" fillId="0" borderId="0" xfId="281" applyNumberFormat="1" applyFont="1" applyFill="1" applyAlignment="1">
      <alignment horizontal="center"/>
    </xf>
    <xf numFmtId="43" fontId="126" fillId="0" borderId="0" xfId="281" applyNumberFormat="1" applyFont="1" applyFill="1"/>
    <xf numFmtId="43" fontId="120" fillId="0" borderId="0" xfId="281" applyNumberFormat="1" applyFont="1" applyFill="1"/>
    <xf numFmtId="44" fontId="124" fillId="0" borderId="0" xfId="281" applyNumberFormat="1" applyFont="1" applyFill="1" applyAlignment="1">
      <alignment vertical="top"/>
    </xf>
    <xf numFmtId="44" fontId="124" fillId="0" borderId="0" xfId="281" applyNumberFormat="1" applyFont="1" applyFill="1" applyAlignment="1">
      <alignment vertical="center"/>
    </xf>
    <xf numFmtId="43" fontId="120" fillId="0" borderId="0" xfId="281" applyNumberFormat="1" applyFont="1" applyFill="1" applyAlignment="1">
      <alignment horizontal="left" wrapText="1"/>
    </xf>
    <xf numFmtId="43" fontId="124" fillId="0" borderId="0" xfId="281" applyNumberFormat="1" applyFont="1" applyFill="1" applyBorder="1" applyAlignment="1">
      <alignment vertical="top"/>
    </xf>
    <xf numFmtId="43" fontId="124" fillId="0" borderId="0" xfId="281" applyNumberFormat="1" applyFont="1" applyFill="1" applyBorder="1" applyAlignment="1">
      <alignment vertical="center"/>
    </xf>
    <xf numFmtId="44" fontId="124" fillId="0" borderId="0" xfId="281" applyNumberFormat="1" applyFont="1" applyFill="1" applyBorder="1"/>
    <xf numFmtId="43" fontId="127" fillId="0" borderId="0" xfId="266" applyNumberFormat="1" applyFont="1" applyFill="1" applyBorder="1"/>
    <xf numFmtId="0" fontId="124" fillId="0" borderId="0" xfId="281" applyFont="1" applyFill="1" applyBorder="1" applyAlignment="1">
      <alignment vertical="top"/>
    </xf>
    <xf numFmtId="49" fontId="124" fillId="0" borderId="0" xfId="281" applyNumberFormat="1" applyFont="1" applyFill="1" applyBorder="1" applyAlignment="1">
      <alignment horizontal="justify" vertical="top" wrapText="1"/>
    </xf>
    <xf numFmtId="43" fontId="120" fillId="0" borderId="0" xfId="281" applyNumberFormat="1" applyFont="1" applyFill="1" applyBorder="1" applyAlignment="1">
      <alignment horizontal="center"/>
    </xf>
    <xf numFmtId="43" fontId="120" fillId="0" borderId="0" xfId="281" applyNumberFormat="1" applyFont="1" applyFill="1" applyBorder="1"/>
    <xf numFmtId="43" fontId="126" fillId="0" borderId="0" xfId="281" applyNumberFormat="1" applyFont="1" applyFill="1" applyBorder="1"/>
    <xf numFmtId="37" fontId="132" fillId="0" borderId="0" xfId="0" applyFont="1" applyFill="1" applyBorder="1"/>
    <xf numFmtId="43" fontId="120" fillId="0" borderId="0" xfId="281" applyNumberFormat="1" applyFont="1" applyFill="1" applyBorder="1" applyAlignment="1">
      <alignment horizontal="left" wrapText="1"/>
    </xf>
    <xf numFmtId="37" fontId="132" fillId="0" borderId="0" xfId="0" applyFont="1" applyFill="1" applyBorder="1" applyAlignment="1">
      <alignment horizontal="center"/>
    </xf>
    <xf numFmtId="0" fontId="124" fillId="0" borderId="0" xfId="281" applyFont="1" applyFill="1" applyBorder="1" applyAlignment="1">
      <alignment vertical="center"/>
    </xf>
    <xf numFmtId="43" fontId="124" fillId="0" borderId="0" xfId="281" applyNumberFormat="1" applyFont="1" applyFill="1" applyBorder="1" applyAlignment="1">
      <alignment horizontal="left" wrapText="1"/>
    </xf>
    <xf numFmtId="0" fontId="124" fillId="0" borderId="0" xfId="281" applyFont="1" applyFill="1" applyBorder="1"/>
    <xf numFmtId="43" fontId="124" fillId="0" borderId="0" xfId="281" applyNumberFormat="1" applyFont="1" applyFill="1" applyBorder="1"/>
    <xf numFmtId="43" fontId="126" fillId="0" borderId="0" xfId="281" applyNumberFormat="1" applyFont="1" applyFill="1" applyBorder="1" applyAlignment="1">
      <alignment horizontal="center" vertical="top"/>
    </xf>
    <xf numFmtId="37" fontId="126" fillId="0" borderId="0" xfId="239" applyNumberFormat="1" applyFont="1" applyFill="1" applyBorder="1" applyAlignment="1">
      <alignment horizontal="left"/>
    </xf>
    <xf numFmtId="0" fontId="121" fillId="0" borderId="0" xfId="239" applyFont="1" applyFill="1" applyBorder="1"/>
    <xf numFmtId="0" fontId="126" fillId="0" borderId="0" xfId="239" applyFont="1" applyFill="1" applyBorder="1" applyAlignment="1">
      <alignment horizontal="center"/>
    </xf>
    <xf numFmtId="14" fontId="124" fillId="0" borderId="0" xfId="281" applyNumberFormat="1" applyFont="1" applyFill="1" applyBorder="1"/>
    <xf numFmtId="37" fontId="133" fillId="0" borderId="0" xfId="0" applyFont="1" applyFill="1" applyBorder="1"/>
    <xf numFmtId="0" fontId="120" fillId="0" borderId="0" xfId="281" applyFont="1" applyFill="1" applyBorder="1" applyAlignment="1">
      <alignment horizontal="center"/>
    </xf>
    <xf numFmtId="0" fontId="120" fillId="0" borderId="0" xfId="281" applyFont="1" applyFill="1" applyBorder="1"/>
    <xf numFmtId="43" fontId="126" fillId="0" borderId="0" xfId="281" applyNumberFormat="1" applyFont="1" applyFill="1" applyBorder="1" applyAlignment="1">
      <alignment horizontal="center"/>
    </xf>
    <xf numFmtId="43" fontId="124" fillId="0" borderId="0" xfId="281" applyNumberFormat="1" applyFont="1" applyFill="1" applyBorder="1" applyAlignment="1">
      <alignment horizontal="center"/>
    </xf>
    <xf numFmtId="0" fontId="127" fillId="0" borderId="0" xfId="266" applyFont="1" applyFill="1" applyBorder="1"/>
    <xf numFmtId="44" fontId="127" fillId="0" borderId="0" xfId="266" applyNumberFormat="1" applyFont="1" applyFill="1" applyBorder="1"/>
    <xf numFmtId="49" fontId="127" fillId="0" borderId="0" xfId="266" applyNumberFormat="1" applyFont="1" applyFill="1" applyBorder="1" applyAlignment="1">
      <alignment vertical="center" wrapText="1"/>
    </xf>
    <xf numFmtId="0" fontId="127" fillId="0" borderId="0" xfId="266" applyFont="1" applyFill="1" applyBorder="1" applyAlignment="1">
      <alignment horizontal="center"/>
    </xf>
    <xf numFmtId="49" fontId="127" fillId="0" borderId="0" xfId="266" applyNumberFormat="1" applyFont="1" applyFill="1" applyBorder="1" applyAlignment="1">
      <alignment horizontal="left" vertical="center" wrapText="1"/>
    </xf>
    <xf numFmtId="49" fontId="133" fillId="0" borderId="0" xfId="193" applyNumberFormat="1" applyFont="1" applyFill="1" applyBorder="1" applyAlignment="1">
      <alignment horizontal="center" vertical="top" wrapText="1"/>
    </xf>
    <xf numFmtId="49" fontId="133" fillId="0" borderId="0" xfId="193" applyNumberFormat="1" applyFont="1" applyFill="1" applyBorder="1" applyAlignment="1">
      <alignment vertical="top" wrapText="1"/>
    </xf>
    <xf numFmtId="43" fontId="127" fillId="0" borderId="0" xfId="266" applyNumberFormat="1" applyFont="1" applyFill="1" applyBorder="1" applyAlignment="1">
      <alignment wrapText="1"/>
    </xf>
    <xf numFmtId="37" fontId="133" fillId="0" borderId="0" xfId="0" applyFont="1" applyFill="1" applyBorder="1" applyAlignment="1">
      <alignment wrapText="1"/>
    </xf>
    <xf numFmtId="49" fontId="124" fillId="0" borderId="0" xfId="281" applyNumberFormat="1" applyFont="1" applyFill="1" applyBorder="1" applyAlignment="1">
      <alignment vertical="top" wrapText="1"/>
    </xf>
    <xf numFmtId="49" fontId="133" fillId="0" borderId="0" xfId="0" applyNumberFormat="1" applyFont="1" applyFill="1" applyBorder="1" applyAlignment="1">
      <alignment horizontal="justify" vertical="top" wrapText="1"/>
    </xf>
    <xf numFmtId="49" fontId="127" fillId="0" borderId="0" xfId="266" applyNumberFormat="1" applyFont="1" applyFill="1" applyBorder="1"/>
    <xf numFmtId="44" fontId="124" fillId="0" borderId="0" xfId="281" applyNumberFormat="1" applyFont="1" applyFill="1" applyBorder="1" applyAlignment="1">
      <alignment vertical="top"/>
    </xf>
    <xf numFmtId="49" fontId="133" fillId="0" borderId="0" xfId="0" applyNumberFormat="1" applyFont="1" applyFill="1" applyBorder="1" applyAlignment="1">
      <alignment horizontal="center" vertical="top" wrapText="1"/>
    </xf>
    <xf numFmtId="49" fontId="127" fillId="0" borderId="0" xfId="266" applyNumberFormat="1" applyFont="1" applyFill="1" applyBorder="1" applyAlignment="1">
      <alignment horizontal="center"/>
    </xf>
    <xf numFmtId="43" fontId="120" fillId="0" borderId="0" xfId="281" applyNumberFormat="1" applyFont="1" applyFill="1" applyBorder="1" applyAlignment="1"/>
    <xf numFmtId="37" fontId="126" fillId="0" borderId="0" xfId="239" applyNumberFormat="1" applyFont="1" applyFill="1" applyBorder="1" applyAlignment="1"/>
    <xf numFmtId="0" fontId="126" fillId="0" borderId="0" xfId="239" applyFont="1" applyFill="1" applyBorder="1" applyAlignment="1"/>
    <xf numFmtId="37" fontId="121" fillId="0" borderId="0" xfId="0" applyFont="1" applyFill="1" applyBorder="1" applyAlignment="1">
      <alignment vertical="top" wrapText="1"/>
    </xf>
    <xf numFmtId="171" fontId="43" fillId="0" borderId="0" xfId="78" applyNumberFormat="1" applyFont="1" applyFill="1"/>
    <xf numFmtId="10" fontId="4" fillId="0" borderId="61" xfId="323" applyNumberFormat="1" applyFont="1" applyFill="1" applyBorder="1"/>
    <xf numFmtId="43" fontId="4" fillId="0" borderId="5" xfId="306" applyNumberFormat="1" applyFont="1" applyFill="1" applyBorder="1" applyProtection="1"/>
    <xf numFmtId="4" fontId="4" fillId="0" borderId="0" xfId="306" applyNumberFormat="1" applyFont="1" applyFill="1" applyProtection="1"/>
    <xf numFmtId="37" fontId="5" fillId="0" borderId="0" xfId="0" applyFont="1" applyFill="1" applyAlignment="1">
      <alignment horizontal="center"/>
    </xf>
    <xf numFmtId="37" fontId="5" fillId="0" borderId="0" xfId="306" applyNumberFormat="1" applyFont="1" applyFill="1" applyAlignment="1">
      <alignment horizontal="center"/>
    </xf>
    <xf numFmtId="0" fontId="5" fillId="0" borderId="0" xfId="0" applyNumberFormat="1" applyFont="1" applyFill="1" applyAlignment="1">
      <alignment horizontal="center"/>
    </xf>
    <xf numFmtId="37" fontId="5" fillId="0" borderId="0" xfId="0" quotePrefix="1" applyFont="1" applyFill="1" applyAlignment="1">
      <alignment horizontal="center"/>
    </xf>
    <xf numFmtId="37" fontId="5" fillId="0" borderId="0" xfId="0" applyFont="1" applyFill="1" applyBorder="1" applyAlignment="1">
      <alignment horizontal="center"/>
    </xf>
    <xf numFmtId="0" fontId="5" fillId="0" borderId="0" xfId="239" applyFont="1" applyFill="1" applyAlignment="1">
      <alignment horizontal="center"/>
    </xf>
    <xf numFmtId="37" fontId="86" fillId="0" borderId="0" xfId="0" applyFont="1" applyFill="1" applyAlignment="1">
      <alignment horizontal="center"/>
    </xf>
    <xf numFmtId="14" fontId="5" fillId="0" borderId="0" xfId="0" applyNumberFormat="1" applyFont="1" applyFill="1" applyAlignment="1">
      <alignment horizontal="center"/>
    </xf>
    <xf numFmtId="0" fontId="5" fillId="0" borderId="0" xfId="221" applyFont="1" applyAlignment="1"/>
    <xf numFmtId="37" fontId="5" fillId="0" borderId="0" xfId="221" applyNumberFormat="1" applyFont="1" applyFill="1" applyAlignment="1"/>
    <xf numFmtId="182" fontId="174" fillId="0" borderId="0" xfId="0" applyNumberFormat="1" applyFont="1" applyFill="1"/>
    <xf numFmtId="182" fontId="174" fillId="0" borderId="63" xfId="0" applyNumberFormat="1" applyFont="1" applyFill="1" applyBorder="1"/>
    <xf numFmtId="49" fontId="136" fillId="0" borderId="0" xfId="0" applyNumberFormat="1" applyFont="1" applyFill="1" applyAlignment="1">
      <alignment horizontal="left"/>
    </xf>
    <xf numFmtId="37" fontId="17" fillId="0" borderId="0" xfId="0" applyFont="1" applyAlignment="1">
      <alignment horizontal="center"/>
    </xf>
    <xf numFmtId="49" fontId="5" fillId="0" borderId="0" xfId="0" applyNumberFormat="1" applyFont="1" applyFill="1" applyAlignment="1">
      <alignment horizontal="center"/>
    </xf>
    <xf numFmtId="0" fontId="24" fillId="22" borderId="46" xfId="422" applyNumberFormat="1" applyBorder="1" applyAlignment="1">
      <alignment horizontal="center"/>
    </xf>
    <xf numFmtId="0" fontId="24" fillId="22" borderId="6" xfId="422" applyNumberFormat="1" applyBorder="1" applyAlignment="1">
      <alignment horizontal="center"/>
    </xf>
    <xf numFmtId="0" fontId="24" fillId="22" borderId="45" xfId="422" applyNumberFormat="1" applyBorder="1" applyAlignment="1">
      <alignment horizontal="center"/>
    </xf>
    <xf numFmtId="0" fontId="151" fillId="38" borderId="0" xfId="422" applyNumberFormat="1" applyFont="1" applyFill="1" applyAlignment="1">
      <alignment horizontal="center"/>
    </xf>
    <xf numFmtId="0" fontId="4" fillId="38" borderId="56" xfId="422" applyNumberFormat="1" applyFont="1" applyFill="1" applyBorder="1" applyAlignment="1">
      <alignment horizontal="center"/>
    </xf>
    <xf numFmtId="0" fontId="4" fillId="38" borderId="0" xfId="422" applyNumberFormat="1" applyFont="1" applyFill="1" applyBorder="1" applyAlignment="1">
      <alignment horizontal="center"/>
    </xf>
    <xf numFmtId="0" fontId="4" fillId="38" borderId="58" xfId="422" applyNumberFormat="1" applyFont="1" applyFill="1" applyBorder="1" applyAlignment="1">
      <alignment horizontal="center"/>
    </xf>
    <xf numFmtId="0" fontId="4" fillId="38" borderId="0" xfId="422" applyNumberFormat="1" applyFont="1" applyFill="1" applyAlignment="1">
      <alignment horizontal="center"/>
    </xf>
    <xf numFmtId="37" fontId="17" fillId="0" borderId="0" xfId="0" applyFont="1" applyFill="1" applyAlignment="1">
      <alignment horizontal="center"/>
    </xf>
    <xf numFmtId="49" fontId="17" fillId="0" borderId="0" xfId="0" applyNumberFormat="1" applyFont="1" applyFill="1" applyAlignment="1">
      <alignment horizontal="center"/>
    </xf>
    <xf numFmtId="37" fontId="5" fillId="0" borderId="0" xfId="0" applyFont="1" applyFill="1" applyAlignment="1">
      <alignment horizontal="center"/>
    </xf>
    <xf numFmtId="49" fontId="4" fillId="0" borderId="0" xfId="0" applyNumberFormat="1" applyFont="1" applyFill="1" applyAlignment="1">
      <alignment horizontal="justify" vertical="top" wrapText="1"/>
    </xf>
    <xf numFmtId="37" fontId="4" fillId="0" borderId="0" xfId="0" applyFont="1" applyFill="1" applyAlignment="1">
      <alignment horizontal="justify" vertical="top" wrapText="1"/>
    </xf>
    <xf numFmtId="0" fontId="4" fillId="0" borderId="0" xfId="318" applyFont="1" applyFill="1" applyAlignment="1">
      <alignment horizontal="left" vertical="top" wrapText="1"/>
    </xf>
    <xf numFmtId="0" fontId="4" fillId="0" borderId="0" xfId="318" applyFont="1" applyFill="1" applyAlignment="1">
      <alignment horizontal="justify" vertical="top"/>
    </xf>
    <xf numFmtId="37" fontId="0" fillId="0" borderId="0" xfId="0" applyFill="1"/>
    <xf numFmtId="0" fontId="4" fillId="0" borderId="0" xfId="318" applyFont="1" applyFill="1" applyAlignment="1">
      <alignment horizontal="justify" vertical="top" wrapText="1"/>
    </xf>
    <xf numFmtId="0" fontId="7" fillId="0" borderId="0" xfId="318" applyFont="1" applyFill="1" applyAlignment="1">
      <alignment horizontal="justify" vertical="top" wrapText="1"/>
    </xf>
    <xf numFmtId="37" fontId="17" fillId="0" borderId="0" xfId="318" applyNumberFormat="1" applyFont="1" applyFill="1" applyAlignment="1">
      <alignment horizontal="center" vertical="top"/>
    </xf>
    <xf numFmtId="0" fontId="17" fillId="0" borderId="0" xfId="318" applyFont="1" applyFill="1" applyAlignment="1">
      <alignment horizontal="center" vertical="top"/>
    </xf>
    <xf numFmtId="37" fontId="5" fillId="0" borderId="0" xfId="318" applyNumberFormat="1" applyFont="1" applyFill="1" applyAlignment="1">
      <alignment horizontal="center" vertical="top"/>
    </xf>
    <xf numFmtId="0" fontId="5" fillId="0" borderId="0" xfId="318" applyFont="1" applyFill="1" applyAlignment="1">
      <alignment horizontal="center" vertical="top"/>
    </xf>
    <xf numFmtId="0" fontId="4" fillId="0" borderId="0" xfId="318" applyFont="1" applyFill="1" applyAlignment="1">
      <alignment horizontal="left" wrapText="1"/>
    </xf>
    <xf numFmtId="37" fontId="126" fillId="0" borderId="0" xfId="0" applyFont="1" applyFill="1" applyAlignment="1">
      <alignment horizontal="center"/>
    </xf>
    <xf numFmtId="0" fontId="121" fillId="0" borderId="0" xfId="318" applyFont="1" applyFill="1" applyAlignment="1">
      <alignment horizontal="left" vertical="top"/>
    </xf>
    <xf numFmtId="37" fontId="129" fillId="0" borderId="0" xfId="318" applyNumberFormat="1" applyFont="1" applyFill="1" applyAlignment="1">
      <alignment horizontal="center" vertical="top"/>
    </xf>
    <xf numFmtId="0" fontId="129" fillId="0" borderId="0" xfId="318" applyFont="1" applyFill="1" applyAlignment="1">
      <alignment horizontal="center" vertical="top"/>
    </xf>
    <xf numFmtId="37" fontId="126" fillId="0" borderId="0" xfId="318" applyNumberFormat="1" applyFont="1" applyFill="1" applyAlignment="1">
      <alignment horizontal="center" vertical="top"/>
    </xf>
    <xf numFmtId="0" fontId="126" fillId="0" borderId="0" xfId="318" applyFont="1" applyFill="1" applyAlignment="1">
      <alignment horizontal="center" vertical="top"/>
    </xf>
    <xf numFmtId="0" fontId="121" fillId="0" borderId="0" xfId="318" applyFont="1" applyFill="1" applyAlignment="1">
      <alignment horizontal="justify" vertical="top" wrapText="1"/>
    </xf>
    <xf numFmtId="37" fontId="132" fillId="0" borderId="0" xfId="0" applyFont="1" applyFill="1" applyAlignment="1">
      <alignment horizontal="justify" vertical="top" wrapText="1"/>
    </xf>
    <xf numFmtId="0" fontId="121" fillId="0" borderId="0" xfId="318" applyFont="1" applyFill="1" applyAlignment="1">
      <alignment horizontal="left" vertical="top" wrapText="1"/>
    </xf>
    <xf numFmtId="37" fontId="129" fillId="0" borderId="0" xfId="318" applyNumberFormat="1" applyFont="1" applyAlignment="1">
      <alignment horizontal="center" vertical="top"/>
    </xf>
    <xf numFmtId="0" fontId="129" fillId="0" borderId="0" xfId="318" applyFont="1" applyAlignment="1">
      <alignment horizontal="center" vertical="top"/>
    </xf>
    <xf numFmtId="37" fontId="126" fillId="0" borderId="0" xfId="318" applyNumberFormat="1" applyFont="1" applyAlignment="1">
      <alignment horizontal="center" vertical="top"/>
    </xf>
    <xf numFmtId="0" fontId="126" fillId="0" borderId="0" xfId="318" applyFont="1" applyAlignment="1">
      <alignment horizontal="center" vertical="top"/>
    </xf>
    <xf numFmtId="37" fontId="30" fillId="0" borderId="0" xfId="0" applyFont="1" applyAlignment="1">
      <alignment horizontal="center"/>
    </xf>
    <xf numFmtId="37" fontId="17" fillId="0" borderId="0" xfId="306" applyNumberFormat="1" applyFont="1" applyAlignment="1">
      <alignment horizontal="center"/>
    </xf>
    <xf numFmtId="49" fontId="5" fillId="0" borderId="0" xfId="306" applyNumberFormat="1" applyFont="1" applyFill="1" applyAlignment="1">
      <alignment horizontal="center"/>
    </xf>
    <xf numFmtId="37" fontId="5" fillId="0" borderId="0" xfId="306" applyNumberFormat="1" applyFont="1" applyFill="1" applyAlignment="1">
      <alignment horizontal="center"/>
    </xf>
    <xf numFmtId="0" fontId="5" fillId="0" borderId="0" xfId="306" applyFont="1" applyFill="1" applyAlignment="1">
      <alignment horizontal="center"/>
    </xf>
    <xf numFmtId="37" fontId="5" fillId="0" borderId="0" xfId="239" applyNumberFormat="1" applyFont="1" applyFill="1" applyAlignment="1">
      <alignment horizontal="center"/>
    </xf>
    <xf numFmtId="0" fontId="5" fillId="0" borderId="0" xfId="0" applyNumberFormat="1" applyFont="1" applyFill="1" applyAlignment="1">
      <alignment horizontal="center"/>
    </xf>
    <xf numFmtId="37" fontId="5" fillId="0" borderId="0" xfId="0" quotePrefix="1" applyFont="1" applyFill="1" applyAlignment="1">
      <alignment horizontal="center" wrapText="1"/>
    </xf>
    <xf numFmtId="37" fontId="5" fillId="0" borderId="0" xfId="0" quotePrefix="1" applyFont="1" applyFill="1" applyAlignment="1">
      <alignment horizontal="center"/>
    </xf>
    <xf numFmtId="37" fontId="5" fillId="0" borderId="0" xfId="0" applyFont="1" applyFill="1" applyBorder="1" applyAlignment="1">
      <alignment horizontal="center"/>
    </xf>
    <xf numFmtId="49" fontId="4" fillId="0" borderId="0" xfId="0" applyNumberFormat="1" applyFont="1" applyFill="1" applyAlignment="1">
      <alignment horizontal="left" vertical="top" wrapText="1"/>
    </xf>
    <xf numFmtId="0" fontId="5" fillId="0" borderId="0" xfId="239" applyFont="1" applyFill="1" applyAlignment="1">
      <alignment horizontal="center"/>
    </xf>
    <xf numFmtId="0" fontId="17" fillId="0" borderId="0" xfId="239" applyFont="1" applyFill="1" applyAlignment="1">
      <alignment horizontal="center"/>
    </xf>
    <xf numFmtId="37" fontId="86" fillId="0" borderId="0" xfId="0" applyFont="1" applyFill="1" applyAlignment="1">
      <alignment horizontal="center"/>
    </xf>
    <xf numFmtId="14" fontId="5" fillId="0" borderId="0" xfId="0" applyNumberFormat="1" applyFont="1" applyFill="1" applyAlignment="1">
      <alignment horizontal="center"/>
    </xf>
    <xf numFmtId="37" fontId="2" fillId="0" borderId="0" xfId="0" applyFont="1" applyFill="1" applyAlignment="1">
      <alignment horizontal="center" wrapText="1"/>
    </xf>
    <xf numFmtId="37" fontId="2" fillId="0" borderId="0" xfId="0" applyFont="1" applyAlignment="1">
      <alignment horizontal="center" wrapText="1"/>
    </xf>
    <xf numFmtId="37" fontId="5" fillId="0" borderId="0" xfId="239" applyNumberFormat="1" applyFont="1" applyFill="1" applyAlignment="1" applyProtection="1">
      <alignment horizontal="center"/>
    </xf>
    <xf numFmtId="37" fontId="5" fillId="0" borderId="0" xfId="239" applyNumberFormat="1" applyFont="1" applyAlignment="1">
      <alignment horizontal="center"/>
    </xf>
    <xf numFmtId="0" fontId="5" fillId="0" borderId="0" xfId="239" applyFont="1" applyAlignment="1">
      <alignment horizontal="center"/>
    </xf>
    <xf numFmtId="37" fontId="121" fillId="0" borderId="0" xfId="0" applyFont="1" applyAlignment="1">
      <alignment horizontal="justify" vertical="center" wrapText="1"/>
    </xf>
    <xf numFmtId="37" fontId="3" fillId="0" borderId="0" xfId="0" applyFont="1" applyAlignment="1">
      <alignment horizontal="justify" vertical="center" wrapText="1"/>
    </xf>
    <xf numFmtId="37" fontId="130" fillId="0" borderId="0" xfId="0" applyFont="1" applyAlignment="1">
      <alignment horizontal="center"/>
    </xf>
    <xf numFmtId="43" fontId="120" fillId="0" borderId="0" xfId="281" applyNumberFormat="1" applyFont="1" applyFill="1" applyAlignment="1">
      <alignment horizontal="left"/>
    </xf>
    <xf numFmtId="37" fontId="126" fillId="0" borderId="0" xfId="239" applyNumberFormat="1" applyFont="1" applyFill="1" applyAlignment="1">
      <alignment horizontal="center"/>
    </xf>
    <xf numFmtId="0" fontId="126" fillId="0" borderId="0" xfId="239" applyFont="1" applyFill="1" applyAlignment="1">
      <alignment horizontal="center"/>
    </xf>
    <xf numFmtId="49" fontId="124" fillId="0" borderId="0" xfId="281" applyNumberFormat="1" applyFont="1" applyFill="1" applyAlignment="1">
      <alignment horizontal="justify" vertical="top" wrapText="1"/>
    </xf>
    <xf numFmtId="0" fontId="76" fillId="0" borderId="0" xfId="225" applyFont="1" applyFill="1" applyAlignment="1">
      <alignment horizontal="center"/>
    </xf>
    <xf numFmtId="0" fontId="76" fillId="0" borderId="0" xfId="225" applyFont="1" applyAlignment="1">
      <alignment horizontal="center"/>
    </xf>
    <xf numFmtId="0" fontId="77" fillId="0" borderId="0" xfId="225" applyFont="1" applyFill="1" applyAlignment="1">
      <alignment horizontal="center"/>
    </xf>
    <xf numFmtId="0" fontId="5" fillId="0" borderId="0" xfId="221" applyFont="1" applyAlignment="1">
      <alignment horizontal="center"/>
    </xf>
    <xf numFmtId="37" fontId="5" fillId="0" borderId="0" xfId="221" applyNumberFormat="1" applyFont="1" applyAlignment="1">
      <alignment horizontal="center"/>
    </xf>
    <xf numFmtId="37" fontId="5" fillId="0" borderId="0" xfId="221" applyNumberFormat="1" applyFont="1" applyFill="1" applyAlignment="1">
      <alignment horizontal="center"/>
    </xf>
    <xf numFmtId="0" fontId="121" fillId="0" borderId="0" xfId="194" applyFont="1" applyFill="1" applyAlignment="1">
      <alignment horizontal="center"/>
    </xf>
    <xf numFmtId="0" fontId="121" fillId="0" borderId="0" xfId="194" applyFont="1" applyFill="1" applyBorder="1" applyAlignment="1">
      <alignment horizontal="center" wrapText="1"/>
    </xf>
    <xf numFmtId="43" fontId="4" fillId="0" borderId="44" xfId="194" applyNumberFormat="1" applyFont="1" applyBorder="1" applyAlignment="1">
      <alignment horizontal="center"/>
    </xf>
    <xf numFmtId="0" fontId="4" fillId="0" borderId="44" xfId="194" applyFont="1" applyBorder="1" applyAlignment="1">
      <alignment horizontal="center"/>
    </xf>
    <xf numFmtId="43" fontId="121" fillId="0" borderId="0" xfId="194" applyNumberFormat="1" applyFont="1" applyFill="1" applyBorder="1" applyAlignment="1">
      <alignment horizontal="center"/>
    </xf>
    <xf numFmtId="43" fontId="121" fillId="0" borderId="5" xfId="194" applyNumberFormat="1" applyFont="1" applyBorder="1" applyAlignment="1">
      <alignment horizontal="center"/>
    </xf>
    <xf numFmtId="0" fontId="121" fillId="0" borderId="2" xfId="194" applyFont="1" applyFill="1" applyBorder="1" applyAlignment="1">
      <alignment horizontal="center"/>
    </xf>
    <xf numFmtId="43" fontId="121" fillId="0" borderId="0" xfId="194" applyNumberFormat="1" applyFont="1" applyFill="1" applyAlignment="1">
      <alignment horizontal="center"/>
    </xf>
    <xf numFmtId="43" fontId="121" fillId="0" borderId="5" xfId="194" applyNumberFormat="1" applyFont="1" applyFill="1" applyBorder="1" applyAlignment="1">
      <alignment horizontal="center"/>
    </xf>
    <xf numFmtId="37" fontId="26" fillId="0" borderId="0" xfId="0" applyFont="1" applyFill="1" applyAlignment="1">
      <alignment horizontal="center" wrapText="1"/>
    </xf>
    <xf numFmtId="0" fontId="126" fillId="0" borderId="0" xfId="194" applyFont="1" applyBorder="1" applyAlignment="1">
      <alignment horizontal="center"/>
    </xf>
    <xf numFmtId="37" fontId="138" fillId="0" borderId="0" xfId="0" applyFont="1" applyFill="1" applyAlignment="1">
      <alignment vertical="top" wrapText="1"/>
    </xf>
    <xf numFmtId="37" fontId="138" fillId="0" borderId="0" xfId="0" applyFont="1" applyFill="1" applyAlignment="1">
      <alignment vertical="top"/>
    </xf>
    <xf numFmtId="0" fontId="4" fillId="0" borderId="35" xfId="306" applyFont="1" applyFill="1" applyBorder="1"/>
    <xf numFmtId="0" fontId="4" fillId="0" borderId="2" xfId="306" applyFont="1" applyFill="1" applyBorder="1"/>
    <xf numFmtId="0" fontId="4" fillId="0" borderId="34" xfId="306" applyFont="1" applyFill="1" applyBorder="1"/>
    <xf numFmtId="0" fontId="4" fillId="0" borderId="33" xfId="306" applyFont="1" applyFill="1" applyBorder="1"/>
    <xf numFmtId="0" fontId="4" fillId="0" borderId="0" xfId="306" applyFont="1" applyFill="1" applyBorder="1"/>
    <xf numFmtId="0" fontId="4" fillId="0" borderId="32" xfId="306" applyFont="1" applyFill="1" applyBorder="1"/>
    <xf numFmtId="0" fontId="4" fillId="0" borderId="31" xfId="306" applyFont="1" applyFill="1" applyBorder="1"/>
    <xf numFmtId="0" fontId="4" fillId="0" borderId="5" xfId="306" applyFont="1" applyFill="1" applyBorder="1"/>
    <xf numFmtId="0" fontId="4" fillId="0" borderId="30" xfId="306" applyFont="1" applyFill="1" applyBorder="1"/>
    <xf numFmtId="37" fontId="13" fillId="0" borderId="0" xfId="0" applyFont="1" applyFill="1"/>
    <xf numFmtId="41" fontId="5" fillId="0" borderId="0" xfId="0" applyNumberFormat="1" applyFont="1" applyFill="1"/>
    <xf numFmtId="41" fontId="5" fillId="0" borderId="0" xfId="0" applyNumberFormat="1" applyFont="1" applyFill="1" applyProtection="1"/>
    <xf numFmtId="165" fontId="14" fillId="0" borderId="0" xfId="0" applyNumberFormat="1" applyFont="1" applyFill="1"/>
    <xf numFmtId="41" fontId="14" fillId="0" borderId="0" xfId="0" applyNumberFormat="1" applyFont="1" applyFill="1" applyAlignment="1">
      <alignment horizontal="center"/>
    </xf>
    <xf numFmtId="165" fontId="14" fillId="0" borderId="0" xfId="0" applyNumberFormat="1" applyFont="1" applyFill="1" applyAlignment="1">
      <alignment horizontal="center"/>
    </xf>
    <xf numFmtId="14" fontId="14" fillId="0" borderId="0" xfId="0" applyNumberFormat="1" applyFont="1" applyFill="1" applyAlignment="1">
      <alignment horizontal="center"/>
    </xf>
    <xf numFmtId="2" fontId="13" fillId="0" borderId="0" xfId="0" applyNumberFormat="1" applyFont="1" applyFill="1"/>
    <xf numFmtId="41" fontId="14" fillId="0" borderId="25" xfId="0" applyNumberFormat="1" applyFont="1" applyFill="1" applyBorder="1" applyProtection="1"/>
    <xf numFmtId="10" fontId="13" fillId="0" borderId="0" xfId="0" applyNumberFormat="1" applyFont="1" applyFill="1" applyProtection="1"/>
    <xf numFmtId="41" fontId="13" fillId="0" borderId="0" xfId="0" applyNumberFormat="1" applyFont="1" applyFill="1" applyBorder="1"/>
    <xf numFmtId="37" fontId="13" fillId="0" borderId="0" xfId="0" applyFont="1" applyFill="1" applyBorder="1"/>
    <xf numFmtId="41" fontId="14" fillId="0" borderId="23" xfId="0" applyNumberFormat="1" applyFont="1" applyFill="1" applyBorder="1"/>
    <xf numFmtId="37" fontId="34" fillId="0" borderId="0" xfId="0" applyFont="1" applyFill="1" applyAlignment="1"/>
    <xf numFmtId="37" fontId="14" fillId="0" borderId="0" xfId="0" applyFont="1" applyFill="1" applyAlignment="1"/>
    <xf numFmtId="41" fontId="13" fillId="0" borderId="0" xfId="0" applyNumberFormat="1" applyFont="1" applyFill="1" applyAlignment="1"/>
    <xf numFmtId="165" fontId="13" fillId="0" borderId="0" xfId="0" applyNumberFormat="1" applyFont="1" applyFill="1" applyAlignment="1"/>
    <xf numFmtId="41" fontId="13" fillId="0" borderId="0" xfId="0" applyNumberFormat="1" applyFont="1" applyFill="1" applyBorder="1" applyAlignment="1"/>
    <xf numFmtId="41" fontId="13" fillId="0" borderId="0" xfId="0" applyNumberFormat="1" applyFont="1" applyFill="1" applyBorder="1" applyAlignment="1" applyProtection="1"/>
    <xf numFmtId="37" fontId="13" fillId="0" borderId="0" xfId="0" applyNumberFormat="1" applyFont="1" applyFill="1" applyBorder="1" applyAlignment="1" applyProtection="1"/>
    <xf numFmtId="37" fontId="13" fillId="0" borderId="0" xfId="0" applyFont="1" applyFill="1" applyBorder="1" applyAlignment="1"/>
    <xf numFmtId="37" fontId="13" fillId="0" borderId="0" xfId="0" applyFont="1" applyFill="1" applyAlignment="1"/>
    <xf numFmtId="37" fontId="13" fillId="0" borderId="0" xfId="0" applyNumberFormat="1" applyFont="1" applyFill="1" applyProtection="1"/>
    <xf numFmtId="41" fontId="138" fillId="0" borderId="0" xfId="0" applyNumberFormat="1" applyFont="1" applyFill="1" applyAlignment="1" applyProtection="1">
      <alignment horizontal="center"/>
    </xf>
    <xf numFmtId="41" fontId="14" fillId="0" borderId="5" xfId="0" applyNumberFormat="1" applyFont="1" applyFill="1" applyBorder="1"/>
    <xf numFmtId="41" fontId="14" fillId="0" borderId="2" xfId="0" applyNumberFormat="1" applyFont="1" applyFill="1" applyBorder="1" applyProtection="1"/>
    <xf numFmtId="165" fontId="13" fillId="0" borderId="0" xfId="0" applyNumberFormat="1" applyFont="1" applyFill="1" applyProtection="1"/>
    <xf numFmtId="43" fontId="14" fillId="0" borderId="0" xfId="0" applyNumberFormat="1" applyFont="1" applyFill="1"/>
  </cellXfs>
  <cellStyles count="427">
    <cellStyle name="20% - Accent1 2" xfId="1"/>
    <cellStyle name="20% - Accent1 3" xfId="2"/>
    <cellStyle name="20% - Accent2 2" xfId="3"/>
    <cellStyle name="20% - Accent3 2" xfId="4"/>
    <cellStyle name="20% - Accent4 2" xfId="5"/>
    <cellStyle name="20% - Accent4 3" xfId="6"/>
    <cellStyle name="20% - Accent5 2" xfId="7"/>
    <cellStyle name="20% - Accent6 2" xfId="8"/>
    <cellStyle name="40% - Accent1 2" xfId="9"/>
    <cellStyle name="40% - Accent1 3" xfId="10"/>
    <cellStyle name="40% - Accent2 2" xfId="11"/>
    <cellStyle name="40% - Accent3 2" xfId="12"/>
    <cellStyle name="40% - Accent4 2" xfId="13"/>
    <cellStyle name="40% - Accent4 3" xfId="14"/>
    <cellStyle name="40% - Accent5 2" xfId="15"/>
    <cellStyle name="40% - Accent6 2" xfId="16"/>
    <cellStyle name="40% - Accent6 3" xfId="17"/>
    <cellStyle name="60% - Accent1 2" xfId="18"/>
    <cellStyle name="60% - Accent1 3" xfId="19"/>
    <cellStyle name="60% - Accent2 2" xfId="20"/>
    <cellStyle name="60% - Accent3 2" xfId="21"/>
    <cellStyle name="60% - Accent3 3" xfId="22"/>
    <cellStyle name="60% - Accent4 2" xfId="23"/>
    <cellStyle name="60% - Accent4 3" xfId="24"/>
    <cellStyle name="60% - Accent5 2" xfId="25"/>
    <cellStyle name="60% - Accent6 2" xfId="26"/>
    <cellStyle name="Accent1 2" xfId="27"/>
    <cellStyle name="Accent1 3" xfId="28"/>
    <cellStyle name="Accent2 2" xfId="29"/>
    <cellStyle name="Accent3 2" xfId="30"/>
    <cellStyle name="Accent4 2" xfId="31"/>
    <cellStyle name="Accent5" xfId="426" builtinId="45"/>
    <cellStyle name="Accent5 2" xfId="32"/>
    <cellStyle name="Accent6 2" xfId="33"/>
    <cellStyle name="Accounting" xfId="34"/>
    <cellStyle name="Accounting 2" xfId="35"/>
    <cellStyle name="Accounting 3" xfId="36"/>
    <cellStyle name="Accounting_2011-11" xfId="37"/>
    <cellStyle name="Bad 2" xfId="38"/>
    <cellStyle name="Budget" xfId="39"/>
    <cellStyle name="Budget 2" xfId="40"/>
    <cellStyle name="Budget 3" xfId="41"/>
    <cellStyle name="Budget_2011-11" xfId="42"/>
    <cellStyle name="C00A" xfId="43"/>
    <cellStyle name="C00B" xfId="44"/>
    <cellStyle name="C00L" xfId="45"/>
    <cellStyle name="C01A" xfId="46"/>
    <cellStyle name="C01B" xfId="47"/>
    <cellStyle name="C01H" xfId="48"/>
    <cellStyle name="C01L" xfId="49"/>
    <cellStyle name="C02A" xfId="50"/>
    <cellStyle name="C02B" xfId="51"/>
    <cellStyle name="C02H" xfId="52"/>
    <cellStyle name="C02L" xfId="53"/>
    <cellStyle name="C03A" xfId="54"/>
    <cellStyle name="C03B" xfId="55"/>
    <cellStyle name="C03H" xfId="56"/>
    <cellStyle name="C03L" xfId="57"/>
    <cellStyle name="C04A" xfId="58"/>
    <cellStyle name="C04B" xfId="59"/>
    <cellStyle name="C04H" xfId="60"/>
    <cellStyle name="C04L" xfId="61"/>
    <cellStyle name="C05A" xfId="62"/>
    <cellStyle name="C05B" xfId="63"/>
    <cellStyle name="C05H" xfId="64"/>
    <cellStyle name="C05L" xfId="65"/>
    <cellStyle name="C06A" xfId="66"/>
    <cellStyle name="C06B" xfId="67"/>
    <cellStyle name="C06H" xfId="68"/>
    <cellStyle name="C06L" xfId="69"/>
    <cellStyle name="C07A" xfId="70"/>
    <cellStyle name="C07B" xfId="71"/>
    <cellStyle name="C07H" xfId="72"/>
    <cellStyle name="C07L" xfId="73"/>
    <cellStyle name="Calculation 2" xfId="74"/>
    <cellStyle name="Calculation 3" xfId="75"/>
    <cellStyle name="Check Cell 2" xfId="76"/>
    <cellStyle name="combo" xfId="77"/>
    <cellStyle name="Comma" xfId="78" builtinId="3"/>
    <cellStyle name="Comma [0] 2" xfId="79"/>
    <cellStyle name="Comma 10" xfId="80"/>
    <cellStyle name="Comma 11" xfId="81"/>
    <cellStyle name="Comma 12" xfId="82"/>
    <cellStyle name="Comma 13" xfId="83"/>
    <cellStyle name="Comma 14" xfId="84"/>
    <cellStyle name="Comma 15" xfId="85"/>
    <cellStyle name="Comma 16" xfId="86"/>
    <cellStyle name="Comma 17" xfId="87"/>
    <cellStyle name="Comma 18" xfId="88"/>
    <cellStyle name="Comma 19" xfId="89"/>
    <cellStyle name="Comma 2" xfId="90"/>
    <cellStyle name="Comma 2 2" xfId="91"/>
    <cellStyle name="Comma 2 2 2" xfId="92"/>
    <cellStyle name="Comma 2 2 2 2" xfId="93"/>
    <cellStyle name="Comma 2 2 3" xfId="94"/>
    <cellStyle name="Comma 2 2 4" xfId="425"/>
    <cellStyle name="Comma 2 3" xfId="95"/>
    <cellStyle name="Comma 2 3 2" xfId="96"/>
    <cellStyle name="Comma 2 4" xfId="97"/>
    <cellStyle name="Comma 2 4 2" xfId="98"/>
    <cellStyle name="Comma 20" xfId="99"/>
    <cellStyle name="Comma 21" xfId="100"/>
    <cellStyle name="Comma 22" xfId="101"/>
    <cellStyle name="Comma 3" xfId="102"/>
    <cellStyle name="Comma 3 2" xfId="103"/>
    <cellStyle name="Comma 3 2 2" xfId="104"/>
    <cellStyle name="Comma 3 3" xfId="105"/>
    <cellStyle name="Comma 3 4" xfId="106"/>
    <cellStyle name="Comma 3 5" xfId="423"/>
    <cellStyle name="Comma 4" xfId="107"/>
    <cellStyle name="Comma 4 2" xfId="108"/>
    <cellStyle name="Comma 4 3" xfId="109"/>
    <cellStyle name="Comma 4 4" xfId="110"/>
    <cellStyle name="Comma 4 5" xfId="111"/>
    <cellStyle name="Comma 4 6" xfId="112"/>
    <cellStyle name="Comma 5" xfId="113"/>
    <cellStyle name="Comma 5 2" xfId="114"/>
    <cellStyle name="Comma 6" xfId="115"/>
    <cellStyle name="Comma 6 2" xfId="116"/>
    <cellStyle name="Comma 6 3" xfId="117"/>
    <cellStyle name="Comma 7" xfId="118"/>
    <cellStyle name="Comma 7 2" xfId="119"/>
    <cellStyle name="Comma 7 3" xfId="120"/>
    <cellStyle name="Comma 8" xfId="121"/>
    <cellStyle name="Comma 8 2" xfId="122"/>
    <cellStyle name="Comma 9" xfId="123"/>
    <cellStyle name="Comma(2)" xfId="124"/>
    <cellStyle name="Comma0" xfId="125"/>
    <cellStyle name="Comma0 - Style2" xfId="126"/>
    <cellStyle name="Comma1 - Style1" xfId="127"/>
    <cellStyle name="Comments" xfId="128"/>
    <cellStyle name="Currency 10" xfId="129"/>
    <cellStyle name="Currency 2" xfId="130"/>
    <cellStyle name="Currency 2 2" xfId="131"/>
    <cellStyle name="Currency 2 2 2" xfId="132"/>
    <cellStyle name="Currency 2 3" xfId="133"/>
    <cellStyle name="Currency 2 3 2" xfId="134"/>
    <cellStyle name="Currency 2 3 3" xfId="135"/>
    <cellStyle name="Currency 2 4" xfId="136"/>
    <cellStyle name="Currency 2 4 2" xfId="137"/>
    <cellStyle name="Currency 2 5" xfId="138"/>
    <cellStyle name="Currency 3" xfId="139"/>
    <cellStyle name="Currency 3 2" xfId="140"/>
    <cellStyle name="Currency 3 3" xfId="141"/>
    <cellStyle name="Currency 4" xfId="142"/>
    <cellStyle name="Currency 4 2" xfId="143"/>
    <cellStyle name="Currency 5" xfId="144"/>
    <cellStyle name="Currency 5 2" xfId="145"/>
    <cellStyle name="Currency 5 3" xfId="146"/>
    <cellStyle name="Currency 6" xfId="147"/>
    <cellStyle name="Currency 6 2" xfId="148"/>
    <cellStyle name="Currency 7" xfId="149"/>
    <cellStyle name="Currency 7 2" xfId="150"/>
    <cellStyle name="Currency 8" xfId="151"/>
    <cellStyle name="Currency 8 2" xfId="152"/>
    <cellStyle name="Currency 9" xfId="153"/>
    <cellStyle name="Currency 9 2" xfId="154"/>
    <cellStyle name="Currency0" xfId="155"/>
    <cellStyle name="Data Enter" xfId="156"/>
    <cellStyle name="Date" xfId="157"/>
    <cellStyle name="date 2" xfId="158"/>
    <cellStyle name="Explanatory Text 2" xfId="159"/>
    <cellStyle name="FactSheet" xfId="160"/>
    <cellStyle name="fish" xfId="161"/>
    <cellStyle name="Fixed" xfId="162"/>
    <cellStyle name="Good 2" xfId="163"/>
    <cellStyle name="Grey" xfId="164"/>
    <cellStyle name="Header1" xfId="165"/>
    <cellStyle name="Header2" xfId="166"/>
    <cellStyle name="Heading 1 2" xfId="167"/>
    <cellStyle name="Heading 1 3" xfId="168"/>
    <cellStyle name="Heading 2 2" xfId="169"/>
    <cellStyle name="Heading 2 3" xfId="170"/>
    <cellStyle name="Heading 3 2" xfId="171"/>
    <cellStyle name="Heading 3 3" xfId="172"/>
    <cellStyle name="Heading 4 2" xfId="173"/>
    <cellStyle name="Hyperlink 2" xfId="174"/>
    <cellStyle name="Hyperlink 3" xfId="175"/>
    <cellStyle name="Hyperlink 4" xfId="176"/>
    <cellStyle name="Input [yellow]" xfId="177"/>
    <cellStyle name="Input 2" xfId="178"/>
    <cellStyle name="input(0)" xfId="179"/>
    <cellStyle name="Input(2)" xfId="180"/>
    <cellStyle name="Linked Cell 2" xfId="181"/>
    <cellStyle name="MW_STANDARD" xfId="182"/>
    <cellStyle name="Neutral 2" xfId="183"/>
    <cellStyle name="New_normal" xfId="184"/>
    <cellStyle name="Normal" xfId="0" builtinId="0"/>
    <cellStyle name="Normal - Style1" xfId="185"/>
    <cellStyle name="Normal - Style2" xfId="186"/>
    <cellStyle name="Normal - Style3" xfId="187"/>
    <cellStyle name="Normal - Style4" xfId="188"/>
    <cellStyle name="Normal - Style5" xfId="189"/>
    <cellStyle name="Normal - Style6" xfId="190"/>
    <cellStyle name="Normal - Style7" xfId="191"/>
    <cellStyle name="Normal - Style8" xfId="192"/>
    <cellStyle name="Normal 10" xfId="193"/>
    <cellStyle name="Normal 10 2" xfId="194"/>
    <cellStyle name="Normal 10 2 2" xfId="195"/>
    <cellStyle name="Normal 10 2 3" xfId="196"/>
    <cellStyle name="Normal 10 3" xfId="197"/>
    <cellStyle name="Normal 10_2112 DF Schedule" xfId="198"/>
    <cellStyle name="Normal 11" xfId="199"/>
    <cellStyle name="Normal 11 2" xfId="200"/>
    <cellStyle name="Normal 11 3" xfId="201"/>
    <cellStyle name="Normal 12" xfId="202"/>
    <cellStyle name="Normal 12 2" xfId="203"/>
    <cellStyle name="Normal 13" xfId="204"/>
    <cellStyle name="Normal 13 2" xfId="205"/>
    <cellStyle name="Normal 14" xfId="206"/>
    <cellStyle name="Normal 14 2" xfId="207"/>
    <cellStyle name="Normal 15" xfId="208"/>
    <cellStyle name="Normal 15 2" xfId="209"/>
    <cellStyle name="Normal 16" xfId="210"/>
    <cellStyle name="Normal 16 2" xfId="211"/>
    <cellStyle name="Normal 17" xfId="212"/>
    <cellStyle name="Normal 18" xfId="213"/>
    <cellStyle name="Normal 19" xfId="214"/>
    <cellStyle name="Normal 2" xfId="215"/>
    <cellStyle name="Normal 2 2" xfId="216"/>
    <cellStyle name="Normal 2 2 2" xfId="217"/>
    <cellStyle name="Normal 2 2 3" xfId="218"/>
    <cellStyle name="Normal 2 2 4" xfId="219"/>
    <cellStyle name="Normal 2 2_Actual_Fuel" xfId="220"/>
    <cellStyle name="Normal 2 3" xfId="221"/>
    <cellStyle name="Normal 2 3 2" xfId="222"/>
    <cellStyle name="Normal 2 3 3" xfId="223"/>
    <cellStyle name="Normal 2 3 4" xfId="224"/>
    <cellStyle name="Normal 2 4" xfId="225"/>
    <cellStyle name="Normal 2 4 2" xfId="226"/>
    <cellStyle name="Normal 2 5" xfId="227"/>
    <cellStyle name="Normal 2 6" xfId="422"/>
    <cellStyle name="Normal 2_2012-10" xfId="228"/>
    <cellStyle name="Normal 20" xfId="229"/>
    <cellStyle name="Normal 21" xfId="230"/>
    <cellStyle name="Normal 22" xfId="231"/>
    <cellStyle name="Normal 23" xfId="232"/>
    <cellStyle name="Normal 24" xfId="233"/>
    <cellStyle name="Normal 25" xfId="234"/>
    <cellStyle name="Normal 26" xfId="235"/>
    <cellStyle name="Normal 27" xfId="236"/>
    <cellStyle name="Normal 28" xfId="237"/>
    <cellStyle name="Normal 29" xfId="238"/>
    <cellStyle name="Normal 3" xfId="239"/>
    <cellStyle name="Normal 3 2" xfId="240"/>
    <cellStyle name="Normal 3 3" xfId="241"/>
    <cellStyle name="Normal 3 4" xfId="242"/>
    <cellStyle name="Normal 3_2012 PR" xfId="243"/>
    <cellStyle name="Normal 30" xfId="244"/>
    <cellStyle name="Normal 31" xfId="245"/>
    <cellStyle name="Normal 32" xfId="246"/>
    <cellStyle name="Normal 33" xfId="247"/>
    <cellStyle name="Normal 34" xfId="248"/>
    <cellStyle name="Normal 35" xfId="249"/>
    <cellStyle name="Normal 36" xfId="250"/>
    <cellStyle name="Normal 37" xfId="251"/>
    <cellStyle name="Normal 38" xfId="252"/>
    <cellStyle name="Normal 39" xfId="253"/>
    <cellStyle name="Normal 4" xfId="254"/>
    <cellStyle name="Normal 4 2" xfId="255"/>
    <cellStyle name="Normal 40" xfId="256"/>
    <cellStyle name="Normal 41" xfId="257"/>
    <cellStyle name="Normal 42" xfId="258"/>
    <cellStyle name="Normal 43" xfId="259"/>
    <cellStyle name="Normal 44" xfId="260"/>
    <cellStyle name="Normal 45" xfId="261"/>
    <cellStyle name="Normal 46" xfId="262"/>
    <cellStyle name="Normal 47" xfId="263"/>
    <cellStyle name="Normal 48" xfId="264"/>
    <cellStyle name="Normal 49" xfId="265"/>
    <cellStyle name="Normal 5" xfId="266"/>
    <cellStyle name="Normal 5 2" xfId="267"/>
    <cellStyle name="Normal 5 2 2" xfId="268"/>
    <cellStyle name="Normal 5 3" xfId="269"/>
    <cellStyle name="Normal 5_2112 DF Schedule" xfId="270"/>
    <cellStyle name="Normal 50" xfId="271"/>
    <cellStyle name="Normal 51" xfId="272"/>
    <cellStyle name="Normal 52" xfId="273"/>
    <cellStyle name="Normal 53" xfId="274"/>
    <cellStyle name="Normal 54" xfId="275"/>
    <cellStyle name="Normal 55" xfId="276"/>
    <cellStyle name="Normal 56" xfId="277"/>
    <cellStyle name="Normal 57" xfId="278"/>
    <cellStyle name="Normal 58" xfId="279"/>
    <cellStyle name="Normal 59" xfId="280"/>
    <cellStyle name="Normal 6" xfId="281"/>
    <cellStyle name="Normal 6 2" xfId="282"/>
    <cellStyle name="Normal 6 3" xfId="283"/>
    <cellStyle name="Normal 60" xfId="284"/>
    <cellStyle name="Normal 61" xfId="285"/>
    <cellStyle name="Normal 62" xfId="286"/>
    <cellStyle name="Normal 63" xfId="287"/>
    <cellStyle name="Normal 64" xfId="288"/>
    <cellStyle name="Normal 65" xfId="289"/>
    <cellStyle name="Normal 66" xfId="290"/>
    <cellStyle name="Normal 67" xfId="291"/>
    <cellStyle name="Normal 68" xfId="292"/>
    <cellStyle name="Normal 69" xfId="293"/>
    <cellStyle name="Normal 7" xfId="294"/>
    <cellStyle name="Normal 7 2" xfId="295"/>
    <cellStyle name="Normal 70" xfId="296"/>
    <cellStyle name="Normal 71" xfId="297"/>
    <cellStyle name="Normal 72" xfId="298"/>
    <cellStyle name="Normal 73" xfId="299"/>
    <cellStyle name="Normal 74" xfId="300"/>
    <cellStyle name="Normal 75" xfId="301"/>
    <cellStyle name="Normal 76" xfId="302"/>
    <cellStyle name="Normal 77" xfId="303"/>
    <cellStyle name="Normal 78" xfId="304"/>
    <cellStyle name="Normal 79" xfId="305"/>
    <cellStyle name="Normal 8" xfId="306"/>
    <cellStyle name="Normal 8 2" xfId="307"/>
    <cellStyle name="Normal 80" xfId="308"/>
    <cellStyle name="Normal 81" xfId="309"/>
    <cellStyle name="Normal 82" xfId="310"/>
    <cellStyle name="Normal 83" xfId="311"/>
    <cellStyle name="Normal 84" xfId="312"/>
    <cellStyle name="Normal 85" xfId="313"/>
    <cellStyle name="Normal 86" xfId="314"/>
    <cellStyle name="Normal 9" xfId="315"/>
    <cellStyle name="Normal 9 2" xfId="316"/>
    <cellStyle name="Normal 9 3" xfId="317"/>
    <cellStyle name="Normal_Book1" xfId="318"/>
    <cellStyle name="Note 2" xfId="319"/>
    <cellStyle name="Note 3" xfId="320"/>
    <cellStyle name="Notes" xfId="321"/>
    <cellStyle name="Output 2" xfId="322"/>
    <cellStyle name="Percent" xfId="323" builtinId="5"/>
    <cellStyle name="Percent [2]" xfId="324"/>
    <cellStyle name="Percent 10" xfId="325"/>
    <cellStyle name="Percent 11" xfId="326"/>
    <cellStyle name="Percent 12" xfId="327"/>
    <cellStyle name="Percent 13" xfId="328"/>
    <cellStyle name="Percent 2" xfId="329"/>
    <cellStyle name="Percent 2 2" xfId="330"/>
    <cellStyle name="Percent 2 2 2" xfId="331"/>
    <cellStyle name="Percent 2 2 2 2" xfId="332"/>
    <cellStyle name="Percent 2 2 3" xfId="333"/>
    <cellStyle name="Percent 2 2 4" xfId="334"/>
    <cellStyle name="Percent 2 3" xfId="335"/>
    <cellStyle name="Percent 2 3 2" xfId="336"/>
    <cellStyle name="Percent 2 4" xfId="337"/>
    <cellStyle name="Percent 2 4 2" xfId="338"/>
    <cellStyle name="Percent 2 5" xfId="339"/>
    <cellStyle name="Percent 2 6" xfId="340"/>
    <cellStyle name="Percent 3" xfId="341"/>
    <cellStyle name="Percent 3 2" xfId="342"/>
    <cellStyle name="Percent 3 2 2" xfId="343"/>
    <cellStyle name="Percent 3 3" xfId="344"/>
    <cellStyle name="Percent 3 3 2" xfId="345"/>
    <cellStyle name="Percent 3 4" xfId="346"/>
    <cellStyle name="Percent 3 5" xfId="347"/>
    <cellStyle name="Percent 3 6" xfId="424"/>
    <cellStyle name="Percent 4" xfId="348"/>
    <cellStyle name="Percent 4 2" xfId="349"/>
    <cellStyle name="Percent 4 3" xfId="350"/>
    <cellStyle name="Percent 5" xfId="351"/>
    <cellStyle name="Percent 6" xfId="352"/>
    <cellStyle name="Percent 7" xfId="353"/>
    <cellStyle name="Percent 7 2" xfId="354"/>
    <cellStyle name="Percent 8" xfId="355"/>
    <cellStyle name="Percent 9" xfId="356"/>
    <cellStyle name="Percent(1)" xfId="357"/>
    <cellStyle name="Percent(2)" xfId="358"/>
    <cellStyle name="PRM" xfId="359"/>
    <cellStyle name="PRM 2" xfId="360"/>
    <cellStyle name="PRM 3" xfId="361"/>
    <cellStyle name="PRM_2011-11" xfId="362"/>
    <cellStyle name="PS_Comma" xfId="363"/>
    <cellStyle name="PSChar" xfId="364"/>
    <cellStyle name="PSDate" xfId="365"/>
    <cellStyle name="PSDec" xfId="366"/>
    <cellStyle name="PSHeading" xfId="367"/>
    <cellStyle name="PSHeading 2" xfId="368"/>
    <cellStyle name="PSInt" xfId="369"/>
    <cellStyle name="PSSpacer" xfId="370"/>
    <cellStyle name="R00A" xfId="371"/>
    <cellStyle name="R00B" xfId="372"/>
    <cellStyle name="R00L" xfId="373"/>
    <cellStyle name="R01A" xfId="374"/>
    <cellStyle name="R01B" xfId="375"/>
    <cellStyle name="R01H" xfId="376"/>
    <cellStyle name="R01L" xfId="377"/>
    <cellStyle name="R02A" xfId="378"/>
    <cellStyle name="R02B" xfId="379"/>
    <cellStyle name="R02H" xfId="380"/>
    <cellStyle name="R02L" xfId="381"/>
    <cellStyle name="R03A" xfId="382"/>
    <cellStyle name="R03B" xfId="383"/>
    <cellStyle name="R03H" xfId="384"/>
    <cellStyle name="R03L" xfId="385"/>
    <cellStyle name="R04A" xfId="386"/>
    <cellStyle name="R04B" xfId="387"/>
    <cellStyle name="R04H" xfId="388"/>
    <cellStyle name="R04L" xfId="389"/>
    <cellStyle name="R05A" xfId="390"/>
    <cellStyle name="R05B" xfId="391"/>
    <cellStyle name="R05H" xfId="392"/>
    <cellStyle name="R05L" xfId="393"/>
    <cellStyle name="R06A" xfId="394"/>
    <cellStyle name="R06B" xfId="395"/>
    <cellStyle name="R06H" xfId="396"/>
    <cellStyle name="R06L" xfId="397"/>
    <cellStyle name="R07A" xfId="398"/>
    <cellStyle name="R07B" xfId="399"/>
    <cellStyle name="R07H" xfId="400"/>
    <cellStyle name="R07L" xfId="401"/>
    <cellStyle name="STYL0 - Style1" xfId="402"/>
    <cellStyle name="STYL1 - Style2" xfId="403"/>
    <cellStyle name="STYL2 - Style3" xfId="404"/>
    <cellStyle name="STYL3 - Style4" xfId="405"/>
    <cellStyle name="STYL4 - Style5" xfId="406"/>
    <cellStyle name="STYL5 - Style6" xfId="407"/>
    <cellStyle name="STYL6 - Style7" xfId="408"/>
    <cellStyle name="STYL7 - Style8" xfId="409"/>
    <cellStyle name="Style 1" xfId="410"/>
    <cellStyle name="Style 1 2" xfId="411"/>
    <cellStyle name="STYLE1" xfId="412"/>
    <cellStyle name="STYLE1 2" xfId="413"/>
    <cellStyle name="sub heading" xfId="414"/>
    <cellStyle name="test" xfId="415"/>
    <cellStyle name="Title 2" xfId="416"/>
    <cellStyle name="Total 2" xfId="417"/>
    <cellStyle name="Total 3" xfId="418"/>
    <cellStyle name="Warning Text 2" xfId="419"/>
    <cellStyle name="WM_STANDARD" xfId="420"/>
    <cellStyle name="WMI_Default" xfId="4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14</xdr:row>
          <xdr:rowOff>171450</xdr:rowOff>
        </xdr:from>
        <xdr:to>
          <xdr:col>2</xdr:col>
          <xdr:colOff>352425</xdr:colOff>
          <xdr:row>16</xdr:row>
          <xdr:rowOff>9525</xdr:rowOff>
        </xdr:to>
        <xdr:sp macro="" textlink="">
          <xdr:nvSpPr>
            <xdr:cNvPr id="123905" name="CheckBox1" hidden="1">
              <a:extLst>
                <a:ext uri="{63B3BB69-23CF-44E3-9099-C40C66FF867C}">
                  <a14:compatExt spid="_x0000_s123905"/>
                </a:ext>
                <a:ext uri="{FF2B5EF4-FFF2-40B4-BE49-F238E27FC236}">
                  <a16:creationId xmlns:a16="http://schemas.microsoft.com/office/drawing/2014/main" id="{00000000-0008-0000-0100-000001E401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o111\share\frsx\D0536y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3%20Rate%20Case/Dave%20Wiley/Post%20Suspension/Files%20for%20conf%20call%20032114/sent%20to%20utc/staff%20WCI%20Pro%20forma%2010-11-2013%20cos%20from%20meliss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W_COMP\Rosario\2007%20rate%20case\Worksheets\070944%20Loan%20Recalculat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dget.wm.com/plan07/F2_24_Month_Condensed_Ops_PnL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ns-2674%20Ke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TIL\TRANS\Waste%20Management%20-%20Filings\Ellensburg\Year%202009\TG-091472%20(GRC)\Staff\TG-091472%20WM%20of%20Ellensburg%20(Workpap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TRANS\Chris%20M\Solid%20Waste\Waste%20Management\Sno-King\Year%202009\TG-091933\Staff\TG-091933%20WM%20of%20SnoKing%20GRC%20(Workpap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2004%20Planning%20Requirements\5-20%20Submission\6%20Report%20Requirements\Reports%20Master%20List%20and%20Mockup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signments\Solid%20Waste\Waste%20Connections\Year%202008\American%20Disposal%20Company,%20Inc\Yr%202009\TG-090098%20(General%20Case)\Staff\TG-090097%20&amp;%20TG-090098%20Proforma%20(Staff%20-%20Route%20H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ickels\Desktop\Example%20of%20WM%20of%20SnoKi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San%20Juan%20Sanitation\WUTC\SJS%20Income%20Stat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1">
          <cell r="A1" t="str">
            <v>Fixed Assets Reconciliations - Lodi - 0543</v>
          </cell>
        </row>
        <row r="2">
          <cell r="A2" t="str">
            <v>February</v>
          </cell>
        </row>
        <row r="3">
          <cell r="B3" t="str">
            <v>Trucks</v>
          </cell>
          <cell r="C3" t="str">
            <v>Landfill PE</v>
          </cell>
          <cell r="D3" t="str">
            <v>Support Trucks</v>
          </cell>
          <cell r="E3" t="str">
            <v xml:space="preserve">Containers </v>
          </cell>
          <cell r="F3" t="str">
            <v>M&amp;E</v>
          </cell>
          <cell r="G3" t="str">
            <v>OfficeEquip</v>
          </cell>
          <cell r="H3" t="str">
            <v>Building</v>
          </cell>
          <cell r="I3" t="str">
            <v>Leashold Improv</v>
          </cell>
          <cell r="J3" t="str">
            <v>Autos</v>
          </cell>
          <cell r="K3" t="str">
            <v>Land</v>
          </cell>
          <cell r="L3" t="str">
            <v>Total Assets</v>
          </cell>
        </row>
        <row r="4">
          <cell r="A4" t="str">
            <v>Description/A/C</v>
          </cell>
          <cell r="B4" t="str">
            <v>11110 &amp;120</v>
          </cell>
          <cell r="C4">
            <v>11210</v>
          </cell>
          <cell r="D4">
            <v>11310</v>
          </cell>
          <cell r="E4" t="str">
            <v>11410 &amp; 20</v>
          </cell>
          <cell r="F4" t="str">
            <v>11510 &amp; 20</v>
          </cell>
          <cell r="G4" t="str">
            <v>11610 &amp; 20</v>
          </cell>
          <cell r="H4" t="str">
            <v>11710 &amp; 20</v>
          </cell>
          <cell r="I4">
            <v>11810</v>
          </cell>
          <cell r="J4">
            <v>11910</v>
          </cell>
          <cell r="K4">
            <v>13110</v>
          </cell>
        </row>
        <row r="6">
          <cell r="A6" t="str">
            <v>GL Beginning Bal</v>
          </cell>
          <cell r="B6">
            <v>6370279.0000000009</v>
          </cell>
          <cell r="C6">
            <v>1152675.96</v>
          </cell>
          <cell r="D6">
            <v>230167.72999999998</v>
          </cell>
          <cell r="E6">
            <v>9808085.1799999997</v>
          </cell>
          <cell r="F6">
            <v>3002548.89</v>
          </cell>
          <cell r="G6">
            <v>1058753.53</v>
          </cell>
          <cell r="H6">
            <v>5945538.0099999998</v>
          </cell>
          <cell r="I6">
            <v>2233939.7999999998</v>
          </cell>
          <cell r="J6">
            <v>47342.04</v>
          </cell>
          <cell r="K6">
            <v>987725.13</v>
          </cell>
          <cell r="L6">
            <v>30837055.270000003</v>
          </cell>
        </row>
        <row r="8">
          <cell r="A8" t="str">
            <v>Additions:</v>
          </cell>
          <cell r="B8">
            <v>0</v>
          </cell>
          <cell r="E8">
            <v>0</v>
          </cell>
          <cell r="F8">
            <v>0</v>
          </cell>
          <cell r="G8">
            <v>0</v>
          </cell>
        </row>
        <row r="11">
          <cell r="A11" t="str">
            <v>Accruals:</v>
          </cell>
        </row>
        <row r="13">
          <cell r="A13" t="str">
            <v>Deletions:</v>
          </cell>
        </row>
        <row r="15">
          <cell r="A15" t="str">
            <v>Adjusted GL Bal:</v>
          </cell>
          <cell r="B15">
            <v>6370279.0000000009</v>
          </cell>
          <cell r="C15">
            <v>1152675.96</v>
          </cell>
          <cell r="D15">
            <v>230167.72999999998</v>
          </cell>
          <cell r="E15">
            <v>9808085.1799999997</v>
          </cell>
          <cell r="F15">
            <v>3002548.89</v>
          </cell>
          <cell r="G15">
            <v>1058753.53</v>
          </cell>
          <cell r="H15">
            <v>5945538.0099999998</v>
          </cell>
          <cell r="I15">
            <v>2233939.7999999998</v>
          </cell>
          <cell r="J15">
            <v>47342.04</v>
          </cell>
          <cell r="K15">
            <v>987725.13</v>
          </cell>
          <cell r="L15">
            <v>30837055.270000003</v>
          </cell>
        </row>
        <row r="17">
          <cell r="A17" t="str">
            <v>GBA Balances</v>
          </cell>
          <cell r="B17">
            <v>6486957.9000000004</v>
          </cell>
          <cell r="C17">
            <v>1191195.51</v>
          </cell>
          <cell r="D17">
            <v>230167.73</v>
          </cell>
          <cell r="E17">
            <v>9808085.1799999997</v>
          </cell>
          <cell r="F17">
            <v>2783580.08</v>
          </cell>
          <cell r="G17">
            <v>1058752.1299999999</v>
          </cell>
          <cell r="H17">
            <v>5945538.0099999998</v>
          </cell>
          <cell r="I17">
            <v>2233939.7999999998</v>
          </cell>
          <cell r="J17">
            <v>47342.04</v>
          </cell>
          <cell r="K17">
            <v>988191.66</v>
          </cell>
          <cell r="L17">
            <v>30773750.039999999</v>
          </cell>
        </row>
        <row r="19">
          <cell r="A19" t="str">
            <v>Variance</v>
          </cell>
          <cell r="B19">
            <v>-116678.89999999944</v>
          </cell>
          <cell r="C19">
            <v>-38519.550000000047</v>
          </cell>
          <cell r="D19">
            <v>0</v>
          </cell>
          <cell r="E19">
            <v>0</v>
          </cell>
          <cell r="F19">
            <v>218968.81000000006</v>
          </cell>
          <cell r="G19">
            <v>1.4000000001396984</v>
          </cell>
          <cell r="H19">
            <v>0</v>
          </cell>
          <cell r="I19">
            <v>0</v>
          </cell>
          <cell r="J19">
            <v>0</v>
          </cell>
          <cell r="K19">
            <v>-466.53000000002794</v>
          </cell>
          <cell r="L19">
            <v>63305.230000004172</v>
          </cell>
        </row>
      </sheetData>
      <sheetData sheetId="30" refreshError="1">
        <row r="4">
          <cell r="A4" t="str">
            <v>Accumulated Depreciation:</v>
          </cell>
          <cell r="D4">
            <v>65920</v>
          </cell>
          <cell r="F4">
            <v>60925</v>
          </cell>
          <cell r="G4">
            <v>70905</v>
          </cell>
          <cell r="H4">
            <v>90910</v>
          </cell>
        </row>
        <row r="5">
          <cell r="A5" t="str">
            <v>February</v>
          </cell>
          <cell r="B5">
            <v>52930</v>
          </cell>
          <cell r="C5">
            <v>52935</v>
          </cell>
          <cell r="D5">
            <v>60920</v>
          </cell>
          <cell r="E5">
            <v>54935</v>
          </cell>
          <cell r="F5">
            <v>54925</v>
          </cell>
          <cell r="G5">
            <v>60905</v>
          </cell>
          <cell r="H5">
            <v>65910</v>
          </cell>
          <cell r="I5">
            <v>90915</v>
          </cell>
          <cell r="J5">
            <v>90900</v>
          </cell>
        </row>
        <row r="6">
          <cell r="B6" t="str">
            <v>Trucks</v>
          </cell>
          <cell r="C6" t="str">
            <v>Landfill PE</v>
          </cell>
          <cell r="D6" t="str">
            <v>Support Trucks</v>
          </cell>
          <cell r="E6" t="str">
            <v xml:space="preserve">Containers </v>
          </cell>
          <cell r="F6" t="str">
            <v>M&amp;E</v>
          </cell>
          <cell r="G6" t="str">
            <v>OfficeEquip</v>
          </cell>
          <cell r="H6" t="str">
            <v>Building</v>
          </cell>
          <cell r="I6" t="str">
            <v>Leashold Improv</v>
          </cell>
          <cell r="J6" t="str">
            <v>Autos</v>
          </cell>
          <cell r="K6" t="str">
            <v>Land</v>
          </cell>
          <cell r="L6" t="str">
            <v>Total Accumulated</v>
          </cell>
        </row>
        <row r="7">
          <cell r="A7" t="str">
            <v>Description/A/C</v>
          </cell>
          <cell r="B7" t="str">
            <v>121XX</v>
          </cell>
          <cell r="C7" t="str">
            <v>122XX</v>
          </cell>
          <cell r="D7" t="str">
            <v>123XX</v>
          </cell>
          <cell r="E7" t="str">
            <v>124XX</v>
          </cell>
          <cell r="F7" t="str">
            <v>125XX</v>
          </cell>
          <cell r="G7" t="str">
            <v>126XX</v>
          </cell>
          <cell r="H7" t="str">
            <v>127XX</v>
          </cell>
          <cell r="I7" t="str">
            <v>128XX</v>
          </cell>
          <cell r="J7" t="str">
            <v>129XX</v>
          </cell>
          <cell r="K7">
            <v>13250</v>
          </cell>
          <cell r="L7" t="str">
            <v>Depreciation</v>
          </cell>
        </row>
        <row r="9">
          <cell r="A9" t="str">
            <v>GL Beginning Bal</v>
          </cell>
          <cell r="B9">
            <v>-4345139.9400000004</v>
          </cell>
          <cell r="C9">
            <v>-631095.49999999988</v>
          </cell>
          <cell r="D9">
            <v>-197525.75999999998</v>
          </cell>
          <cell r="E9">
            <v>-6570378.0800000001</v>
          </cell>
          <cell r="F9">
            <v>-2358947.5299999998</v>
          </cell>
          <cell r="G9">
            <v>-645903.84000000008</v>
          </cell>
          <cell r="H9">
            <v>-2171023.04</v>
          </cell>
          <cell r="I9">
            <v>-726384.56</v>
          </cell>
          <cell r="J9">
            <v>-36395.379999999997</v>
          </cell>
          <cell r="K9">
            <v>-466.76</v>
          </cell>
          <cell r="L9">
            <v>-17683260.390000001</v>
          </cell>
        </row>
        <row r="11">
          <cell r="A11" t="str">
            <v>Additions:</v>
          </cell>
          <cell r="B11">
            <v>-65915.709999999992</v>
          </cell>
          <cell r="C11">
            <v>-22490.11</v>
          </cell>
          <cell r="D11">
            <v>-2297.98</v>
          </cell>
          <cell r="E11">
            <v>-89579.91</v>
          </cell>
          <cell r="F11">
            <v>-55942.879999999997</v>
          </cell>
          <cell r="G11">
            <v>-29722.478000000003</v>
          </cell>
          <cell r="H11">
            <v>-41958.92</v>
          </cell>
          <cell r="I11">
            <v>-20345.439999999999</v>
          </cell>
          <cell r="J11">
            <v>-729.78</v>
          </cell>
          <cell r="L11">
            <v>-328983.20799999998</v>
          </cell>
        </row>
        <row r="13">
          <cell r="B13">
            <v>5502.79</v>
          </cell>
          <cell r="C13">
            <v>-5502.79</v>
          </cell>
        </row>
        <row r="14">
          <cell r="A14" t="str">
            <v>Accruals:</v>
          </cell>
        </row>
        <row r="16">
          <cell r="A16" t="str">
            <v>Deletions:</v>
          </cell>
        </row>
        <row r="18">
          <cell r="A18" t="str">
            <v>Adjusted GL Bal:</v>
          </cell>
          <cell r="B18">
            <v>-4405552.8600000003</v>
          </cell>
          <cell r="C18">
            <v>-659088.39999999991</v>
          </cell>
          <cell r="D18">
            <v>-199823.74</v>
          </cell>
          <cell r="E18">
            <v>-6659957.9900000002</v>
          </cell>
          <cell r="F18">
            <v>-2414890.4099999997</v>
          </cell>
          <cell r="G18">
            <v>-675626.31800000009</v>
          </cell>
          <cell r="H18">
            <v>-2212981.96</v>
          </cell>
          <cell r="I18">
            <v>-746730</v>
          </cell>
          <cell r="J18">
            <v>-37125.159999999996</v>
          </cell>
          <cell r="K18">
            <v>0</v>
          </cell>
          <cell r="L18">
            <v>-18011776.838</v>
          </cell>
        </row>
        <row r="20">
          <cell r="A20" t="str">
            <v>GBA Balances</v>
          </cell>
          <cell r="B20">
            <v>-4438805.79</v>
          </cell>
          <cell r="C20">
            <v>-659088.4</v>
          </cell>
          <cell r="D20">
            <v>-199823.74</v>
          </cell>
          <cell r="E20">
            <v>-6659957.9900000002</v>
          </cell>
          <cell r="F20">
            <v>-2243545.98</v>
          </cell>
          <cell r="G20">
            <v>-675626.34</v>
          </cell>
          <cell r="H20">
            <v>-2212981.96</v>
          </cell>
          <cell r="I20">
            <v>-746730</v>
          </cell>
          <cell r="J20">
            <v>-37125.160000000003</v>
          </cell>
          <cell r="K20">
            <v>-466.76</v>
          </cell>
          <cell r="L20">
            <v>-17874152.120000005</v>
          </cell>
        </row>
        <row r="22">
          <cell r="A22" t="str">
            <v>Variance</v>
          </cell>
          <cell r="B22">
            <v>33252.929999999702</v>
          </cell>
          <cell r="C22">
            <v>0</v>
          </cell>
          <cell r="D22">
            <v>0</v>
          </cell>
          <cell r="E22">
            <v>0</v>
          </cell>
          <cell r="F22">
            <v>-171344.4299999997</v>
          </cell>
          <cell r="G22">
            <v>2.199999988079071E-2</v>
          </cell>
          <cell r="H22">
            <v>0</v>
          </cell>
          <cell r="I22">
            <v>0</v>
          </cell>
          <cell r="J22">
            <v>0</v>
          </cell>
          <cell r="K22">
            <v>466.76</v>
          </cell>
          <cell r="L22">
            <v>-137624.71799999475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1">
          <cell r="A1" t="str">
            <v>CWRS</v>
          </cell>
        </row>
        <row r="2">
          <cell r="A2" t="str">
            <v>COPMPST AND OTHER SALES</v>
          </cell>
        </row>
        <row r="3">
          <cell r="A3" t="str">
            <v>SALES &amp; USE TAX</v>
          </cell>
        </row>
        <row r="5">
          <cell r="C5" t="str">
            <v>TAXABLE</v>
          </cell>
          <cell r="D5" t="str">
            <v>NONTAXABLE</v>
          </cell>
          <cell r="E5" t="str">
            <v>TOTAL</v>
          </cell>
        </row>
        <row r="7">
          <cell r="A7" t="str">
            <v>OCT 1999:</v>
          </cell>
        </row>
        <row r="8">
          <cell r="A8" t="str">
            <v>T/S SALES</v>
          </cell>
          <cell r="C8">
            <v>0</v>
          </cell>
          <cell r="D8">
            <v>0</v>
          </cell>
          <cell r="E8">
            <v>0</v>
          </cell>
        </row>
        <row r="9">
          <cell r="A9" t="str">
            <v>CASH SALES</v>
          </cell>
          <cell r="E9">
            <v>0</v>
          </cell>
        </row>
        <row r="10">
          <cell r="A10" t="str">
            <v>CHARGE SALES</v>
          </cell>
          <cell r="E10">
            <v>0</v>
          </cell>
        </row>
        <row r="11">
          <cell r="A11" t="str">
            <v>RECYCLING SALES</v>
          </cell>
          <cell r="E11">
            <v>0</v>
          </cell>
        </row>
        <row r="12">
          <cell r="A12" t="str">
            <v>OTHER SALES:</v>
          </cell>
        </row>
        <row r="13">
          <cell r="A13" t="str">
            <v xml:space="preserve"> WASTE CARTS</v>
          </cell>
          <cell r="C13">
            <v>645</v>
          </cell>
          <cell r="E13">
            <v>645</v>
          </cell>
        </row>
        <row r="14">
          <cell r="A14" t="str">
            <v xml:space="preserve"> MISC T/S</v>
          </cell>
          <cell r="C14">
            <v>0</v>
          </cell>
          <cell r="E14">
            <v>0</v>
          </cell>
        </row>
        <row r="16">
          <cell r="B16" t="str">
            <v>TOTAL</v>
          </cell>
          <cell r="C16">
            <v>645</v>
          </cell>
          <cell r="D16">
            <v>0</v>
          </cell>
          <cell r="E16">
            <v>645</v>
          </cell>
        </row>
        <row r="18">
          <cell r="A18" t="str">
            <v>NOV 1999:</v>
          </cell>
        </row>
        <row r="19">
          <cell r="A19" t="str">
            <v>T/S SALES</v>
          </cell>
          <cell r="E19">
            <v>0</v>
          </cell>
        </row>
        <row r="20">
          <cell r="A20" t="str">
            <v>CASH SALES</v>
          </cell>
          <cell r="E20">
            <v>0</v>
          </cell>
        </row>
        <row r="21">
          <cell r="A21" t="str">
            <v>CHARGE SALES</v>
          </cell>
          <cell r="E21">
            <v>0</v>
          </cell>
        </row>
        <row r="22">
          <cell r="A22" t="str">
            <v>RECYCLING SALES</v>
          </cell>
          <cell r="E22">
            <v>0</v>
          </cell>
        </row>
        <row r="23">
          <cell r="A23" t="str">
            <v>OTHER SALES:</v>
          </cell>
        </row>
        <row r="24">
          <cell r="A24" t="str">
            <v xml:space="preserve"> WASTE CARTS</v>
          </cell>
          <cell r="C24">
            <v>0</v>
          </cell>
          <cell r="E24">
            <v>0</v>
          </cell>
        </row>
        <row r="25">
          <cell r="A25" t="str">
            <v xml:space="preserve"> MISC T/S</v>
          </cell>
          <cell r="C25">
            <v>0</v>
          </cell>
          <cell r="E25">
            <v>0</v>
          </cell>
        </row>
        <row r="27">
          <cell r="B27" t="str">
            <v>TOTAL</v>
          </cell>
          <cell r="C27">
            <v>0</v>
          </cell>
          <cell r="D27">
            <v>0</v>
          </cell>
          <cell r="E27">
            <v>0</v>
          </cell>
        </row>
        <row r="29">
          <cell r="A29" t="str">
            <v>DEC 1999:</v>
          </cell>
        </row>
        <row r="30">
          <cell r="A30" t="str">
            <v>T/S SALES</v>
          </cell>
          <cell r="E30">
            <v>0</v>
          </cell>
        </row>
        <row r="31">
          <cell r="A31" t="str">
            <v>CASH SALES</v>
          </cell>
          <cell r="E31">
            <v>0</v>
          </cell>
        </row>
        <row r="32">
          <cell r="A32" t="str">
            <v>CHARGE SALES</v>
          </cell>
          <cell r="E32">
            <v>0</v>
          </cell>
        </row>
        <row r="33">
          <cell r="A33" t="str">
            <v>RECYCLING SALES</v>
          </cell>
          <cell r="E33">
            <v>0</v>
          </cell>
        </row>
        <row r="34">
          <cell r="A34" t="str">
            <v>OTHER SALES:</v>
          </cell>
        </row>
        <row r="35">
          <cell r="A35" t="str">
            <v xml:space="preserve"> WASTE CARTS</v>
          </cell>
          <cell r="C35">
            <v>0</v>
          </cell>
          <cell r="D35">
            <v>0</v>
          </cell>
          <cell r="E35">
            <v>0</v>
          </cell>
        </row>
        <row r="36">
          <cell r="A36" t="str">
            <v xml:space="preserve"> MISC T/S</v>
          </cell>
          <cell r="C36">
            <v>0</v>
          </cell>
          <cell r="D36">
            <v>0</v>
          </cell>
          <cell r="E36">
            <v>0</v>
          </cell>
        </row>
        <row r="38">
          <cell r="B38" t="str">
            <v>TOTAL</v>
          </cell>
          <cell r="C38">
            <v>0</v>
          </cell>
          <cell r="D38">
            <v>0</v>
          </cell>
          <cell r="E38">
            <v>0</v>
          </cell>
        </row>
        <row r="40">
          <cell r="A40" t="str">
            <v>QUARTER TOTAL - 12/31/99:</v>
          </cell>
        </row>
        <row r="41">
          <cell r="A41" t="str">
            <v>T/S SALES</v>
          </cell>
          <cell r="C41">
            <v>0</v>
          </cell>
          <cell r="D41">
            <v>0</v>
          </cell>
          <cell r="E41">
            <v>0</v>
          </cell>
        </row>
        <row r="42">
          <cell r="A42" t="str">
            <v>CASH SALES</v>
          </cell>
          <cell r="C42">
            <v>0</v>
          </cell>
          <cell r="D42">
            <v>0</v>
          </cell>
          <cell r="E42">
            <v>0</v>
          </cell>
        </row>
        <row r="43">
          <cell r="A43" t="str">
            <v>CHARGE SALES</v>
          </cell>
          <cell r="C43">
            <v>0</v>
          </cell>
          <cell r="D43">
            <v>0</v>
          </cell>
          <cell r="E43">
            <v>0</v>
          </cell>
        </row>
        <row r="44">
          <cell r="A44" t="str">
            <v>RECYCLING SALES</v>
          </cell>
          <cell r="C44">
            <v>0</v>
          </cell>
          <cell r="D44">
            <v>0</v>
          </cell>
          <cell r="E44">
            <v>0</v>
          </cell>
        </row>
        <row r="45">
          <cell r="A45" t="str">
            <v>OTHER SALES:</v>
          </cell>
          <cell r="C45">
            <v>0</v>
          </cell>
          <cell r="D45">
            <v>0</v>
          </cell>
        </row>
        <row r="46">
          <cell r="A46" t="str">
            <v xml:space="preserve"> WASTE CARTS</v>
          </cell>
          <cell r="C46">
            <v>645</v>
          </cell>
          <cell r="D46">
            <v>0</v>
          </cell>
          <cell r="E46">
            <v>645</v>
          </cell>
        </row>
        <row r="47">
          <cell r="A47" t="str">
            <v xml:space="preserve"> MISC T/S</v>
          </cell>
          <cell r="C47">
            <v>0</v>
          </cell>
          <cell r="D47">
            <v>0</v>
          </cell>
          <cell r="E47">
            <v>0</v>
          </cell>
        </row>
        <row r="49">
          <cell r="B49" t="str">
            <v>TOTAL</v>
          </cell>
          <cell r="C49">
            <v>645</v>
          </cell>
          <cell r="D49">
            <v>0</v>
          </cell>
          <cell r="E49">
            <v>645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RS"/>
      <sheetName val="Budget"/>
      <sheetName val="Forecast"/>
      <sheetName val="Internal Rev Growth"/>
      <sheetName val="Rev Roll"/>
      <sheetName val="Intern of Wste"/>
      <sheetName val="Tonnage"/>
      <sheetName val="AR Analysis"/>
      <sheetName val="Cap X"/>
      <sheetName val="Goodwill"/>
      <sheetName val="Other Intangibles"/>
      <sheetName val="Debt Roll"/>
      <sheetName val="Env Liability"/>
      <sheetName val="Census"/>
      <sheetName val="Census Budget"/>
      <sheetName val="Jan"/>
      <sheetName val="Feb"/>
      <sheetName val="Mar"/>
      <sheetName val="Apr"/>
      <sheetName val="May"/>
      <sheetName val="Jun"/>
      <sheetName val="Jul"/>
      <sheetName val="Aug"/>
      <sheetName val="Sep"/>
      <sheetName val="Oct"/>
      <sheetName val="Nov"/>
      <sheetName val="Dec"/>
    </sheetNames>
    <sheetDataSet>
      <sheetData sheetId="0">
        <row r="5">
          <cell r="B5">
            <v>536</v>
          </cell>
        </row>
        <row r="7">
          <cell r="B7" t="str">
            <v>WM Grass Valley/Nevada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ROE"/>
      <sheetName val="CostStudy"/>
      <sheetName val="Pro Forma"/>
      <sheetName val="LURITXPF AVG"/>
      <sheetName val="Price Out"/>
      <sheetName val="Summary Price Out"/>
      <sheetName val="Fly Sheet"/>
      <sheetName val="Comp Report"/>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COS"/>
      <sheetName val="Annual Test Year Revenue"/>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7 - Affiliated "/>
      <sheetName val="WP-8 - Cust Counts (x per wk)"/>
      <sheetName val="WP-9 - Fuel"/>
      <sheetName val="IS-PBC"/>
      <sheetName val="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8"/>
      <sheetData sheetId="19"/>
      <sheetData sheetId="20"/>
      <sheetData sheetId="21"/>
      <sheetData sheetId="22">
        <row r="30">
          <cell r="J30">
            <v>2646.7177352709273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ow r="39">
          <cell r="J39">
            <v>0.96812272987956427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4 Month Condensed Ops P&amp;L"/>
      <sheetName val="Report Template"/>
    </sheetNames>
    <sheetDataSet>
      <sheetData sheetId="0"/>
      <sheetData sheetId="1"/>
      <sheetData sheetId="2">
        <row r="2002">
          <cell r="B2002">
            <v>2006</v>
          </cell>
        </row>
        <row r="2003">
          <cell r="B2003">
            <v>2007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800-10899"/>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l Priceout"/>
      <sheetName val="Com'l Priceout"/>
      <sheetName val="Roll Off Priceout"/>
      <sheetName val="Roll Off Productivity"/>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Balance Sheet"/>
      <sheetName val="Monthly IS"/>
      <sheetName val="DEPN"/>
      <sheetName val="Fixed Asset Summary"/>
      <sheetName val="Fixed Asset Detail"/>
      <sheetName val="Fuel"/>
      <sheetName val="WTB"/>
      <sheetName val="OH Analysis (2008)"/>
      <sheetName val="Corp. Office OH 2008"/>
      <sheetName val="OH Analysis"/>
      <sheetName val="Corp. Office OH"/>
      <sheetName val="2008 Group Office TB"/>
      <sheetName val="MA Office OH"/>
      <sheetName val="MA Stats"/>
      <sheetName val="2008 Group Office IS"/>
      <sheetName val="2008 West Group IS"/>
      <sheetName val="Legal"/>
      <sheetName val="Lurito 25 bpi"/>
      <sheetName val="Lurito 25 bpi (Rolloff)"/>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AD8" t="str">
            <v>#N/A</v>
          </cell>
        </row>
      </sheetData>
      <sheetData sheetId="19"/>
      <sheetData sheetId="20"/>
      <sheetData sheetId="21"/>
      <sheetData sheetId="22"/>
      <sheetData sheetId="23"/>
      <sheetData sheetId="24">
        <row r="4">
          <cell r="DE4" t="str">
            <v>01815</v>
          </cell>
        </row>
        <row r="5">
          <cell r="DC5" t="str">
            <v>12</v>
          </cell>
          <cell r="DD5" t="str">
            <v>WM of Ellensburg</v>
          </cell>
          <cell r="DE5" t="str">
            <v>01815</v>
          </cell>
        </row>
        <row r="8">
          <cell r="DC8">
            <v>12</v>
          </cell>
        </row>
      </sheetData>
      <sheetData sheetId="25"/>
      <sheetData sheetId="26"/>
      <sheetData sheetId="27"/>
      <sheetData sheetId="28"/>
      <sheetData sheetId="29"/>
      <sheetData sheetId="30"/>
      <sheetData sheetId="31"/>
      <sheetData sheetId="32">
        <row r="4">
          <cell r="AK4" t="str">
            <v>01500</v>
          </cell>
        </row>
        <row r="5">
          <cell r="AI5" t="str">
            <v>12</v>
          </cell>
          <cell r="AJ5" t="str">
            <v>Western Area Office</v>
          </cell>
          <cell r="AK5" t="str">
            <v>01500</v>
          </cell>
        </row>
        <row r="8">
          <cell r="AH8">
            <v>0</v>
          </cell>
        </row>
        <row r="9">
          <cell r="AM9" t="str">
            <v>USD</v>
          </cell>
        </row>
      </sheetData>
      <sheetData sheetId="33">
        <row r="4">
          <cell r="AK4" t="str">
            <v>G00006</v>
          </cell>
        </row>
        <row r="5">
          <cell r="AI5" t="str">
            <v>12</v>
          </cell>
          <cell r="AJ5" t="str">
            <v>Error</v>
          </cell>
          <cell r="AK5" t="str">
            <v>Western</v>
          </cell>
        </row>
        <row r="8">
          <cell r="AH8">
            <v>0</v>
          </cell>
        </row>
        <row r="9">
          <cell r="AM9" t="str">
            <v>USD</v>
          </cell>
        </row>
      </sheetData>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heetName val="Monthly IS (SnoKing)"/>
      <sheetName val="Total Lurito"/>
      <sheetName val="Lurito - Garbage"/>
      <sheetName val="Lurito - Recycling"/>
      <sheetName val="Lurito - YW"/>
      <sheetName val="Lurito-Garbage"/>
      <sheetName val="Lurito-Recycling"/>
      <sheetName val="Lurito-YW"/>
      <sheetName val="PC 230"/>
      <sheetName val="PC 220"/>
      <sheetName val="PC 160 - Confidential"/>
      <sheetName val="PC 260-Confidential"/>
      <sheetName val="WUTC Customer Counts"/>
      <sheetName val="Processing Fees"/>
      <sheetName val="YW Processing Fees"/>
      <sheetName val="PR Register-Confidential"/>
      <sheetName val="PR Detail -confidential"/>
      <sheetName val="Wage scale-CONFIDENTIAL"/>
      <sheetName val="Fuel"/>
      <sheetName val="Balance Sheet (SnoKing)"/>
      <sheetName val="DEPN"/>
      <sheetName val="DEPN Summary"/>
      <sheetName val="Fixed Asset Summary"/>
      <sheetName val="Fixed Asset Detail"/>
      <sheetName val="Facility Costs"/>
      <sheetName val="Legal Fees"/>
      <sheetName val="MA Office OH"/>
      <sheetName val="MA Stats"/>
      <sheetName val="OH Analysis"/>
      <sheetName val="Corp. Office OH"/>
      <sheetName val="2008 West Group IS"/>
      <sheetName val="2008 Group Office TB"/>
      <sheetName val="2008 Group Office IS"/>
      <sheetName val="500500"/>
      <sheetName val="AP-500500"/>
      <sheetName val="500800"/>
      <sheetName val="509000"/>
      <sheetName val="AP-509500"/>
      <sheetName val="509500"/>
      <sheetName val="531200"/>
      <sheetName val="Income Statement (2)"/>
      <sheetName val="Lurito"/>
      <sheetName val="Fixed Assets"/>
      <sheetName val="unprocessed SS"/>
      <sheetName val="Tonnage"/>
      <sheetName val="Outbound Tons"/>
      <sheetName val="Inbound Tons"/>
      <sheetName val="Labor"/>
      <sheetName val="CDL Pricing"/>
      <sheetName val="CRC Commodity Prices"/>
      <sheetName val="Commodity Mix"/>
      <sheetName val="502500"/>
      <sheetName val="Summary"/>
      <sheetName val="Com'l FL"/>
      <sheetName val="Res'l RL"/>
      <sheetName val="Roll Off"/>
      <sheetName val="Res'l YW"/>
      <sheetName val="Res'l Rec."/>
      <sheetName val="Com'l Rec."/>
      <sheetName val="Summary (2)"/>
      <sheetName val="Customer Counts"/>
      <sheetName val="Com'l FL-2009"/>
      <sheetName val="Res'l RL (2)"/>
      <sheetName val="Res'l YW (2)"/>
      <sheetName val="Res'l Rec. (2)"/>
      <sheetName val="Roll Off (2)"/>
      <sheetName val="Haul Summary"/>
      <sheetName val="Com'l Rec. (2)"/>
      <sheetName val="Hauls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O-1"/>
      <sheetName val="O-2"/>
      <sheetName val="O-3"/>
      <sheetName val="O-4"/>
      <sheetName val="O-5"/>
      <sheetName val="O-6"/>
      <sheetName val="O-7"/>
      <sheetName val="O-8"/>
      <sheetName val="O-9"/>
      <sheetName val="O-10"/>
      <sheetName val="O-12"/>
      <sheetName val="O-13"/>
      <sheetName val="O-14"/>
      <sheetName val="O-15"/>
      <sheetName val="O-16"/>
      <sheetName val="O-17"/>
      <sheetName val="O-18"/>
      <sheetName val="O-19"/>
      <sheetName val="O-20"/>
      <sheetName val="O-21"/>
      <sheetName val="O-22"/>
      <sheetName val="O-23"/>
      <sheetName val="O-24"/>
      <sheetName val="O-25"/>
      <sheetName val="O-26"/>
      <sheetName val="R-1"/>
      <sheetName val="R-2"/>
      <sheetName val="R-3"/>
      <sheetName val="R-4"/>
      <sheetName val="R-5"/>
      <sheetName val="R-6"/>
      <sheetName val="R-7"/>
      <sheetName val="R-8"/>
      <sheetName val="R-9"/>
      <sheetName val="I-1"/>
      <sheetName val="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 (Type of Service)"/>
      <sheetName val="Proforma (Total Co)"/>
      <sheetName val="Restating Adj"/>
      <sheetName val="Restating Adj Details"/>
      <sheetName val="Proforma Adj"/>
      <sheetName val="Proforma Adj Details"/>
      <sheetName val=" Lurito (Total Co)"/>
      <sheetName val=" Lurito (Total Garbage w DB)"/>
      <sheetName val=" Lurito (Total Garbage wo DB)"/>
      <sheetName val="Proforma (DropBox)"/>
      <sheetName val="Lurito (DropBox)"/>
      <sheetName val="Exp Matrix (DropBox)"/>
      <sheetName val="COS DB"/>
      <sheetName val="Proforma (Yard Waste)"/>
      <sheetName val="Lurito (Yard Waste)"/>
      <sheetName val="Exp-Matrix (Yard Waste)"/>
      <sheetName val="COS-YW, Recycl"/>
      <sheetName val="Proforma (Curbs Recycling)"/>
      <sheetName val="Lurito (Curbs Recycling)"/>
      <sheetName val="Exp-Matrix (Curbs Recycling)"/>
      <sheetName val="Proforma (Recycle Stations)"/>
      <sheetName val="Lurito (Recycle Stations)"/>
      <sheetName val=" Lurito (MF)"/>
      <sheetName val=" Lurito (MF &amp; R Station)"/>
      <sheetName val="Rate Calculation"/>
      <sheetName val="Rate (Dump Fee)"/>
      <sheetName val="Calculation (Dump Fee)"/>
      <sheetName val="Priceout (Dump Fee)"/>
      <sheetName val="Total Fuel"/>
      <sheetName val="Murrey's Fuel"/>
      <sheetName val="American Fuel"/>
      <sheetName val="Depn-Summary"/>
      <sheetName val="Summary (American)"/>
      <sheetName val="Summary (Murrey's)"/>
      <sheetName val="Trucks (American)"/>
      <sheetName val="Trucks (Murrey's)"/>
      <sheetName val="Containers &amp; DropBox (American)"/>
      <sheetName val="Containers, DropBox (Murrey's)"/>
      <sheetName val="Yard Waste Toters (American)"/>
      <sheetName val="Yard Waste Toters (Murrey's)"/>
      <sheetName val="Other Equipment (American)"/>
      <sheetName val="Other Equipment (Murrey's)"/>
      <sheetName val="WRRA"/>
      <sheetName val="Summary (Supervisors)"/>
      <sheetName val="Summary (Driver Wages)"/>
      <sheetName val="Summary (IS Report)"/>
      <sheetName val="IS-Murrey's"/>
      <sheetName val="IS-Americ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taff Method)"/>
      <sheetName val="Priceout (Company Method)"/>
      <sheetName val="Monthly IS"/>
      <sheetName val="Lurito - Garbage"/>
      <sheetName val="Lurito - Recycling (MF)"/>
      <sheetName val="Lurito - Recycling"/>
      <sheetName val="Lurito - YW"/>
      <sheetName val="Total Lurito"/>
      <sheetName val="Lurito-Garbage"/>
      <sheetName val="Lurito-Recycling"/>
      <sheetName val="Lurito-YW"/>
      <sheetName val="Priceout (Proposed)"/>
      <sheetName val="PC 160 - Confidential"/>
      <sheetName val="PC 220"/>
      <sheetName val="PC 230"/>
      <sheetName val="Processing Fees"/>
      <sheetName val="PC 260-Confidential"/>
      <sheetName val="YW Processing Fees"/>
      <sheetName val="WUTC Customer Counts"/>
      <sheetName val="PR Register-Confidential"/>
      <sheetName val="Wage Scale-Confidential"/>
      <sheetName val="PR Detail - Confidential"/>
      <sheetName val="Earn Codes"/>
      <sheetName val="Fuel"/>
      <sheetName val="Legal Fees"/>
      <sheetName val="Facility Costs"/>
      <sheetName val="Sno-King Com'l Recycling"/>
      <sheetName val="City Contract MF Recycling"/>
      <sheetName val="UTC MF Recycling"/>
      <sheetName val="DEPN Summary"/>
      <sheetName val="DEPN"/>
      <sheetName val="Fixed Asset Summary"/>
      <sheetName val="Fixed Asset Detail"/>
      <sheetName val="Balance Sheet"/>
      <sheetName val="Summary (Cart &amp; Containers)"/>
      <sheetName val="OH Analysis"/>
      <sheetName val="Corp. Office OH"/>
      <sheetName val="2008 Group Office TB"/>
      <sheetName val="MA Office OH"/>
      <sheetName val="MA Stats"/>
      <sheetName val="Bothell"/>
      <sheetName val="Woodinville"/>
      <sheetName val="Seattle"/>
      <sheetName val="South Sound"/>
      <sheetName val="Skagit"/>
      <sheetName val="Brem-Air"/>
      <sheetName val="Hours &amp; Services"/>
      <sheetName val="Operating Cost"/>
      <sheetName val="Head Count"/>
      <sheetName val="Summary MA Headcount"/>
      <sheetName val="MA Headcount"/>
      <sheetName val="Headcount"/>
      <sheetName val="WM Sandpoint"/>
      <sheetName val="WM Brem-Air"/>
      <sheetName val="WM Wenatchee"/>
      <sheetName val="WM Ellensburg"/>
      <sheetName val="WM Klamath Falls"/>
      <sheetName val="WM Coeur d'Alene"/>
      <sheetName val="WM Kennewick"/>
      <sheetName val="WM Skagit"/>
      <sheetName val="WM Spokane"/>
      <sheetName val="WM Oregon"/>
      <sheetName val="WM South Sound"/>
      <sheetName val="WM Northwest"/>
      <sheetName val="WM Sno-King"/>
      <sheetName val="WM Seattle"/>
      <sheetName val="2008 West Group IS"/>
      <sheetName val="2008 Group Office IS"/>
      <sheetName val="500500"/>
      <sheetName val="AP-500500"/>
      <sheetName val="500800"/>
      <sheetName val="509000"/>
      <sheetName val="AP-509500"/>
      <sheetName val="509500"/>
      <sheetName val="531200"/>
      <sheetName val="Income Statement (Tonnage)"/>
      <sheetName val="DEPN (CRC)"/>
      <sheetName val="Fixed Assets - Update"/>
      <sheetName val="Fixed Assets"/>
      <sheetName val="Lurito - CRC"/>
      <sheetName val="Lurito"/>
      <sheetName val="unprocessed SS"/>
      <sheetName val="Tonnage"/>
      <sheetName val="Outbound Tons"/>
      <sheetName val="Inbound Tons"/>
      <sheetName val="Labor"/>
      <sheetName val="CDL Pricing"/>
      <sheetName val="CRC Commodity Prices"/>
      <sheetName val="Commodity Mix"/>
      <sheetName val="502500"/>
      <sheetName val="Summary (Disposal)"/>
      <sheetName val="Com'l FL"/>
      <sheetName val="Res'l RL"/>
      <sheetName val="Roll Off"/>
      <sheetName val="Res'l YW"/>
      <sheetName val="Res'l Rec."/>
      <sheetName val="Com'l Rec."/>
      <sheetName val="Summary (Route)"/>
      <sheetName val="Haul Summary"/>
      <sheetName val="Customer Counts"/>
      <sheetName val="Com'l FL-2009"/>
      <sheetName val="Res'l RL (Route)"/>
      <sheetName val="Res'l YW (Route)"/>
      <sheetName val="Res'l Rec. (Route)"/>
      <sheetName val="Roll Off (Route)"/>
      <sheetName val="Com'l Rec. (Route)"/>
      <sheetName val="Hauls Only"/>
      <sheetName val="Container Shop (Arrows)"/>
      <sheetName val="Summary (Bad Debt)"/>
      <sheetName val="115000-115030 2008"/>
      <sheetName val="115000-115030 2007"/>
      <sheetName val="115000-115030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A"/>
      <sheetName val="Schedule 3B"/>
      <sheetName val="Schedule 3C"/>
      <sheetName val="Schedule 4"/>
      <sheetName val="Schedule 5"/>
      <sheetName val="Schedule 6"/>
      <sheetName val="Schedule 7"/>
      <sheetName val="Schedule 8"/>
      <sheetName val="Schedule 9A"/>
      <sheetName val="Schedule 9B"/>
      <sheetName val="Schedule 10"/>
      <sheetName val="Reg Fee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1"/>
  <sheetViews>
    <sheetView showFormulas="1" zoomScaleNormal="100" workbookViewId="0">
      <selection activeCell="A20" sqref="A20:H20"/>
    </sheetView>
  </sheetViews>
  <sheetFormatPr defaultRowHeight="15"/>
  <cols>
    <col min="8" max="8" width="12.21875" customWidth="1"/>
  </cols>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15" customHeight="1">
      <c r="A15" s="983" t="s">
        <v>433</v>
      </c>
      <c r="B15" s="983"/>
      <c r="C15" s="983"/>
      <c r="D15" s="983"/>
      <c r="E15" s="983"/>
      <c r="F15" s="983"/>
      <c r="G15" s="983"/>
      <c r="H15" s="983"/>
    </row>
    <row r="16" spans="1:8" ht="16.5">
      <c r="C16" s="56"/>
    </row>
    <row r="17" spans="1:18" ht="15" customHeight="1">
      <c r="A17" s="983" t="s">
        <v>311</v>
      </c>
      <c r="B17" s="983"/>
      <c r="C17" s="983"/>
      <c r="D17" s="983"/>
      <c r="E17" s="983"/>
      <c r="F17" s="983"/>
      <c r="G17" s="983"/>
      <c r="H17" s="983"/>
    </row>
    <row r="18" spans="1:18" ht="15" customHeight="1">
      <c r="A18" s="983" t="s">
        <v>131</v>
      </c>
      <c r="B18" s="983"/>
      <c r="C18" s="983"/>
      <c r="D18" s="983"/>
      <c r="E18" s="983"/>
      <c r="F18" s="983"/>
      <c r="G18" s="983"/>
      <c r="H18" s="983"/>
    </row>
    <row r="19" spans="1:18" ht="16.5">
      <c r="C19" s="56"/>
    </row>
    <row r="20" spans="1:18" ht="15.75">
      <c r="A20" s="984" t="s">
        <v>831</v>
      </c>
      <c r="B20" s="984"/>
      <c r="C20" s="984"/>
      <c r="D20" s="984"/>
      <c r="E20" s="984"/>
      <c r="F20" s="984"/>
      <c r="G20" s="984"/>
      <c r="H20" s="984"/>
      <c r="I20" s="58"/>
      <c r="J20" s="58"/>
      <c r="K20" s="58"/>
      <c r="L20" s="58"/>
      <c r="M20" s="58"/>
      <c r="N20" s="58"/>
      <c r="O20" s="58"/>
      <c r="P20" s="58"/>
      <c r="Q20" s="58"/>
      <c r="R20" s="58"/>
    </row>
    <row r="21" spans="1:18">
      <c r="A21" t="s">
        <v>255</v>
      </c>
    </row>
  </sheetData>
  <mergeCells count="4">
    <mergeCell ref="A15:H15"/>
    <mergeCell ref="A17:H17"/>
    <mergeCell ref="A18:H18"/>
    <mergeCell ref="A20:H20"/>
  </mergeCells>
  <printOptions horizontalCentered="1"/>
  <pageMargins left="0.7" right="0.7" top="0.75" bottom="0.75" header="0.3" footer="0.3"/>
  <pageSetup scale="5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97"/>
  <sheetViews>
    <sheetView topLeftCell="A16" zoomScaleNormal="100" workbookViewId="0">
      <selection activeCell="E38" sqref="E38:E40"/>
    </sheetView>
  </sheetViews>
  <sheetFormatPr defaultColWidth="8" defaultRowHeight="15.75"/>
  <cols>
    <col min="1" max="1" width="27.6640625" style="279" customWidth="1"/>
    <col min="2" max="2" width="9.33203125" style="279" customWidth="1"/>
    <col min="3" max="3" width="2.77734375" style="280" customWidth="1"/>
    <col min="4" max="4" width="8.21875" style="279" bestFit="1" customWidth="1"/>
    <col min="5" max="5" width="2.77734375" style="280" customWidth="1"/>
    <col min="6" max="6" width="7.77734375" style="279" customWidth="1"/>
    <col min="7" max="7" width="2.77734375" style="280" customWidth="1"/>
    <col min="8" max="8" width="7.77734375" style="279" customWidth="1"/>
    <col min="9" max="9" width="2.6640625" style="279" customWidth="1"/>
    <col min="10" max="10" width="8.77734375" style="279" customWidth="1"/>
    <col min="11" max="11" width="2.88671875" style="279" customWidth="1"/>
    <col min="12" max="12" width="9.33203125" style="279" customWidth="1"/>
    <col min="13" max="13" width="4.109375" style="277" customWidth="1"/>
    <col min="14" max="16384" width="8" style="277"/>
  </cols>
  <sheetData>
    <row r="1" spans="1:14" s="313" customFormat="1" ht="16.5" customHeight="1">
      <c r="A1" s="1017" t="str">
        <f>+'Sch 3 - Reclass Exp'!A1:I1</f>
        <v>Pullman Disposal Services, Inc.</v>
      </c>
      <c r="B1" s="1018"/>
      <c r="C1" s="1018"/>
      <c r="D1" s="1018"/>
      <c r="E1" s="1018"/>
      <c r="F1" s="1018"/>
      <c r="G1" s="1018"/>
      <c r="H1" s="1018"/>
      <c r="I1" s="1018"/>
      <c r="J1" s="1018"/>
      <c r="K1" s="1018"/>
      <c r="L1" s="1018"/>
      <c r="M1" s="283" t="s">
        <v>237</v>
      </c>
      <c r="N1" s="284" t="s">
        <v>295</v>
      </c>
    </row>
    <row r="2" spans="1:14" s="313" customFormat="1" ht="13.5" customHeight="1">
      <c r="A2" s="1018"/>
      <c r="B2" s="1018"/>
      <c r="C2" s="1018"/>
      <c r="D2" s="1018"/>
      <c r="E2" s="1018"/>
      <c r="F2" s="1018"/>
      <c r="G2" s="1018"/>
      <c r="H2" s="1018"/>
      <c r="I2" s="1018"/>
      <c r="J2" s="1018"/>
      <c r="K2" s="1018"/>
      <c r="L2" s="1018"/>
      <c r="M2" s="283" t="s">
        <v>238</v>
      </c>
      <c r="N2" s="284" t="s">
        <v>242</v>
      </c>
    </row>
    <row r="3" spans="1:14" s="313" customFormat="1" ht="16.5">
      <c r="A3" s="1018" t="s">
        <v>148</v>
      </c>
      <c r="B3" s="1018"/>
      <c r="C3" s="1018"/>
      <c r="D3" s="1018"/>
      <c r="E3" s="1018"/>
      <c r="F3" s="1018"/>
      <c r="G3" s="1018"/>
      <c r="H3" s="1018"/>
      <c r="I3" s="1018"/>
      <c r="J3" s="1018"/>
      <c r="K3" s="1018"/>
      <c r="L3" s="1018"/>
      <c r="M3" s="283" t="s">
        <v>239</v>
      </c>
      <c r="N3" s="284" t="s">
        <v>296</v>
      </c>
    </row>
    <row r="4" spans="1:14" s="313" customFormat="1" ht="15.75" customHeight="1">
      <c r="A4" s="314"/>
      <c r="B4" s="305"/>
      <c r="C4" s="315"/>
      <c r="D4" s="305"/>
      <c r="E4" s="315"/>
      <c r="F4" s="314"/>
      <c r="G4" s="315"/>
      <c r="H4" s="780"/>
      <c r="I4" s="780"/>
      <c r="J4" s="784"/>
      <c r="K4" s="784"/>
      <c r="L4" s="314"/>
      <c r="M4" s="283" t="s">
        <v>240</v>
      </c>
      <c r="N4" s="284" t="s">
        <v>241</v>
      </c>
    </row>
    <row r="5" spans="1:14" s="313" customFormat="1" ht="15.75" customHeight="1">
      <c r="A5" s="1019" t="str">
        <f>'Fly Sheet'!$A$20</f>
        <v>For the Twelve Months Ended December 31, 2018 Historical and December 31, 2020 Forecasted</v>
      </c>
      <c r="B5" s="1020"/>
      <c r="C5" s="1020"/>
      <c r="D5" s="1020"/>
      <c r="E5" s="1020"/>
      <c r="F5" s="1020"/>
      <c r="G5" s="1020"/>
      <c r="H5" s="1020"/>
      <c r="I5" s="1020"/>
      <c r="J5" s="1020"/>
      <c r="K5" s="1020"/>
      <c r="L5" s="1020"/>
    </row>
    <row r="6" spans="1:14" s="313" customFormat="1" ht="15.75" customHeight="1">
      <c r="A6" s="1019">
        <f>+'Sch 2, pg 2 - Forecast'!A6:L6</f>
        <v>0</v>
      </c>
      <c r="B6" s="1020"/>
      <c r="C6" s="1020"/>
      <c r="D6" s="1020"/>
      <c r="E6" s="1020"/>
      <c r="F6" s="1020"/>
      <c r="G6" s="1020"/>
      <c r="H6" s="1020"/>
      <c r="I6" s="1020"/>
      <c r="J6" s="1020"/>
      <c r="K6" s="1020"/>
      <c r="L6" s="1020"/>
    </row>
    <row r="7" spans="1:14" s="313" customFormat="1" ht="15.75" customHeight="1">
      <c r="A7" s="277"/>
      <c r="B7" s="306"/>
      <c r="C7" s="316"/>
      <c r="D7" s="306"/>
      <c r="E7" s="316"/>
      <c r="F7" s="317"/>
      <c r="G7" s="316"/>
      <c r="H7" s="317"/>
      <c r="I7" s="317"/>
      <c r="J7" s="317"/>
      <c r="K7" s="317"/>
      <c r="L7" s="317"/>
    </row>
    <row r="8" spans="1:14" s="319" customFormat="1" ht="14.1" customHeight="1">
      <c r="A8" s="318"/>
      <c r="B8" s="366" t="s">
        <v>74</v>
      </c>
      <c r="C8" s="367"/>
      <c r="D8" s="366" t="s">
        <v>75</v>
      </c>
      <c r="E8" s="367"/>
      <c r="F8" s="366" t="s">
        <v>76</v>
      </c>
      <c r="G8" s="367"/>
      <c r="H8" s="366" t="s">
        <v>941</v>
      </c>
      <c r="I8" s="366"/>
      <c r="J8" s="366" t="s">
        <v>966</v>
      </c>
      <c r="K8" s="366"/>
      <c r="L8" s="366" t="s">
        <v>5</v>
      </c>
    </row>
    <row r="9" spans="1:14" s="321" customFormat="1" ht="12.95" customHeight="1">
      <c r="A9" s="320"/>
      <c r="B9" s="368"/>
      <c r="C9" s="369"/>
      <c r="D9" s="410"/>
      <c r="E9" s="411"/>
      <c r="F9" s="368" t="s">
        <v>49</v>
      </c>
      <c r="G9" s="369"/>
      <c r="H9" s="368" t="s">
        <v>49</v>
      </c>
      <c r="I9" s="368"/>
      <c r="J9" s="368" t="s">
        <v>49</v>
      </c>
      <c r="K9" s="368"/>
      <c r="L9" s="368" t="s">
        <v>0</v>
      </c>
    </row>
    <row r="10" spans="1:14" s="321" customFormat="1" ht="12.95" customHeight="1">
      <c r="A10" s="320"/>
      <c r="B10" s="368" t="s">
        <v>49</v>
      </c>
      <c r="C10" s="369"/>
      <c r="D10" s="368" t="s">
        <v>49</v>
      </c>
      <c r="E10" s="369"/>
      <c r="F10" s="368" t="s">
        <v>35</v>
      </c>
      <c r="G10" s="369"/>
      <c r="H10" s="368" t="s">
        <v>8</v>
      </c>
      <c r="I10" s="368"/>
      <c r="J10" s="368" t="s">
        <v>968</v>
      </c>
      <c r="K10" s="368"/>
      <c r="L10" s="368" t="s">
        <v>49</v>
      </c>
    </row>
    <row r="11" spans="1:14" s="321" customFormat="1" ht="12.95" customHeight="1">
      <c r="A11" s="320"/>
      <c r="B11" s="370" t="s">
        <v>8</v>
      </c>
      <c r="C11" s="371"/>
      <c r="D11" s="370" t="s">
        <v>862</v>
      </c>
      <c r="E11" s="369"/>
      <c r="F11" s="370" t="s">
        <v>234</v>
      </c>
      <c r="G11" s="369"/>
      <c r="H11" s="370" t="s">
        <v>93</v>
      </c>
      <c r="I11" s="370"/>
      <c r="J11" s="370" t="s">
        <v>969</v>
      </c>
      <c r="K11" s="370"/>
      <c r="L11" s="370" t="s">
        <v>40</v>
      </c>
    </row>
    <row r="12" spans="1:14">
      <c r="A12" s="297" t="str">
        <f>+'Sch 1, pg 2 - Restated'!A12</f>
        <v>REVENUES</v>
      </c>
      <c r="B12" s="287"/>
      <c r="C12" s="298"/>
      <c r="D12" s="287"/>
      <c r="E12" s="298"/>
      <c r="F12" s="287"/>
      <c r="G12" s="298"/>
      <c r="H12" s="287"/>
      <c r="I12" s="287"/>
      <c r="J12" s="287"/>
      <c r="K12" s="287"/>
      <c r="L12" s="287"/>
    </row>
    <row r="13" spans="1:14" ht="15" customHeight="1">
      <c r="A13" s="48" t="s">
        <v>603</v>
      </c>
      <c r="B13" s="355">
        <v>0</v>
      </c>
      <c r="C13" s="372"/>
      <c r="D13" s="355">
        <v>0</v>
      </c>
      <c r="E13" s="372"/>
      <c r="F13" s="355">
        <v>0</v>
      </c>
      <c r="G13" s="372"/>
      <c r="H13" s="355">
        <v>0</v>
      </c>
      <c r="I13" s="355"/>
      <c r="J13" s="355">
        <v>0</v>
      </c>
      <c r="K13" s="355"/>
      <c r="L13" s="355">
        <f>SUM(B13:J13)</f>
        <v>0</v>
      </c>
    </row>
    <row r="14" spans="1:14" ht="15" customHeight="1">
      <c r="A14" s="48" t="s">
        <v>885</v>
      </c>
      <c r="B14" s="357">
        <v>0</v>
      </c>
      <c r="C14" s="356"/>
      <c r="D14" s="357">
        <v>0</v>
      </c>
      <c r="E14" s="356"/>
      <c r="F14" s="357">
        <v>0</v>
      </c>
      <c r="G14" s="356"/>
      <c r="H14" s="357">
        <v>0</v>
      </c>
      <c r="I14" s="357"/>
      <c r="J14" s="357">
        <v>0</v>
      </c>
      <c r="K14" s="357"/>
      <c r="L14" s="302">
        <f t="shared" ref="L14:L24" si="0">SUM(B14:J14)</f>
        <v>0</v>
      </c>
    </row>
    <row r="15" spans="1:14" ht="15" customHeight="1">
      <c r="A15" s="48" t="s">
        <v>7</v>
      </c>
      <c r="B15" s="357">
        <v>0</v>
      </c>
      <c r="C15" s="356"/>
      <c r="D15" s="357">
        <v>0</v>
      </c>
      <c r="E15" s="356"/>
      <c r="F15" s="357">
        <v>0</v>
      </c>
      <c r="G15" s="356"/>
      <c r="H15" s="357">
        <v>0</v>
      </c>
      <c r="I15" s="357"/>
      <c r="J15" s="357">
        <v>0</v>
      </c>
      <c r="K15" s="357"/>
      <c r="L15" s="302">
        <f t="shared" si="0"/>
        <v>0</v>
      </c>
    </row>
    <row r="16" spans="1:14" ht="15" customHeight="1">
      <c r="A16" s="48" t="s">
        <v>886</v>
      </c>
      <c r="B16" s="357">
        <v>0</v>
      </c>
      <c r="C16" s="356"/>
      <c r="D16" s="357">
        <v>0</v>
      </c>
      <c r="E16" s="356"/>
      <c r="F16" s="357">
        <v>0</v>
      </c>
      <c r="G16" s="356"/>
      <c r="H16" s="357">
        <v>0</v>
      </c>
      <c r="I16" s="357"/>
      <c r="J16" s="357">
        <v>0</v>
      </c>
      <c r="K16" s="357"/>
      <c r="L16" s="302">
        <f t="shared" si="0"/>
        <v>0</v>
      </c>
    </row>
    <row r="17" spans="1:14" ht="15" customHeight="1">
      <c r="A17" s="48" t="s">
        <v>887</v>
      </c>
      <c r="B17" s="357">
        <v>0</v>
      </c>
      <c r="C17" s="356"/>
      <c r="D17" s="357">
        <v>0</v>
      </c>
      <c r="E17" s="356"/>
      <c r="F17" s="357">
        <v>0</v>
      </c>
      <c r="G17" s="356"/>
      <c r="H17" s="357">
        <v>0</v>
      </c>
      <c r="I17" s="357"/>
      <c r="J17" s="357">
        <v>0</v>
      </c>
      <c r="K17" s="357"/>
      <c r="L17" s="302">
        <f t="shared" si="0"/>
        <v>0</v>
      </c>
    </row>
    <row r="18" spans="1:14" ht="15" customHeight="1">
      <c r="A18" s="48" t="s">
        <v>888</v>
      </c>
      <c r="B18" s="357">
        <v>0</v>
      </c>
      <c r="C18" s="304"/>
      <c r="D18" s="357">
        <v>0</v>
      </c>
      <c r="E18" s="356"/>
      <c r="F18" s="302">
        <f>-F15</f>
        <v>0</v>
      </c>
      <c r="G18" s="304"/>
      <c r="H18" s="302">
        <f>-H15</f>
        <v>0</v>
      </c>
      <c r="I18" s="302"/>
      <c r="J18" s="357">
        <v>0</v>
      </c>
      <c r="K18" s="302"/>
      <c r="L18" s="302">
        <f t="shared" si="0"/>
        <v>0</v>
      </c>
    </row>
    <row r="19" spans="1:14" ht="15" customHeight="1">
      <c r="A19" s="48" t="s">
        <v>889</v>
      </c>
      <c r="B19" s="357">
        <v>0</v>
      </c>
      <c r="C19" s="304"/>
      <c r="D19" s="357">
        <v>0</v>
      </c>
      <c r="E19" s="356"/>
      <c r="F19" s="302">
        <f t="shared" ref="F19:F23" si="1">-F16</f>
        <v>0</v>
      </c>
      <c r="G19" s="304"/>
      <c r="H19" s="302">
        <f t="shared" ref="H19:H23" si="2">-H16</f>
        <v>0</v>
      </c>
      <c r="I19" s="302"/>
      <c r="J19" s="357">
        <v>0</v>
      </c>
      <c r="K19" s="302"/>
      <c r="L19" s="302">
        <f t="shared" si="0"/>
        <v>0</v>
      </c>
    </row>
    <row r="20" spans="1:14" ht="15" customHeight="1">
      <c r="A20" s="48" t="s">
        <v>534</v>
      </c>
      <c r="B20" s="357">
        <v>0</v>
      </c>
      <c r="C20" s="304"/>
      <c r="D20" s="357">
        <v>0</v>
      </c>
      <c r="E20" s="356"/>
      <c r="F20" s="302">
        <f t="shared" si="1"/>
        <v>0</v>
      </c>
      <c r="G20" s="304"/>
      <c r="H20" s="302">
        <f t="shared" si="2"/>
        <v>0</v>
      </c>
      <c r="I20" s="302"/>
      <c r="J20" s="357">
        <v>0</v>
      </c>
      <c r="K20" s="302"/>
      <c r="L20" s="302">
        <f t="shared" si="0"/>
        <v>0</v>
      </c>
    </row>
    <row r="21" spans="1:14" ht="15" customHeight="1">
      <c r="A21" s="48" t="s">
        <v>890</v>
      </c>
      <c r="B21" s="357">
        <v>0</v>
      </c>
      <c r="C21" s="304"/>
      <c r="D21" s="357">
        <v>0</v>
      </c>
      <c r="E21" s="356"/>
      <c r="F21" s="302">
        <f t="shared" si="1"/>
        <v>0</v>
      </c>
      <c r="G21" s="304"/>
      <c r="H21" s="302">
        <f t="shared" si="2"/>
        <v>0</v>
      </c>
      <c r="I21" s="302"/>
      <c r="J21" s="357">
        <v>0</v>
      </c>
      <c r="K21" s="302"/>
      <c r="L21" s="302">
        <f t="shared" si="0"/>
        <v>0</v>
      </c>
    </row>
    <row r="22" spans="1:14" ht="15" customHeight="1">
      <c r="A22" s="48" t="s">
        <v>59</v>
      </c>
      <c r="B22" s="357">
        <v>0</v>
      </c>
      <c r="C22" s="304"/>
      <c r="D22" s="357">
        <v>0</v>
      </c>
      <c r="E22" s="356"/>
      <c r="F22" s="302">
        <f t="shared" si="1"/>
        <v>0</v>
      </c>
      <c r="G22" s="304"/>
      <c r="H22" s="302">
        <f t="shared" si="2"/>
        <v>0</v>
      </c>
      <c r="I22" s="302"/>
      <c r="J22" s="357">
        <v>0</v>
      </c>
      <c r="K22" s="302"/>
      <c r="L22" s="302">
        <f t="shared" si="0"/>
        <v>0</v>
      </c>
    </row>
    <row r="23" spans="1:14" ht="15" customHeight="1">
      <c r="A23" s="301"/>
      <c r="B23" s="373">
        <v>0</v>
      </c>
      <c r="C23" s="304"/>
      <c r="D23" s="357">
        <v>0</v>
      </c>
      <c r="E23" s="356"/>
      <c r="F23" s="864">
        <f t="shared" si="1"/>
        <v>0</v>
      </c>
      <c r="G23" s="304"/>
      <c r="H23" s="864">
        <f t="shared" si="2"/>
        <v>0</v>
      </c>
      <c r="I23" s="302"/>
      <c r="J23" s="373">
        <v>0</v>
      </c>
      <c r="K23" s="302"/>
      <c r="L23" s="864">
        <f t="shared" si="0"/>
        <v>0</v>
      </c>
    </row>
    <row r="24" spans="1:14" ht="15" customHeight="1">
      <c r="A24" s="299"/>
      <c r="B24" s="358">
        <f>SUM(B13:B23)</f>
        <v>0</v>
      </c>
      <c r="C24" s="356"/>
      <c r="D24" s="412">
        <f>SUM(D13:D23)</f>
        <v>0</v>
      </c>
      <c r="E24" s="356"/>
      <c r="F24" s="358">
        <f>SUM(F13:F23)</f>
        <v>0</v>
      </c>
      <c r="G24" s="356"/>
      <c r="H24" s="358">
        <f>SUM(H13:H23)</f>
        <v>0</v>
      </c>
      <c r="I24" s="356"/>
      <c r="J24" s="373">
        <v>0</v>
      </c>
      <c r="K24" s="356"/>
      <c r="L24" s="864">
        <f t="shared" si="0"/>
        <v>0</v>
      </c>
    </row>
    <row r="25" spans="1:14" ht="15" customHeight="1">
      <c r="A25" s="299"/>
      <c r="B25" s="356"/>
      <c r="C25" s="356"/>
      <c r="D25" s="356"/>
      <c r="E25" s="356"/>
      <c r="F25" s="356"/>
      <c r="G25" s="356"/>
      <c r="H25" s="356"/>
      <c r="I25" s="356"/>
      <c r="J25" s="356"/>
      <c r="K25" s="356"/>
      <c r="L25" s="356"/>
    </row>
    <row r="26" spans="1:14" ht="15" customHeight="1">
      <c r="A26" s="303" t="str">
        <f>+'Sch 1, pg 2 - Restated'!A27</f>
        <v>OPERATING EXPENSES</v>
      </c>
      <c r="B26" s="357"/>
      <c r="C26" s="356"/>
      <c r="D26" s="357"/>
      <c r="E26" s="356"/>
      <c r="F26" s="357"/>
      <c r="G26" s="356"/>
      <c r="H26" s="357"/>
      <c r="I26" s="357"/>
      <c r="J26" s="357"/>
      <c r="K26" s="357"/>
      <c r="L26" s="357"/>
    </row>
    <row r="27" spans="1:14" ht="15" customHeight="1">
      <c r="A27" s="48" t="s">
        <v>173</v>
      </c>
      <c r="B27" s="357">
        <f>-B28-B29-B30-B31</f>
        <v>-989285.54</v>
      </c>
      <c r="C27" s="356"/>
      <c r="D27" s="357">
        <v>0</v>
      </c>
      <c r="E27" s="356"/>
      <c r="F27" s="357">
        <v>0</v>
      </c>
      <c r="G27" s="356"/>
      <c r="H27" s="357">
        <v>0</v>
      </c>
      <c r="I27" s="357"/>
      <c r="J27" s="357"/>
      <c r="K27" s="357"/>
      <c r="L27" s="357">
        <f>SUM(B27:J27)</f>
        <v>-989285.54</v>
      </c>
    </row>
    <row r="28" spans="1:14" ht="15" customHeight="1">
      <c r="A28" s="48" t="s">
        <v>11</v>
      </c>
      <c r="B28" s="357">
        <f>+'WP-2 - Labor Analysis'!Y49</f>
        <v>438600.25</v>
      </c>
      <c r="C28" s="356"/>
      <c r="D28" s="357">
        <v>0</v>
      </c>
      <c r="E28" s="356"/>
      <c r="F28" s="357">
        <v>0</v>
      </c>
      <c r="G28" s="356"/>
      <c r="H28" s="357">
        <v>0</v>
      </c>
      <c r="I28" s="357"/>
      <c r="J28" s="357"/>
      <c r="K28" s="357"/>
      <c r="L28" s="357">
        <f t="shared" ref="L28:L91" si="3">SUM(B28:J28)</f>
        <v>438600.25</v>
      </c>
    </row>
    <row r="29" spans="1:14" ht="15" customHeight="1">
      <c r="A29" s="48" t="s">
        <v>13</v>
      </c>
      <c r="B29" s="357">
        <f>+'WP-2 - Labor Analysis'!Y57</f>
        <v>105452.65</v>
      </c>
      <c r="C29" s="356"/>
      <c r="D29" s="357">
        <v>0</v>
      </c>
      <c r="E29" s="356"/>
      <c r="F29" s="357">
        <v>0</v>
      </c>
      <c r="G29" s="356"/>
      <c r="H29" s="357">
        <v>0</v>
      </c>
      <c r="I29" s="357"/>
      <c r="J29" s="357"/>
      <c r="K29" s="357"/>
      <c r="L29" s="357">
        <f t="shared" si="3"/>
        <v>105452.65</v>
      </c>
      <c r="N29" s="322"/>
    </row>
    <row r="30" spans="1:14" ht="15" customHeight="1">
      <c r="A30" s="48" t="s">
        <v>835</v>
      </c>
      <c r="B30" s="357">
        <f>+'WP-2 - Labor Analysis'!Y32</f>
        <v>102290.32999999999</v>
      </c>
      <c r="C30" s="356"/>
      <c r="D30" s="357">
        <v>0</v>
      </c>
      <c r="E30" s="356"/>
      <c r="F30" s="357">
        <v>0</v>
      </c>
      <c r="G30" s="356"/>
      <c r="H30" s="357">
        <v>0</v>
      </c>
      <c r="I30" s="357"/>
      <c r="J30" s="357"/>
      <c r="K30" s="357"/>
      <c r="L30" s="357">
        <f t="shared" si="3"/>
        <v>102290.32999999999</v>
      </c>
    </row>
    <row r="31" spans="1:14" ht="15" customHeight="1">
      <c r="A31" s="48" t="s">
        <v>18</v>
      </c>
      <c r="B31" s="357">
        <f>+'WP-2 - Labor Analysis'!Y15</f>
        <v>342942.31</v>
      </c>
      <c r="C31" s="356"/>
      <c r="D31" s="357">
        <v>0</v>
      </c>
      <c r="E31" s="356"/>
      <c r="F31" s="357">
        <v>0</v>
      </c>
      <c r="G31" s="356"/>
      <c r="H31" s="357">
        <v>0</v>
      </c>
      <c r="I31" s="357"/>
      <c r="J31" s="357"/>
      <c r="K31" s="357"/>
      <c r="L31" s="357">
        <f t="shared" si="3"/>
        <v>342942.31</v>
      </c>
    </row>
    <row r="32" spans="1:14" ht="15" customHeight="1">
      <c r="A32" s="48" t="s">
        <v>15</v>
      </c>
      <c r="B32" s="357">
        <v>0</v>
      </c>
      <c r="C32" s="356"/>
      <c r="D32" s="357">
        <v>489.02</v>
      </c>
      <c r="E32" s="356"/>
      <c r="F32" s="357">
        <v>0</v>
      </c>
      <c r="G32" s="356"/>
      <c r="H32" s="357">
        <f>+'Sch 4 - 12 Months'!O60</f>
        <v>105371.53999999998</v>
      </c>
      <c r="I32" s="357"/>
      <c r="J32" s="357"/>
      <c r="K32" s="357"/>
      <c r="L32" s="357">
        <f t="shared" si="3"/>
        <v>105860.55999999998</v>
      </c>
    </row>
    <row r="33" spans="1:12" ht="15" customHeight="1">
      <c r="A33" s="48" t="s">
        <v>536</v>
      </c>
      <c r="B33" s="357">
        <v>0</v>
      </c>
      <c r="C33" s="356"/>
      <c r="D33" s="357">
        <v>0</v>
      </c>
      <c r="E33" s="356"/>
      <c r="F33" s="357">
        <v>0</v>
      </c>
      <c r="G33" s="356"/>
      <c r="H33" s="357">
        <v>0</v>
      </c>
      <c r="I33" s="357"/>
      <c r="J33" s="357"/>
      <c r="K33" s="357"/>
      <c r="L33" s="357">
        <f t="shared" si="3"/>
        <v>0</v>
      </c>
    </row>
    <row r="34" spans="1:12" ht="15" customHeight="1">
      <c r="A34" s="43" t="s">
        <v>500</v>
      </c>
      <c r="B34" s="357">
        <v>0</v>
      </c>
      <c r="C34" s="356"/>
      <c r="D34" s="357">
        <v>0</v>
      </c>
      <c r="E34" s="356"/>
      <c r="F34" s="357">
        <v>0</v>
      </c>
      <c r="G34" s="356"/>
      <c r="H34" s="357">
        <v>0</v>
      </c>
      <c r="I34" s="357"/>
      <c r="J34" s="357"/>
      <c r="K34" s="357"/>
      <c r="L34" s="357">
        <f t="shared" si="3"/>
        <v>0</v>
      </c>
    </row>
    <row r="35" spans="1:12" ht="15" customHeight="1">
      <c r="A35" s="48" t="s">
        <v>458</v>
      </c>
      <c r="B35" s="357">
        <v>0</v>
      </c>
      <c r="C35" s="356"/>
      <c r="D35" s="357">
        <v>0</v>
      </c>
      <c r="E35" s="356"/>
      <c r="F35" s="357">
        <v>0</v>
      </c>
      <c r="G35" s="356"/>
      <c r="H35" s="357">
        <v>0</v>
      </c>
      <c r="I35" s="357"/>
      <c r="J35" s="357"/>
      <c r="K35" s="357"/>
      <c r="L35" s="357">
        <f t="shared" si="3"/>
        <v>0</v>
      </c>
    </row>
    <row r="36" spans="1:12" ht="15" customHeight="1">
      <c r="A36" s="48" t="s">
        <v>537</v>
      </c>
      <c r="B36" s="357">
        <v>0</v>
      </c>
      <c r="C36" s="356"/>
      <c r="D36" s="357">
        <v>0</v>
      </c>
      <c r="E36" s="356"/>
      <c r="F36" s="357">
        <v>0</v>
      </c>
      <c r="G36" s="356"/>
      <c r="H36" s="357">
        <v>0</v>
      </c>
      <c r="I36" s="357"/>
      <c r="J36" s="357"/>
      <c r="K36" s="357"/>
      <c r="L36" s="357">
        <f t="shared" si="3"/>
        <v>0</v>
      </c>
    </row>
    <row r="37" spans="1:12" ht="15" customHeight="1">
      <c r="A37" s="48" t="s">
        <v>91</v>
      </c>
      <c r="B37" s="357">
        <v>0</v>
      </c>
      <c r="C37" s="356"/>
      <c r="D37" s="357">
        <v>0</v>
      </c>
      <c r="E37" s="356"/>
      <c r="F37" s="357"/>
      <c r="G37" s="356"/>
      <c r="H37" s="357"/>
      <c r="I37" s="357"/>
      <c r="J37" s="357"/>
      <c r="K37" s="357"/>
      <c r="L37" s="357">
        <f t="shared" si="3"/>
        <v>0</v>
      </c>
    </row>
    <row r="38" spans="1:12" ht="15" customHeight="1">
      <c r="A38" s="48" t="s">
        <v>461</v>
      </c>
      <c r="B38" s="357">
        <v>0</v>
      </c>
      <c r="C38" s="356"/>
      <c r="D38" s="357">
        <v>0</v>
      </c>
      <c r="E38" s="356"/>
      <c r="F38" s="357">
        <v>0</v>
      </c>
      <c r="G38" s="356"/>
      <c r="H38" s="357">
        <v>0</v>
      </c>
      <c r="I38" s="357"/>
      <c r="J38" s="357"/>
      <c r="K38" s="357"/>
      <c r="L38" s="357">
        <f t="shared" si="3"/>
        <v>0</v>
      </c>
    </row>
    <row r="39" spans="1:12" ht="15" customHeight="1">
      <c r="A39" s="48" t="s">
        <v>538</v>
      </c>
      <c r="B39" s="357">
        <v>0</v>
      </c>
      <c r="C39" s="356"/>
      <c r="D39" s="357">
        <v>0</v>
      </c>
      <c r="E39" s="356"/>
      <c r="F39" s="357">
        <v>0</v>
      </c>
      <c r="G39" s="356"/>
      <c r="H39" s="357">
        <v>0</v>
      </c>
      <c r="I39" s="357"/>
      <c r="J39" s="357"/>
      <c r="K39" s="357"/>
      <c r="L39" s="357">
        <f t="shared" si="3"/>
        <v>0</v>
      </c>
    </row>
    <row r="40" spans="1:12" ht="15" customHeight="1">
      <c r="A40" s="48" t="s">
        <v>539</v>
      </c>
      <c r="B40" s="357">
        <v>0</v>
      </c>
      <c r="C40" s="356"/>
      <c r="D40" s="357">
        <v>0</v>
      </c>
      <c r="E40" s="356"/>
      <c r="F40" s="357">
        <v>0</v>
      </c>
      <c r="G40" s="356"/>
      <c r="H40" s="357">
        <v>0</v>
      </c>
      <c r="I40" s="357"/>
      <c r="J40" s="357"/>
      <c r="K40" s="357"/>
      <c r="L40" s="357">
        <f t="shared" si="3"/>
        <v>0</v>
      </c>
    </row>
    <row r="41" spans="1:12" ht="15" customHeight="1">
      <c r="A41" s="48" t="s">
        <v>465</v>
      </c>
      <c r="B41" s="357">
        <v>0</v>
      </c>
      <c r="C41" s="356"/>
      <c r="D41" s="357">
        <v>0</v>
      </c>
      <c r="E41" s="356"/>
      <c r="F41" s="357">
        <v>0</v>
      </c>
      <c r="G41" s="356"/>
      <c r="H41" s="357">
        <v>0</v>
      </c>
      <c r="I41" s="357"/>
      <c r="J41" s="357"/>
      <c r="K41" s="357"/>
      <c r="L41" s="357">
        <f t="shared" si="3"/>
        <v>0</v>
      </c>
    </row>
    <row r="42" spans="1:12" ht="15" customHeight="1">
      <c r="A42" s="48" t="s">
        <v>316</v>
      </c>
      <c r="B42" s="357">
        <v>0</v>
      </c>
      <c r="C42" s="374"/>
      <c r="D42" s="357">
        <v>0</v>
      </c>
      <c r="E42" s="356"/>
      <c r="F42" s="357">
        <v>0</v>
      </c>
      <c r="G42" s="356"/>
      <c r="H42" s="357">
        <v>0</v>
      </c>
      <c r="I42" s="357"/>
      <c r="J42" s="357"/>
      <c r="K42" s="357"/>
      <c r="L42" s="357">
        <f t="shared" si="3"/>
        <v>0</v>
      </c>
    </row>
    <row r="43" spans="1:12" ht="15" customHeight="1">
      <c r="A43" s="48" t="s">
        <v>467</v>
      </c>
      <c r="B43" s="357">
        <v>0</v>
      </c>
      <c r="C43" s="356"/>
      <c r="D43" s="357">
        <v>0</v>
      </c>
      <c r="E43" s="356"/>
      <c r="F43" s="357">
        <v>0</v>
      </c>
      <c r="G43" s="356"/>
      <c r="H43" s="357">
        <v>0</v>
      </c>
      <c r="I43" s="357"/>
      <c r="J43" s="357"/>
      <c r="K43" s="357"/>
      <c r="L43" s="357">
        <f t="shared" si="3"/>
        <v>0</v>
      </c>
    </row>
    <row r="44" spans="1:12" ht="15" customHeight="1">
      <c r="A44" s="48" t="s">
        <v>25</v>
      </c>
      <c r="B44" s="357">
        <v>0</v>
      </c>
      <c r="C44" s="356"/>
      <c r="D44" s="357">
        <v>0</v>
      </c>
      <c r="E44" s="356"/>
      <c r="F44" s="357">
        <v>0</v>
      </c>
      <c r="G44" s="356"/>
      <c r="H44" s="357">
        <v>0</v>
      </c>
      <c r="I44" s="357"/>
      <c r="J44" s="357"/>
      <c r="K44" s="357"/>
      <c r="L44" s="357">
        <f t="shared" si="3"/>
        <v>0</v>
      </c>
    </row>
    <row r="45" spans="1:12" ht="15" customHeight="1">
      <c r="A45" s="48" t="s">
        <v>140</v>
      </c>
      <c r="B45" s="357">
        <v>0</v>
      </c>
      <c r="C45" s="356"/>
      <c r="D45" s="357">
        <v>0</v>
      </c>
      <c r="E45" s="356"/>
      <c r="F45" s="357"/>
      <c r="G45" s="356"/>
      <c r="H45" s="357"/>
      <c r="I45" s="357"/>
      <c r="J45" s="357"/>
      <c r="K45" s="357"/>
      <c r="L45" s="357">
        <f t="shared" si="3"/>
        <v>0</v>
      </c>
    </row>
    <row r="46" spans="1:12" ht="15" customHeight="1">
      <c r="A46" s="48" t="s">
        <v>95</v>
      </c>
      <c r="B46" s="357">
        <v>0</v>
      </c>
      <c r="C46" s="356"/>
      <c r="D46" s="357">
        <v>-489.02</v>
      </c>
      <c r="E46" s="356"/>
      <c r="F46" s="357">
        <v>0</v>
      </c>
      <c r="G46" s="356"/>
      <c r="H46" s="357">
        <v>0</v>
      </c>
      <c r="I46" s="357"/>
      <c r="J46" s="357"/>
      <c r="K46" s="357"/>
      <c r="L46" s="357">
        <f t="shared" si="3"/>
        <v>-489.02</v>
      </c>
    </row>
    <row r="47" spans="1:12" ht="15" customHeight="1">
      <c r="A47" s="48" t="s">
        <v>24</v>
      </c>
      <c r="B47" s="357">
        <v>0</v>
      </c>
      <c r="C47" s="356"/>
      <c r="D47" s="357">
        <v>0</v>
      </c>
      <c r="E47" s="356"/>
      <c r="F47" s="357">
        <v>0</v>
      </c>
      <c r="G47" s="356"/>
      <c r="H47" s="357">
        <v>0</v>
      </c>
      <c r="I47" s="357"/>
      <c r="J47" s="357"/>
      <c r="K47" s="357"/>
      <c r="L47" s="357">
        <f t="shared" si="3"/>
        <v>0</v>
      </c>
    </row>
    <row r="48" spans="1:12" ht="15" customHeight="1">
      <c r="A48" s="48" t="s">
        <v>540</v>
      </c>
      <c r="B48" s="357">
        <v>0</v>
      </c>
      <c r="C48" s="356"/>
      <c r="D48" s="357">
        <f>+'WP-2 - Labor Analysis'!AB32</f>
        <v>0</v>
      </c>
      <c r="E48" s="356"/>
      <c r="F48" s="357">
        <v>0</v>
      </c>
      <c r="G48" s="356"/>
      <c r="H48" s="357">
        <v>0</v>
      </c>
      <c r="I48" s="357"/>
      <c r="J48" s="357"/>
      <c r="K48" s="357"/>
      <c r="L48" s="357">
        <f t="shared" si="3"/>
        <v>0</v>
      </c>
    </row>
    <row r="49" spans="1:12" ht="15" customHeight="1">
      <c r="A49" s="48" t="s">
        <v>541</v>
      </c>
      <c r="B49" s="357">
        <v>0</v>
      </c>
      <c r="C49" s="356"/>
      <c r="D49" s="357">
        <v>0</v>
      </c>
      <c r="E49" s="356"/>
      <c r="F49" s="357">
        <v>0</v>
      </c>
      <c r="G49" s="356"/>
      <c r="H49" s="357">
        <v>0</v>
      </c>
      <c r="I49" s="357"/>
      <c r="J49" s="357">
        <f>-'WP-9 Disposal'!C33</f>
        <v>-8428.1900000000023</v>
      </c>
      <c r="K49" s="357"/>
      <c r="L49" s="357">
        <f t="shared" si="3"/>
        <v>-8428.1900000000023</v>
      </c>
    </row>
    <row r="50" spans="1:12" ht="15" customHeight="1">
      <c r="A50" s="48" t="s">
        <v>542</v>
      </c>
      <c r="B50" s="357">
        <v>0</v>
      </c>
      <c r="C50" s="356"/>
      <c r="D50" s="357">
        <v>0</v>
      </c>
      <c r="E50" s="356"/>
      <c r="F50" s="357">
        <v>0</v>
      </c>
      <c r="G50" s="356"/>
      <c r="H50" s="357">
        <v>0</v>
      </c>
      <c r="I50" s="357"/>
      <c r="J50" s="357"/>
      <c r="K50" s="357"/>
      <c r="L50" s="357">
        <f t="shared" si="3"/>
        <v>0</v>
      </c>
    </row>
    <row r="51" spans="1:12" ht="15" customHeight="1">
      <c r="A51" s="48" t="s">
        <v>551</v>
      </c>
      <c r="B51" s="357">
        <v>0</v>
      </c>
      <c r="C51" s="356"/>
      <c r="D51" s="357">
        <v>0</v>
      </c>
      <c r="E51" s="356"/>
      <c r="F51" s="357">
        <v>0</v>
      </c>
      <c r="G51" s="356"/>
      <c r="H51" s="357">
        <v>0</v>
      </c>
      <c r="I51" s="357"/>
      <c r="J51" s="357"/>
      <c r="K51" s="357"/>
      <c r="L51" s="357">
        <f t="shared" si="3"/>
        <v>0</v>
      </c>
    </row>
    <row r="52" spans="1:12" ht="15" customHeight="1">
      <c r="A52" s="43" t="s">
        <v>503</v>
      </c>
      <c r="B52" s="357">
        <v>0</v>
      </c>
      <c r="C52" s="356"/>
      <c r="D52" s="357">
        <v>0</v>
      </c>
      <c r="E52" s="356"/>
      <c r="F52" s="357">
        <v>0</v>
      </c>
      <c r="G52" s="356"/>
      <c r="H52" s="357">
        <v>0</v>
      </c>
      <c r="I52" s="357"/>
      <c r="J52" s="357"/>
      <c r="K52" s="357"/>
      <c r="L52" s="357">
        <f t="shared" si="3"/>
        <v>0</v>
      </c>
    </row>
    <row r="53" spans="1:12" ht="15" customHeight="1">
      <c r="A53" s="43" t="s">
        <v>504</v>
      </c>
      <c r="B53" s="357">
        <v>0</v>
      </c>
      <c r="C53" s="356"/>
      <c r="D53" s="357">
        <v>0</v>
      </c>
      <c r="E53" s="356"/>
      <c r="F53" s="357">
        <v>0</v>
      </c>
      <c r="G53" s="356"/>
      <c r="H53" s="357">
        <v>0</v>
      </c>
      <c r="I53" s="357"/>
      <c r="J53" s="357">
        <f>+'WP-9 Disposal'!C33</f>
        <v>8428.1900000000023</v>
      </c>
      <c r="K53" s="357"/>
      <c r="L53" s="357">
        <f t="shared" si="3"/>
        <v>8428.1900000000023</v>
      </c>
    </row>
    <row r="54" spans="1:12" ht="15" customHeight="1">
      <c r="A54" s="48" t="s">
        <v>21</v>
      </c>
      <c r="B54" s="357">
        <v>0</v>
      </c>
      <c r="C54" s="356"/>
      <c r="D54" s="357">
        <v>0</v>
      </c>
      <c r="E54" s="356"/>
      <c r="F54" s="357">
        <v>0</v>
      </c>
      <c r="G54" s="356"/>
      <c r="H54" s="357">
        <v>0</v>
      </c>
      <c r="I54" s="357"/>
      <c r="J54" s="357"/>
      <c r="K54" s="357"/>
      <c r="L54" s="357">
        <f t="shared" si="3"/>
        <v>0</v>
      </c>
    </row>
    <row r="55" spans="1:12" ht="15" customHeight="1">
      <c r="A55" s="48" t="s">
        <v>23</v>
      </c>
      <c r="B55" s="357">
        <v>0</v>
      </c>
      <c r="C55" s="356"/>
      <c r="D55" s="357">
        <v>0</v>
      </c>
      <c r="E55" s="356"/>
      <c r="F55" s="357">
        <v>0</v>
      </c>
      <c r="G55" s="356"/>
      <c r="H55" s="357">
        <v>0</v>
      </c>
      <c r="I55" s="357"/>
      <c r="J55" s="357"/>
      <c r="K55" s="357"/>
      <c r="L55" s="357">
        <f t="shared" si="3"/>
        <v>0</v>
      </c>
    </row>
    <row r="56" spans="1:12" ht="15" customHeight="1">
      <c r="A56" s="43" t="s">
        <v>543</v>
      </c>
      <c r="B56" s="357">
        <v>0</v>
      </c>
      <c r="C56" s="356"/>
      <c r="D56" s="357">
        <v>0</v>
      </c>
      <c r="E56" s="356"/>
      <c r="F56" s="357">
        <v>0</v>
      </c>
      <c r="G56" s="356"/>
      <c r="H56" s="357">
        <v>0</v>
      </c>
      <c r="I56" s="357"/>
      <c r="J56" s="357"/>
      <c r="K56" s="357"/>
      <c r="L56" s="357">
        <f t="shared" si="3"/>
        <v>0</v>
      </c>
    </row>
    <row r="57" spans="1:12" ht="15" customHeight="1">
      <c r="A57" s="43" t="s">
        <v>544</v>
      </c>
      <c r="B57" s="357">
        <v>0</v>
      </c>
      <c r="C57" s="356"/>
      <c r="D57" s="357">
        <v>0</v>
      </c>
      <c r="E57" s="356"/>
      <c r="F57" s="357">
        <v>0</v>
      </c>
      <c r="G57" s="356"/>
      <c r="H57" s="357">
        <v>0</v>
      </c>
      <c r="I57" s="357"/>
      <c r="J57" s="357"/>
      <c r="K57" s="357"/>
      <c r="L57" s="357">
        <f t="shared" si="3"/>
        <v>0</v>
      </c>
    </row>
    <row r="58" spans="1:12" ht="15" customHeight="1">
      <c r="A58" s="43" t="s">
        <v>44</v>
      </c>
      <c r="B58" s="357">
        <v>0</v>
      </c>
      <c r="C58" s="356"/>
      <c r="D58" s="357">
        <v>0</v>
      </c>
      <c r="E58" s="356"/>
      <c r="F58" s="357">
        <v>0</v>
      </c>
      <c r="G58" s="356"/>
      <c r="H58" s="357">
        <f>-'Sch 4 - 12 Months'!O60</f>
        <v>-105371.53999999998</v>
      </c>
      <c r="I58" s="357"/>
      <c r="J58" s="357"/>
      <c r="K58" s="357"/>
      <c r="L58" s="357">
        <f t="shared" si="3"/>
        <v>-105371.53999999998</v>
      </c>
    </row>
    <row r="59" spans="1:12" ht="15" customHeight="1">
      <c r="A59" s="43" t="s">
        <v>546</v>
      </c>
      <c r="B59" s="357">
        <v>0</v>
      </c>
      <c r="C59" s="356"/>
      <c r="D59" s="357">
        <v>0</v>
      </c>
      <c r="E59" s="356"/>
      <c r="F59" s="357">
        <v>0</v>
      </c>
      <c r="G59" s="356"/>
      <c r="H59" s="357">
        <v>0</v>
      </c>
      <c r="I59" s="357"/>
      <c r="J59" s="357"/>
      <c r="K59" s="357"/>
      <c r="L59" s="357">
        <f t="shared" si="3"/>
        <v>0</v>
      </c>
    </row>
    <row r="60" spans="1:12" ht="15" customHeight="1">
      <c r="A60" s="43" t="s">
        <v>545</v>
      </c>
      <c r="B60" s="357">
        <v>0</v>
      </c>
      <c r="C60" s="356"/>
      <c r="D60" s="357">
        <v>0</v>
      </c>
      <c r="E60" s="356"/>
      <c r="F60" s="357">
        <v>0</v>
      </c>
      <c r="G60" s="356"/>
      <c r="H60" s="357">
        <v>0</v>
      </c>
      <c r="I60" s="357"/>
      <c r="J60" s="357"/>
      <c r="K60" s="357"/>
      <c r="L60" s="357">
        <f t="shared" si="3"/>
        <v>0</v>
      </c>
    </row>
    <row r="61" spans="1:12" ht="15" customHeight="1">
      <c r="A61" s="43" t="s">
        <v>547</v>
      </c>
      <c r="B61" s="357">
        <v>0</v>
      </c>
      <c r="C61" s="356"/>
      <c r="D61" s="357">
        <v>0</v>
      </c>
      <c r="E61" s="356"/>
      <c r="F61" s="357">
        <v>0</v>
      </c>
      <c r="G61" s="356"/>
      <c r="H61" s="357">
        <v>0</v>
      </c>
      <c r="I61" s="357"/>
      <c r="J61" s="357"/>
      <c r="K61" s="357"/>
      <c r="L61" s="357">
        <f t="shared" si="3"/>
        <v>0</v>
      </c>
    </row>
    <row r="62" spans="1:12" ht="15" customHeight="1">
      <c r="A62" s="43" t="s">
        <v>490</v>
      </c>
      <c r="B62" s="357">
        <v>0</v>
      </c>
      <c r="C62" s="356"/>
      <c r="D62" s="357">
        <v>0</v>
      </c>
      <c r="E62" s="356"/>
      <c r="F62" s="357">
        <v>0</v>
      </c>
      <c r="G62" s="356"/>
      <c r="H62" s="357">
        <v>0</v>
      </c>
      <c r="I62" s="357"/>
      <c r="J62" s="357"/>
      <c r="K62" s="357"/>
      <c r="L62" s="357">
        <f t="shared" si="3"/>
        <v>0</v>
      </c>
    </row>
    <row r="63" spans="1:12" ht="15" customHeight="1">
      <c r="A63" s="43" t="s">
        <v>152</v>
      </c>
      <c r="B63" s="357">
        <v>0</v>
      </c>
      <c r="C63" s="356"/>
      <c r="D63" s="357">
        <v>0</v>
      </c>
      <c r="E63" s="356"/>
      <c r="F63" s="357">
        <v>0</v>
      </c>
      <c r="G63" s="356"/>
      <c r="H63" s="357">
        <v>0</v>
      </c>
      <c r="I63" s="357"/>
      <c r="J63" s="357"/>
      <c r="K63" s="357"/>
      <c r="L63" s="357">
        <f t="shared" si="3"/>
        <v>0</v>
      </c>
    </row>
    <row r="64" spans="1:12" ht="15" customHeight="1">
      <c r="A64" s="43" t="s">
        <v>548</v>
      </c>
      <c r="B64" s="357">
        <v>0</v>
      </c>
      <c r="C64" s="356"/>
      <c r="D64" s="357">
        <v>0</v>
      </c>
      <c r="E64" s="356"/>
      <c r="F64" s="357">
        <v>0</v>
      </c>
      <c r="G64" s="356"/>
      <c r="H64" s="357">
        <v>0</v>
      </c>
      <c r="I64" s="357"/>
      <c r="J64" s="357"/>
      <c r="K64" s="357"/>
      <c r="L64" s="357">
        <f t="shared" si="3"/>
        <v>0</v>
      </c>
    </row>
    <row r="65" spans="1:12" ht="15" customHeight="1">
      <c r="A65" s="43" t="s">
        <v>549</v>
      </c>
      <c r="B65" s="357">
        <v>0</v>
      </c>
      <c r="C65" s="356"/>
      <c r="D65" s="357">
        <v>0</v>
      </c>
      <c r="E65" s="356"/>
      <c r="F65" s="357">
        <v>0</v>
      </c>
      <c r="G65" s="356"/>
      <c r="H65" s="357">
        <v>0</v>
      </c>
      <c r="I65" s="357"/>
      <c r="J65" s="357"/>
      <c r="K65" s="357"/>
      <c r="L65" s="357">
        <f t="shared" si="3"/>
        <v>0</v>
      </c>
    </row>
    <row r="66" spans="1:12" ht="15" customHeight="1">
      <c r="A66" s="43" t="s">
        <v>20</v>
      </c>
      <c r="B66" s="357">
        <v>0</v>
      </c>
      <c r="C66" s="356"/>
      <c r="D66" s="357">
        <v>0</v>
      </c>
      <c r="E66" s="356"/>
      <c r="F66" s="357">
        <v>0</v>
      </c>
      <c r="G66" s="356"/>
      <c r="H66" s="357">
        <v>0</v>
      </c>
      <c r="I66" s="357"/>
      <c r="J66" s="357"/>
      <c r="K66" s="357"/>
      <c r="L66" s="357">
        <f t="shared" si="3"/>
        <v>0</v>
      </c>
    </row>
    <row r="67" spans="1:12" ht="15" customHeight="1">
      <c r="A67" s="43" t="s">
        <v>550</v>
      </c>
      <c r="B67" s="357">
        <v>0</v>
      </c>
      <c r="C67" s="356"/>
      <c r="D67" s="357">
        <v>0</v>
      </c>
      <c r="E67" s="356"/>
      <c r="F67" s="357">
        <v>0</v>
      </c>
      <c r="G67" s="356"/>
      <c r="H67" s="357">
        <v>0</v>
      </c>
      <c r="I67" s="357"/>
      <c r="J67" s="357"/>
      <c r="K67" s="357"/>
      <c r="L67" s="357">
        <f t="shared" si="3"/>
        <v>0</v>
      </c>
    </row>
    <row r="68" spans="1:12" ht="15" customHeight="1">
      <c r="A68" s="43" t="s">
        <v>499</v>
      </c>
      <c r="B68" s="357">
        <v>0</v>
      </c>
      <c r="C68" s="356"/>
      <c r="D68" s="357">
        <v>0</v>
      </c>
      <c r="E68" s="356"/>
      <c r="F68" s="357">
        <v>0</v>
      </c>
      <c r="G68" s="356"/>
      <c r="H68" s="357">
        <v>0</v>
      </c>
      <c r="I68" s="357"/>
      <c r="J68" s="357"/>
      <c r="K68" s="357"/>
      <c r="L68" s="357">
        <f t="shared" si="3"/>
        <v>0</v>
      </c>
    </row>
    <row r="69" spans="1:12" ht="15" customHeight="1">
      <c r="A69" s="43" t="s">
        <v>172</v>
      </c>
      <c r="B69" s="357">
        <v>0</v>
      </c>
      <c r="C69" s="356"/>
      <c r="D69" s="357">
        <v>0</v>
      </c>
      <c r="E69" s="356"/>
      <c r="F69" s="357">
        <v>0</v>
      </c>
      <c r="G69" s="356"/>
      <c r="H69" s="357">
        <v>0</v>
      </c>
      <c r="I69" s="357"/>
      <c r="J69" s="357"/>
      <c r="K69" s="357"/>
      <c r="L69" s="357">
        <f t="shared" si="3"/>
        <v>0</v>
      </c>
    </row>
    <row r="70" spans="1:12" ht="15" customHeight="1">
      <c r="A70" s="43" t="s">
        <v>501</v>
      </c>
      <c r="B70" s="357">
        <v>0</v>
      </c>
      <c r="C70" s="356"/>
      <c r="D70" s="357">
        <v>0</v>
      </c>
      <c r="E70" s="356"/>
      <c r="F70" s="357">
        <v>0</v>
      </c>
      <c r="G70" s="356"/>
      <c r="H70" s="357">
        <v>0</v>
      </c>
      <c r="I70" s="357"/>
      <c r="J70" s="357"/>
      <c r="K70" s="357"/>
      <c r="L70" s="357">
        <f t="shared" si="3"/>
        <v>0</v>
      </c>
    </row>
    <row r="71" spans="1:12" ht="15" customHeight="1">
      <c r="A71" s="43" t="s">
        <v>502</v>
      </c>
      <c r="B71" s="357">
        <v>0</v>
      </c>
      <c r="C71" s="356"/>
      <c r="D71" s="357">
        <v>0</v>
      </c>
      <c r="E71" s="356"/>
      <c r="F71" s="357">
        <v>0</v>
      </c>
      <c r="G71" s="356"/>
      <c r="H71" s="357">
        <v>0</v>
      </c>
      <c r="I71" s="357"/>
      <c r="J71" s="357"/>
      <c r="K71" s="357"/>
      <c r="L71" s="357">
        <f t="shared" si="3"/>
        <v>0</v>
      </c>
    </row>
    <row r="72" spans="1:12" ht="15" customHeight="1">
      <c r="A72" s="43" t="s">
        <v>505</v>
      </c>
      <c r="B72" s="357">
        <v>0</v>
      </c>
      <c r="C72" s="356"/>
      <c r="D72" s="357">
        <v>0</v>
      </c>
      <c r="E72" s="356"/>
      <c r="F72" s="357">
        <v>0</v>
      </c>
      <c r="G72" s="356"/>
      <c r="H72" s="357">
        <v>0</v>
      </c>
      <c r="I72" s="357"/>
      <c r="J72" s="357"/>
      <c r="K72" s="357"/>
      <c r="L72" s="357">
        <f t="shared" si="3"/>
        <v>0</v>
      </c>
    </row>
    <row r="73" spans="1:12" ht="15" customHeight="1">
      <c r="A73" s="43" t="s">
        <v>506</v>
      </c>
      <c r="B73" s="357">
        <v>0</v>
      </c>
      <c r="C73" s="356"/>
      <c r="D73" s="357">
        <v>0</v>
      </c>
      <c r="E73" s="356"/>
      <c r="F73" s="357">
        <v>0</v>
      </c>
      <c r="G73" s="356"/>
      <c r="H73" s="357">
        <v>0</v>
      </c>
      <c r="I73" s="357"/>
      <c r="J73" s="357"/>
      <c r="K73" s="357"/>
      <c r="L73" s="357">
        <f t="shared" si="3"/>
        <v>0</v>
      </c>
    </row>
    <row r="74" spans="1:12" ht="15" customHeight="1">
      <c r="A74" s="43" t="s">
        <v>552</v>
      </c>
      <c r="B74" s="357">
        <v>0</v>
      </c>
      <c r="C74" s="304"/>
      <c r="D74" s="357">
        <v>0</v>
      </c>
      <c r="E74" s="356"/>
      <c r="F74" s="357">
        <v>0</v>
      </c>
      <c r="G74" s="356"/>
      <c r="H74" s="357">
        <v>0</v>
      </c>
      <c r="I74" s="357"/>
      <c r="J74" s="357"/>
      <c r="K74" s="357"/>
      <c r="L74" s="357">
        <f t="shared" si="3"/>
        <v>0</v>
      </c>
    </row>
    <row r="75" spans="1:12" ht="15" customHeight="1">
      <c r="A75" s="43" t="s">
        <v>554</v>
      </c>
      <c r="B75" s="357">
        <v>0</v>
      </c>
      <c r="C75" s="356"/>
      <c r="D75" s="357">
        <v>0</v>
      </c>
      <c r="E75" s="356"/>
      <c r="F75" s="357">
        <v>0</v>
      </c>
      <c r="G75" s="356"/>
      <c r="H75" s="357">
        <v>0</v>
      </c>
      <c r="I75" s="357"/>
      <c r="J75" s="357"/>
      <c r="K75" s="357"/>
      <c r="L75" s="357">
        <f t="shared" si="3"/>
        <v>0</v>
      </c>
    </row>
    <row r="76" spans="1:12" ht="15" customHeight="1">
      <c r="A76" s="43" t="s">
        <v>553</v>
      </c>
      <c r="B76" s="357">
        <v>0</v>
      </c>
      <c r="C76" s="356"/>
      <c r="D76" s="357">
        <v>0</v>
      </c>
      <c r="E76" s="356"/>
      <c r="F76" s="357">
        <v>0</v>
      </c>
      <c r="G76" s="356"/>
      <c r="H76" s="357">
        <v>0</v>
      </c>
      <c r="I76" s="357"/>
      <c r="J76" s="357"/>
      <c r="K76" s="357"/>
      <c r="L76" s="357">
        <f t="shared" si="3"/>
        <v>0</v>
      </c>
    </row>
    <row r="77" spans="1:12" ht="15" customHeight="1">
      <c r="A77" s="43" t="s">
        <v>555</v>
      </c>
      <c r="B77" s="357">
        <v>0</v>
      </c>
      <c r="C77" s="356"/>
      <c r="D77" s="357">
        <v>0</v>
      </c>
      <c r="E77" s="356"/>
      <c r="F77" s="357">
        <v>0</v>
      </c>
      <c r="G77" s="356"/>
      <c r="H77" s="357">
        <v>0</v>
      </c>
      <c r="I77" s="357"/>
      <c r="J77" s="357"/>
      <c r="K77" s="357"/>
      <c r="L77" s="357">
        <f t="shared" si="3"/>
        <v>0</v>
      </c>
    </row>
    <row r="78" spans="1:12" ht="15" customHeight="1">
      <c r="A78" s="48" t="s">
        <v>556</v>
      </c>
      <c r="B78" s="357">
        <v>0</v>
      </c>
      <c r="C78" s="356"/>
      <c r="D78" s="357">
        <v>0</v>
      </c>
      <c r="E78" s="356"/>
      <c r="F78" s="357">
        <v>0</v>
      </c>
      <c r="G78" s="356"/>
      <c r="H78" s="357">
        <v>0</v>
      </c>
      <c r="I78" s="357"/>
      <c r="J78" s="357"/>
      <c r="K78" s="357"/>
      <c r="L78" s="357">
        <f t="shared" si="3"/>
        <v>0</v>
      </c>
    </row>
    <row r="79" spans="1:12" ht="15" customHeight="1">
      <c r="A79" s="43" t="s">
        <v>557</v>
      </c>
      <c r="B79" s="357">
        <v>0</v>
      </c>
      <c r="C79" s="356"/>
      <c r="D79" s="357">
        <v>0</v>
      </c>
      <c r="E79" s="356"/>
      <c r="F79" s="357">
        <v>0</v>
      </c>
      <c r="G79" s="356"/>
      <c r="H79" s="357">
        <v>0</v>
      </c>
      <c r="I79" s="357"/>
      <c r="J79" s="357"/>
      <c r="K79" s="357"/>
      <c r="L79" s="357">
        <f t="shared" si="3"/>
        <v>0</v>
      </c>
    </row>
    <row r="80" spans="1:12" ht="15" customHeight="1">
      <c r="A80" s="43" t="s">
        <v>513</v>
      </c>
      <c r="B80" s="357">
        <v>0</v>
      </c>
      <c r="C80" s="356"/>
      <c r="D80" s="357">
        <v>0</v>
      </c>
      <c r="E80" s="356"/>
      <c r="F80" s="357">
        <v>0</v>
      </c>
      <c r="G80" s="356"/>
      <c r="H80" s="357">
        <v>0</v>
      </c>
      <c r="I80" s="357"/>
      <c r="J80" s="357"/>
      <c r="K80" s="357"/>
      <c r="L80" s="357">
        <f t="shared" si="3"/>
        <v>0</v>
      </c>
    </row>
    <row r="81" spans="1:12" ht="15" customHeight="1">
      <c r="A81" s="43" t="s">
        <v>514</v>
      </c>
      <c r="B81" s="357">
        <v>0</v>
      </c>
      <c r="C81" s="356"/>
      <c r="D81" s="357">
        <v>0</v>
      </c>
      <c r="E81" s="356"/>
      <c r="F81" s="357">
        <v>0</v>
      </c>
      <c r="G81" s="356"/>
      <c r="H81" s="357">
        <v>0</v>
      </c>
      <c r="I81" s="357"/>
      <c r="J81" s="357"/>
      <c r="K81" s="357"/>
      <c r="L81" s="357">
        <f t="shared" si="3"/>
        <v>0</v>
      </c>
    </row>
    <row r="82" spans="1:12" ht="15" customHeight="1">
      <c r="A82" s="43" t="s">
        <v>515</v>
      </c>
      <c r="B82" s="357">
        <v>0</v>
      </c>
      <c r="C82" s="356"/>
      <c r="D82" s="357">
        <v>0</v>
      </c>
      <c r="E82" s="356"/>
      <c r="F82" s="357">
        <v>0</v>
      </c>
      <c r="G82" s="356"/>
      <c r="H82" s="357">
        <v>0</v>
      </c>
      <c r="I82" s="357"/>
      <c r="J82" s="357"/>
      <c r="K82" s="357"/>
      <c r="L82" s="357">
        <f t="shared" si="3"/>
        <v>0</v>
      </c>
    </row>
    <row r="83" spans="1:12" ht="15" customHeight="1">
      <c r="A83" s="43" t="s">
        <v>16</v>
      </c>
      <c r="B83" s="357">
        <v>0</v>
      </c>
      <c r="C83" s="356"/>
      <c r="D83" s="357">
        <v>0</v>
      </c>
      <c r="E83" s="356"/>
      <c r="F83" s="357">
        <v>0</v>
      </c>
      <c r="G83" s="356"/>
      <c r="H83" s="357">
        <v>0</v>
      </c>
      <c r="I83" s="357"/>
      <c r="J83" s="357"/>
      <c r="K83" s="357"/>
      <c r="L83" s="357">
        <f t="shared" si="3"/>
        <v>0</v>
      </c>
    </row>
    <row r="84" spans="1:12" ht="15" customHeight="1">
      <c r="A84" s="43" t="s">
        <v>516</v>
      </c>
      <c r="B84" s="357">
        <v>0</v>
      </c>
      <c r="C84" s="356"/>
      <c r="D84" s="357">
        <v>0</v>
      </c>
      <c r="E84" s="356"/>
      <c r="F84" s="357">
        <v>0</v>
      </c>
      <c r="G84" s="356"/>
      <c r="H84" s="357">
        <v>0</v>
      </c>
      <c r="I84" s="357"/>
      <c r="J84" s="357"/>
      <c r="K84" s="357"/>
      <c r="L84" s="357">
        <f t="shared" si="3"/>
        <v>0</v>
      </c>
    </row>
    <row r="85" spans="1:12" ht="15" customHeight="1">
      <c r="A85" s="43" t="s">
        <v>517</v>
      </c>
      <c r="B85" s="357">
        <v>0</v>
      </c>
      <c r="C85" s="356"/>
      <c r="D85" s="357">
        <v>0</v>
      </c>
      <c r="E85" s="356"/>
      <c r="F85" s="357">
        <v>0</v>
      </c>
      <c r="G85" s="356"/>
      <c r="H85" s="357">
        <v>0</v>
      </c>
      <c r="I85" s="357"/>
      <c r="J85" s="357"/>
      <c r="K85" s="357"/>
      <c r="L85" s="357">
        <f t="shared" si="3"/>
        <v>0</v>
      </c>
    </row>
    <row r="86" spans="1:12" ht="15" customHeight="1">
      <c r="A86" s="43" t="s">
        <v>22</v>
      </c>
      <c r="B86" s="357">
        <v>0</v>
      </c>
      <c r="C86" s="356"/>
      <c r="D86" s="357">
        <v>0</v>
      </c>
      <c r="E86" s="356"/>
      <c r="F86" s="357">
        <v>0</v>
      </c>
      <c r="G86" s="356"/>
      <c r="H86" s="357">
        <v>0</v>
      </c>
      <c r="I86" s="357"/>
      <c r="J86" s="357"/>
      <c r="K86" s="357"/>
      <c r="L86" s="357">
        <f t="shared" si="3"/>
        <v>0</v>
      </c>
    </row>
    <row r="87" spans="1:12" ht="15" customHeight="1">
      <c r="A87" s="43" t="s">
        <v>558</v>
      </c>
      <c r="B87" s="357">
        <v>0</v>
      </c>
      <c r="C87" s="356"/>
      <c r="D87" s="357">
        <v>0</v>
      </c>
      <c r="E87" s="356"/>
      <c r="F87" s="357">
        <v>0</v>
      </c>
      <c r="G87" s="356"/>
      <c r="H87" s="357">
        <v>0</v>
      </c>
      <c r="I87" s="357"/>
      <c r="J87" s="357"/>
      <c r="K87" s="357"/>
      <c r="L87" s="357">
        <f t="shared" si="3"/>
        <v>0</v>
      </c>
    </row>
    <row r="88" spans="1:12" ht="15" customHeight="1">
      <c r="A88" s="43" t="s">
        <v>57</v>
      </c>
      <c r="B88" s="357">
        <v>0</v>
      </c>
      <c r="C88" s="356"/>
      <c r="D88" s="357">
        <v>0</v>
      </c>
      <c r="E88" s="356"/>
      <c r="F88" s="357">
        <v>0</v>
      </c>
      <c r="G88" s="356"/>
      <c r="H88" s="357">
        <v>0</v>
      </c>
      <c r="I88" s="357"/>
      <c r="J88" s="357"/>
      <c r="K88" s="357"/>
      <c r="L88" s="357">
        <f t="shared" si="3"/>
        <v>0</v>
      </c>
    </row>
    <row r="89" spans="1:12" ht="15" customHeight="1">
      <c r="A89" s="43" t="s">
        <v>45</v>
      </c>
      <c r="B89" s="357">
        <v>0</v>
      </c>
      <c r="C89" s="356"/>
      <c r="D89" s="357">
        <v>0</v>
      </c>
      <c r="E89" s="356"/>
      <c r="F89" s="357">
        <v>0</v>
      </c>
      <c r="G89" s="356"/>
      <c r="H89" s="357">
        <v>0</v>
      </c>
      <c r="I89" s="357"/>
      <c r="J89" s="357"/>
      <c r="K89" s="357"/>
      <c r="L89" s="357">
        <f t="shared" si="3"/>
        <v>0</v>
      </c>
    </row>
    <row r="90" spans="1:12" ht="15" customHeight="1">
      <c r="A90" s="43" t="s">
        <v>313</v>
      </c>
      <c r="B90" s="357">
        <v>0</v>
      </c>
      <c r="C90" s="356"/>
      <c r="D90" s="357">
        <v>0</v>
      </c>
      <c r="E90" s="356"/>
      <c r="F90" s="357">
        <v>-1994.13</v>
      </c>
      <c r="G90" s="356"/>
      <c r="H90" s="357">
        <v>0</v>
      </c>
      <c r="I90" s="357"/>
      <c r="J90" s="357"/>
      <c r="K90" s="357"/>
      <c r="L90" s="357">
        <f t="shared" si="3"/>
        <v>-1994.13</v>
      </c>
    </row>
    <row r="91" spans="1:12" ht="15" customHeight="1">
      <c r="A91" s="43" t="s">
        <v>532</v>
      </c>
      <c r="B91" s="357">
        <v>0</v>
      </c>
      <c r="C91" s="356"/>
      <c r="D91" s="357">
        <v>0</v>
      </c>
      <c r="E91" s="356"/>
      <c r="F91" s="357">
        <v>1994.13</v>
      </c>
      <c r="G91" s="356"/>
      <c r="H91" s="357">
        <v>0</v>
      </c>
      <c r="I91" s="356"/>
      <c r="J91" s="357"/>
      <c r="K91" s="356"/>
      <c r="L91" s="357">
        <f t="shared" si="3"/>
        <v>1994.13</v>
      </c>
    </row>
    <row r="92" spans="1:12" ht="15" customHeight="1">
      <c r="A92" s="299"/>
      <c r="B92" s="359">
        <f>SUM(B27:B91)</f>
        <v>-5.8207660913467407E-11</v>
      </c>
      <c r="C92" s="359"/>
      <c r="D92" s="359">
        <f>SUM(D27:D91)</f>
        <v>0</v>
      </c>
      <c r="E92" s="359"/>
      <c r="F92" s="359">
        <f>SUM(F27:F91)</f>
        <v>0</v>
      </c>
      <c r="G92" s="372"/>
      <c r="H92" s="359">
        <f>SUM(H27:H91)</f>
        <v>0</v>
      </c>
      <c r="I92" s="356"/>
      <c r="J92" s="359"/>
      <c r="K92" s="356"/>
      <c r="L92" s="359">
        <f>SUM(L27:L91)</f>
        <v>-5.8207660913467407E-11</v>
      </c>
    </row>
    <row r="93" spans="1:12" ht="15" customHeight="1">
      <c r="A93" s="287"/>
      <c r="B93" s="302"/>
      <c r="C93" s="304"/>
      <c r="D93" s="357"/>
      <c r="E93" s="356"/>
      <c r="F93" s="302"/>
      <c r="G93" s="304"/>
      <c r="H93" s="302"/>
      <c r="I93" s="304"/>
      <c r="J93" s="302"/>
      <c r="K93" s="304"/>
      <c r="L93" s="302"/>
    </row>
    <row r="94" spans="1:12" ht="15" customHeight="1" thickBot="1">
      <c r="A94" s="287" t="s">
        <v>54</v>
      </c>
      <c r="B94" s="360">
        <f>+B24-B92</f>
        <v>5.8207660913467407E-11</v>
      </c>
      <c r="C94" s="356"/>
      <c r="D94" s="360">
        <f>+D24-D92</f>
        <v>0</v>
      </c>
      <c r="E94" s="356"/>
      <c r="F94" s="360">
        <f>+F24-F92</f>
        <v>0</v>
      </c>
      <c r="G94" s="356"/>
      <c r="H94" s="360">
        <f>+H24-H92</f>
        <v>0</v>
      </c>
      <c r="I94" s="372"/>
      <c r="J94" s="360">
        <f>+J24-J92</f>
        <v>0</v>
      </c>
      <c r="K94" s="372"/>
      <c r="L94" s="360">
        <f>+L24-L92</f>
        <v>5.8207660913467407E-11</v>
      </c>
    </row>
    <row r="95" spans="1:12" ht="15" customHeight="1" thickTop="1"/>
    <row r="96" spans="1:12">
      <c r="B96" s="413"/>
      <c r="D96" s="413"/>
    </row>
    <row r="97" spans="4:4">
      <c r="D97" s="413"/>
    </row>
  </sheetData>
  <mergeCells count="5">
    <mergeCell ref="A1:L1"/>
    <mergeCell ref="A2:L2"/>
    <mergeCell ref="A3:L3"/>
    <mergeCell ref="A5:L5"/>
    <mergeCell ref="A6:L6"/>
  </mergeCells>
  <phoneticPr fontId="8" type="noConversion"/>
  <printOptions horizontalCentered="1"/>
  <pageMargins left="0.9" right="0.7" top="0.75" bottom="0.5" header="0" footer="0.25"/>
  <pageSetup scale="70" fitToHeight="3" orientation="portrait" horizontalDpi="300" verticalDpi="300" r:id="rId1"/>
  <headerFooter scaleWithDoc="0" alignWithMargins="0">
    <oddFooter xml:space="preserve">&amp;C&amp;"Times New Roman,Regular"&amp;10See accompanying summary of significant forecast  assumptions. </oddFooter>
  </headerFooter>
  <rowBreaks count="1" manualBreakCount="1">
    <brk id="57"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Q326"/>
  <sheetViews>
    <sheetView zoomScale="85" zoomScaleNormal="85" workbookViewId="0">
      <pane xSplit="2" ySplit="7" topLeftCell="C8" activePane="bottomRight" state="frozen"/>
      <selection pane="topRight" activeCell="C1" sqref="C1"/>
      <selection pane="bottomLeft" activeCell="A8" sqref="A8"/>
      <selection pane="bottomRight" activeCell="B4" sqref="B4"/>
    </sheetView>
  </sheetViews>
  <sheetFormatPr defaultColWidth="10.77734375" defaultRowHeight="18.75"/>
  <cols>
    <col min="1" max="1" width="2.44140625" style="223" bestFit="1" customWidth="1"/>
    <col min="2" max="2" width="40.44140625" style="1076" bestFit="1" customWidth="1"/>
    <col min="3" max="3" width="7.77734375" style="33" bestFit="1" customWidth="1"/>
    <col min="4" max="4" width="8.44140625" style="33" bestFit="1" customWidth="1"/>
    <col min="5" max="6" width="8.33203125" style="33" bestFit="1" customWidth="1"/>
    <col min="7" max="10" width="7.77734375" style="33" bestFit="1" customWidth="1"/>
    <col min="11" max="11" width="9.77734375" style="33" bestFit="1" customWidth="1"/>
    <col min="12" max="12" width="7.88671875" style="33" bestFit="1" customWidth="1"/>
    <col min="13" max="13" width="9.5546875" style="33" bestFit="1" customWidth="1"/>
    <col min="14" max="14" width="9.44140625" style="33" bestFit="1" customWidth="1"/>
    <col min="15" max="15" width="9" style="33" bestFit="1" customWidth="1"/>
    <col min="16" max="16" width="11.33203125" style="33" customWidth="1"/>
    <col min="17" max="17" width="14.6640625" style="33" bestFit="1" customWidth="1"/>
    <col min="18" max="18" width="9.77734375" style="421" customWidth="1"/>
    <col min="19" max="19" width="14.6640625" style="421" customWidth="1"/>
    <col min="20" max="20" width="2.109375" style="33" bestFit="1" customWidth="1"/>
    <col min="21" max="21" width="16.88671875" style="74" bestFit="1" customWidth="1"/>
    <col min="22" max="25" width="10.77734375" style="33"/>
    <col min="26" max="16384" width="10.77734375" style="1076"/>
  </cols>
  <sheetData>
    <row r="1" spans="1:43">
      <c r="B1" s="993" t="s">
        <v>434</v>
      </c>
      <c r="C1" s="993"/>
      <c r="D1" s="993"/>
      <c r="E1" s="993"/>
      <c r="F1" s="993"/>
      <c r="G1" s="993"/>
      <c r="H1" s="993"/>
      <c r="I1" s="993"/>
      <c r="J1" s="993"/>
      <c r="K1" s="993"/>
      <c r="L1" s="993"/>
      <c r="M1" s="993"/>
      <c r="N1" s="993"/>
      <c r="O1" s="993"/>
      <c r="P1" s="993"/>
      <c r="Q1" s="993"/>
      <c r="R1" s="993"/>
      <c r="S1" s="993"/>
    </row>
    <row r="2" spans="1:43" ht="9.75" customHeight="1">
      <c r="B2" s="4"/>
      <c r="C2" s="1077"/>
      <c r="D2" s="1077"/>
      <c r="E2" s="1077"/>
      <c r="F2" s="1077"/>
      <c r="G2" s="1077"/>
      <c r="H2" s="1077"/>
      <c r="I2" s="1077"/>
      <c r="J2" s="1077"/>
      <c r="K2" s="1077"/>
      <c r="L2" s="1077"/>
      <c r="M2" s="1077"/>
      <c r="N2" s="1077"/>
      <c r="O2" s="1077"/>
      <c r="P2" s="1077"/>
      <c r="Q2" s="1077"/>
      <c r="R2" s="1078"/>
      <c r="S2" s="1078"/>
    </row>
    <row r="3" spans="1:43">
      <c r="B3" s="993" t="s">
        <v>149</v>
      </c>
      <c r="C3" s="993"/>
      <c r="D3" s="993"/>
      <c r="E3" s="993"/>
      <c r="F3" s="993"/>
      <c r="G3" s="993"/>
      <c r="H3" s="993"/>
      <c r="I3" s="993"/>
      <c r="J3" s="993"/>
      <c r="K3" s="993"/>
      <c r="L3" s="993"/>
      <c r="M3" s="993"/>
      <c r="N3" s="993"/>
      <c r="O3" s="993"/>
      <c r="P3" s="993"/>
      <c r="Q3" s="993"/>
      <c r="R3" s="993"/>
      <c r="S3" s="993"/>
    </row>
    <row r="4" spans="1:43">
      <c r="B4" s="970"/>
      <c r="C4" s="970"/>
      <c r="D4" s="970"/>
      <c r="E4" s="970"/>
      <c r="F4" s="970"/>
      <c r="G4" s="970"/>
      <c r="H4" s="970"/>
      <c r="I4" s="970"/>
      <c r="J4" s="970"/>
      <c r="K4" s="970"/>
      <c r="L4" s="970"/>
      <c r="M4" s="970"/>
      <c r="N4" s="970"/>
      <c r="O4" s="970"/>
      <c r="P4" s="970"/>
      <c r="Q4" s="970"/>
      <c r="R4" s="970"/>
      <c r="S4" s="970"/>
    </row>
    <row r="5" spans="1:43">
      <c r="B5" s="1005" t="str">
        <f>'Fly Sheet'!$A$20</f>
        <v>For the Twelve Months Ended December 31, 2018 Historical and December 31, 2020 Forecasted</v>
      </c>
      <c r="C5" s="1005"/>
      <c r="D5" s="1005"/>
      <c r="E5" s="1005"/>
      <c r="F5" s="1005"/>
      <c r="G5" s="1005"/>
      <c r="H5" s="1005"/>
      <c r="I5" s="1005"/>
      <c r="J5" s="1005"/>
      <c r="K5" s="1005"/>
      <c r="L5" s="1005"/>
      <c r="M5" s="1005"/>
      <c r="N5" s="1005"/>
      <c r="O5" s="1005"/>
      <c r="P5" s="1005"/>
      <c r="Q5" s="1005"/>
      <c r="R5" s="1005"/>
      <c r="S5" s="1005"/>
    </row>
    <row r="6" spans="1:43">
      <c r="B6" s="995"/>
      <c r="C6" s="995"/>
      <c r="D6" s="995"/>
      <c r="E6" s="995"/>
      <c r="F6" s="995"/>
      <c r="G6" s="995"/>
      <c r="H6" s="995"/>
      <c r="I6" s="995"/>
      <c r="J6" s="995"/>
      <c r="K6" s="995"/>
      <c r="L6" s="995"/>
      <c r="M6" s="995"/>
      <c r="N6" s="995"/>
      <c r="O6" s="995"/>
      <c r="P6" s="995"/>
      <c r="Q6" s="995"/>
      <c r="R6" s="995"/>
      <c r="S6" s="995"/>
    </row>
    <row r="7" spans="1:43">
      <c r="B7" s="970"/>
      <c r="C7" s="970"/>
      <c r="D7" s="970"/>
      <c r="E7" s="970"/>
      <c r="F7" s="970"/>
      <c r="G7" s="970"/>
      <c r="H7" s="970"/>
      <c r="I7" s="970"/>
      <c r="J7" s="970"/>
      <c r="K7" s="970"/>
      <c r="L7" s="970"/>
      <c r="M7" s="970"/>
      <c r="N7" s="970"/>
      <c r="O7" s="970"/>
      <c r="P7" s="970"/>
      <c r="Q7" s="970"/>
      <c r="R7" s="970"/>
      <c r="S7" s="970"/>
    </row>
    <row r="8" spans="1:43" s="42" customFormat="1" ht="15">
      <c r="A8" s="223"/>
      <c r="C8" s="414"/>
      <c r="D8" s="414"/>
      <c r="E8" s="414"/>
      <c r="F8" s="414"/>
      <c r="G8" s="414"/>
      <c r="H8" s="414"/>
      <c r="I8" s="414"/>
      <c r="J8" s="414"/>
      <c r="K8" s="414"/>
      <c r="L8" s="414"/>
      <c r="M8" s="414"/>
      <c r="N8" s="414"/>
      <c r="P8" s="414"/>
      <c r="Q8" s="415" t="s">
        <v>47</v>
      </c>
      <c r="R8" s="416"/>
      <c r="T8" s="45"/>
      <c r="U8" s="1079"/>
      <c r="V8" s="45"/>
      <c r="W8" s="45"/>
      <c r="X8" s="45"/>
      <c r="Y8" s="45"/>
    </row>
    <row r="9" spans="1:43" s="42" customFormat="1" ht="15">
      <c r="A9" s="223"/>
      <c r="I9" s="414"/>
      <c r="J9" s="414"/>
      <c r="K9" s="414"/>
      <c r="L9" s="417"/>
      <c r="M9" s="417"/>
      <c r="N9" s="417"/>
      <c r="O9" s="417" t="s">
        <v>33</v>
      </c>
      <c r="P9" s="414"/>
      <c r="Q9" s="417" t="s">
        <v>247</v>
      </c>
      <c r="R9" s="416"/>
      <c r="S9" s="418" t="s">
        <v>33</v>
      </c>
      <c r="T9" s="45"/>
      <c r="U9" s="1079"/>
      <c r="V9" s="45"/>
      <c r="W9" s="45"/>
      <c r="X9" s="45"/>
      <c r="Y9" s="45"/>
    </row>
    <row r="10" spans="1:43" s="42" customFormat="1" ht="15" customHeight="1">
      <c r="A10" s="223"/>
      <c r="C10" s="419" t="s">
        <v>83</v>
      </c>
      <c r="D10" s="419" t="s">
        <v>84</v>
      </c>
      <c r="E10" s="419" t="s">
        <v>85</v>
      </c>
      <c r="F10" s="419" t="s">
        <v>86</v>
      </c>
      <c r="G10" s="419" t="s">
        <v>87</v>
      </c>
      <c r="H10" s="419" t="s">
        <v>88</v>
      </c>
      <c r="I10" s="419" t="s">
        <v>89</v>
      </c>
      <c r="J10" s="419" t="s">
        <v>90</v>
      </c>
      <c r="K10" s="419" t="s">
        <v>82</v>
      </c>
      <c r="L10" s="419" t="s">
        <v>81</v>
      </c>
      <c r="M10" s="419" t="s">
        <v>80</v>
      </c>
      <c r="N10" s="419" t="s">
        <v>79</v>
      </c>
      <c r="O10" s="417" t="s">
        <v>38</v>
      </c>
      <c r="P10" s="419" t="s">
        <v>47</v>
      </c>
      <c r="Q10" s="417" t="s">
        <v>38</v>
      </c>
      <c r="R10" s="419"/>
      <c r="S10" s="418" t="s">
        <v>38</v>
      </c>
      <c r="T10" s="1080"/>
      <c r="U10" s="1081" t="s">
        <v>829</v>
      </c>
      <c r="V10" s="1080"/>
      <c r="W10" s="1080"/>
      <c r="X10" s="1080"/>
      <c r="Y10" s="1080"/>
      <c r="Z10" s="1082"/>
      <c r="AA10" s="1082"/>
      <c r="AB10" s="1082"/>
      <c r="AC10" s="1082"/>
      <c r="AD10" s="1082"/>
      <c r="AE10" s="1082"/>
      <c r="AF10" s="1082"/>
      <c r="AG10" s="1082"/>
      <c r="AH10" s="1082"/>
      <c r="AI10" s="1082"/>
      <c r="AJ10" s="1082"/>
      <c r="AK10" s="1082"/>
      <c r="AL10" s="1082"/>
      <c r="AM10" s="1082"/>
      <c r="AN10" s="1082"/>
      <c r="AO10" s="1082"/>
      <c r="AP10" s="1082"/>
      <c r="AQ10" s="1082"/>
    </row>
    <row r="11" spans="1:43" ht="15" customHeight="1">
      <c r="B11" s="52" t="s">
        <v>42</v>
      </c>
      <c r="C11" s="45"/>
      <c r="D11" s="45"/>
      <c r="E11" s="45"/>
      <c r="F11" s="45"/>
      <c r="G11" s="45"/>
      <c r="H11" s="45"/>
      <c r="I11" s="45"/>
      <c r="J11" s="45"/>
      <c r="K11" s="45"/>
      <c r="L11" s="45"/>
      <c r="M11" s="45"/>
      <c r="N11" s="45"/>
      <c r="O11" s="45"/>
      <c r="R11" s="420"/>
    </row>
    <row r="12" spans="1:43" ht="15" customHeight="1">
      <c r="A12" s="223">
        <v>1</v>
      </c>
      <c r="B12" s="48" t="s">
        <v>617</v>
      </c>
      <c r="C12" s="422">
        <f>(+'IS-PBC'!$P31*('IS-PBC'!B28/'IS-PBC'!$O28))+'IS-PBC'!$P35*('IS-PBC'!B28/'IS-PBC'!$O28)</f>
        <v>115707.21489363442</v>
      </c>
      <c r="D12" s="422">
        <f>(+'IS-PBC'!$P31*('IS-PBC'!C28/'IS-PBC'!$O28))+'IS-PBC'!$P35*('IS-PBC'!C28/'IS-PBC'!$O28)</f>
        <v>106625.74572515153</v>
      </c>
      <c r="E12" s="422">
        <f>(+'IS-PBC'!$P31*('IS-PBC'!D28/'IS-PBC'!$O28))+'IS-PBC'!$P35*('IS-PBC'!D28/'IS-PBC'!$O28)</f>
        <v>116591.82330009494</v>
      </c>
      <c r="F12" s="422">
        <f>(+'IS-PBC'!$P31*('IS-PBC'!E28/'IS-PBC'!$O28))+'IS-PBC'!$P35*('IS-PBC'!E28/'IS-PBC'!$O28)</f>
        <v>115966.93699370319</v>
      </c>
      <c r="G12" s="422">
        <f>(+'IS-PBC'!$P31*('IS-PBC'!F28/'IS-PBC'!$O28))+'IS-PBC'!$P35*('IS-PBC'!F28/'IS-PBC'!$O28)</f>
        <v>116783.98608275903</v>
      </c>
      <c r="H12" s="422">
        <f>(+'IS-PBC'!$P31*('IS-PBC'!G28/'IS-PBC'!$O28))+'IS-PBC'!$P35*('IS-PBC'!G28/'IS-PBC'!$O28)</f>
        <v>129169.34050121851</v>
      </c>
      <c r="I12" s="422">
        <f>(+'IS-PBC'!$P31*('IS-PBC'!H28/'IS-PBC'!$O28))+'IS-PBC'!$P35*('IS-PBC'!H28/'IS-PBC'!$O28)</f>
        <v>117526.50312097862</v>
      </c>
      <c r="J12" s="422">
        <f>(+'IS-PBC'!$P31*('IS-PBC'!I28/'IS-PBC'!$O28))+'IS-PBC'!$P35*('IS-PBC'!I28/'IS-PBC'!$O28)</f>
        <v>116780.78581376553</v>
      </c>
      <c r="K12" s="422">
        <f>(+'IS-PBC'!$P31*('IS-PBC'!J28/'IS-PBC'!$O28))+'IS-PBC'!$P35*('IS-PBC'!J28/'IS-PBC'!$O28)</f>
        <v>143942.55852082738</v>
      </c>
      <c r="L12" s="422">
        <f>(+'IS-PBC'!$P31*('IS-PBC'!K28/'IS-PBC'!$O28))+'IS-PBC'!$P35*('IS-PBC'!K28/'IS-PBC'!$O28)</f>
        <v>122443.80700315378</v>
      </c>
      <c r="M12" s="422">
        <f>(+'IS-PBC'!$P31*('IS-PBC'!L28/'IS-PBC'!$O28))+'IS-PBC'!$P35*('IS-PBC'!L28/'IS-PBC'!$O28)</f>
        <v>116156.88575379315</v>
      </c>
      <c r="N12" s="422">
        <f>(+'IS-PBC'!$P31*('IS-PBC'!M28/'IS-PBC'!$O28))+'IS-PBC'!$P35*('IS-PBC'!M28/'IS-PBC'!$O28)</f>
        <v>119152.41229092005</v>
      </c>
      <c r="O12" s="422">
        <f>SUM(C12:N12)</f>
        <v>1436848</v>
      </c>
      <c r="P12" s="422"/>
      <c r="Q12" s="422">
        <f>P12+O12</f>
        <v>1436848</v>
      </c>
      <c r="R12" s="423"/>
      <c r="S12" s="44">
        <f>Q12+R12</f>
        <v>1436848</v>
      </c>
      <c r="U12" s="1083"/>
    </row>
    <row r="13" spans="1:43" ht="15" customHeight="1">
      <c r="A13" s="223">
        <v>2</v>
      </c>
      <c r="B13" s="48" t="s">
        <v>618</v>
      </c>
      <c r="C13" s="44">
        <f>+'IS-PBC'!$P32*('IS-PBC'!B28/'IS-PBC'!$O28)</f>
        <v>173531.75155176932</v>
      </c>
      <c r="D13" s="44">
        <f>+'IS-PBC'!$P32*('IS-PBC'!C28/'IS-PBC'!$O28)</f>
        <v>159911.82946723106</v>
      </c>
      <c r="E13" s="44">
        <f>+'IS-PBC'!$P32*('IS-PBC'!D28/'IS-PBC'!$O28)</f>
        <v>174858.4419085602</v>
      </c>
      <c r="F13" s="44">
        <f>+'IS-PBC'!$P32*('IS-PBC'!E28/'IS-PBC'!$O28)</f>
        <v>173921.26944815172</v>
      </c>
      <c r="G13" s="44">
        <f>+'IS-PBC'!$P32*('IS-PBC'!F28/'IS-PBC'!$O28)</f>
        <v>175146.63780273512</v>
      </c>
      <c r="H13" s="44">
        <f>+'IS-PBC'!$P32*('IS-PBC'!G28/'IS-PBC'!$O28)</f>
        <v>193721.55767960235</v>
      </c>
      <c r="I13" s="44">
        <f>+'IS-PBC'!$P32*('IS-PBC'!H28/'IS-PBC'!$O28)</f>
        <v>176260.22680682383</v>
      </c>
      <c r="J13" s="44">
        <f>+'IS-PBC'!$P32*('IS-PBC'!I28/'IS-PBC'!$O28)</f>
        <v>175141.83820329449</v>
      </c>
      <c r="K13" s="44">
        <f>+'IS-PBC'!$P32*('IS-PBC'!J28/'IS-PBC'!$O28)</f>
        <v>215877.67302085864</v>
      </c>
      <c r="L13" s="44">
        <f>+'IS-PBC'!$P32*('IS-PBC'!K28/'IS-PBC'!$O28)</f>
        <v>183634.94718506976</v>
      </c>
      <c r="M13" s="44">
        <f>+'IS-PBC'!$P32*('IS-PBC'!L28/'IS-PBC'!$O28)</f>
        <v>174206.14486472623</v>
      </c>
      <c r="N13" s="44">
        <f>+'IS-PBC'!$P32*('IS-PBC'!M28/'IS-PBC'!$O28)</f>
        <v>178698.68206117753</v>
      </c>
      <c r="O13" s="44">
        <f t="shared" ref="O13:O23" si="0">SUM(C13:N13)</f>
        <v>2154911.0000000005</v>
      </c>
      <c r="P13" s="44"/>
      <c r="Q13" s="44">
        <f t="shared" ref="Q13:Q22" si="1">P13+O13</f>
        <v>2154911.0000000005</v>
      </c>
      <c r="R13" s="423"/>
      <c r="S13" s="44">
        <f t="shared" ref="S13:S23" si="2">Q13+R13</f>
        <v>2154911.0000000005</v>
      </c>
    </row>
    <row r="14" spans="1:43" ht="15" customHeight="1">
      <c r="A14" s="223">
        <v>3</v>
      </c>
      <c r="B14" s="48" t="s">
        <v>619</v>
      </c>
      <c r="C14" s="44">
        <f>+'IS-PBC'!$P33*('IS-PBC'!B28/'IS-PBC'!$O28)</f>
        <v>31198.995893658201</v>
      </c>
      <c r="D14" s="44">
        <f>+'IS-PBC'!$P33*('IS-PBC'!C28/'IS-PBC'!$O28)</f>
        <v>28750.29189921551</v>
      </c>
      <c r="E14" s="44">
        <f>+'IS-PBC'!$P33*('IS-PBC'!D28/'IS-PBC'!$O28)</f>
        <v>31437.519429688586</v>
      </c>
      <c r="F14" s="44">
        <f>+'IS-PBC'!$P33*('IS-PBC'!E28/'IS-PBC'!$O28)</f>
        <v>31269.026692869695</v>
      </c>
      <c r="G14" s="44">
        <f>+'IS-PBC'!$P33*('IS-PBC'!F28/'IS-PBC'!$O28)</f>
        <v>31489.33370827754</v>
      </c>
      <c r="H14" s="44">
        <f>+'IS-PBC'!$P33*('IS-PBC'!G28/'IS-PBC'!$O28)</f>
        <v>34828.888825892573</v>
      </c>
      <c r="I14" s="44">
        <f>+'IS-PBC'!$P33*('IS-PBC'!H28/'IS-PBC'!$O28)</f>
        <v>31689.544093150085</v>
      </c>
      <c r="J14" s="44">
        <f>+'IS-PBC'!$P33*('IS-PBC'!I28/'IS-PBC'!$O28)</f>
        <v>31488.470795975321</v>
      </c>
      <c r="K14" s="44">
        <f>+'IS-PBC'!$P33*('IS-PBC'!J28/'IS-PBC'!$O28)</f>
        <v>38812.301344754014</v>
      </c>
      <c r="L14" s="44">
        <f>+'IS-PBC'!$P33*('IS-PBC'!K28/'IS-PBC'!$O28)</f>
        <v>33015.433267553606</v>
      </c>
      <c r="M14" s="44">
        <f>+'IS-PBC'!$P33*('IS-PBC'!L28/'IS-PBC'!$O28)</f>
        <v>31320.243988104914</v>
      </c>
      <c r="N14" s="44">
        <f>+'IS-PBC'!$P33*('IS-PBC'!M28/'IS-PBC'!$O28)</f>
        <v>32127.950060860003</v>
      </c>
      <c r="O14" s="44">
        <f t="shared" si="0"/>
        <v>387428.00000000012</v>
      </c>
      <c r="P14" s="44"/>
      <c r="Q14" s="44">
        <f t="shared" si="1"/>
        <v>387428.00000000012</v>
      </c>
      <c r="R14" s="423"/>
      <c r="S14" s="44">
        <f t="shared" si="2"/>
        <v>387428.00000000012</v>
      </c>
    </row>
    <row r="15" spans="1:43" ht="15" customHeight="1">
      <c r="A15" s="223">
        <v>4</v>
      </c>
      <c r="B15" s="48" t="s">
        <v>620</v>
      </c>
      <c r="C15" s="44">
        <f>+'IS-PBC'!$P34*('IS-PBC'!B28/'IS-PBC'!$O28)</f>
        <v>28157.756543585681</v>
      </c>
      <c r="D15" s="44">
        <f>+'IS-PBC'!$P34*('IS-PBC'!C28/'IS-PBC'!$O28)</f>
        <v>25947.74917162284</v>
      </c>
      <c r="E15" s="44">
        <f>+'IS-PBC'!$P34*('IS-PBC'!D28/'IS-PBC'!$O28)</f>
        <v>28373.029101726694</v>
      </c>
      <c r="F15" s="44">
        <f>+'IS-PBC'!$P34*('IS-PBC'!E28/'IS-PBC'!$O28)</f>
        <v>28220.960827514282</v>
      </c>
      <c r="G15" s="44">
        <f>+'IS-PBC'!$P34*('IS-PBC'!F28/'IS-PBC'!$O28)</f>
        <v>28419.79258882616</v>
      </c>
      <c r="H15" s="44">
        <f>+'IS-PBC'!$P34*('IS-PBC'!G28/'IS-PBC'!$O28)</f>
        <v>31433.812023496619</v>
      </c>
      <c r="I15" s="44">
        <f>+'IS-PBC'!$P34*('IS-PBC'!H28/'IS-PBC'!$O28)</f>
        <v>28600.486714174105</v>
      </c>
      <c r="J15" s="44">
        <f>+'IS-PBC'!$P34*('IS-PBC'!I28/'IS-PBC'!$O28)</f>
        <v>28419.013792142858</v>
      </c>
      <c r="K15" s="44">
        <f>+'IS-PBC'!$P34*('IS-PBC'!J28/'IS-PBC'!$O28)</f>
        <v>35028.926440033705</v>
      </c>
      <c r="L15" s="44">
        <f>+'IS-PBC'!$P34*('IS-PBC'!K28/'IS-PBC'!$O28)</f>
        <v>29797.129859481836</v>
      </c>
      <c r="M15" s="44">
        <f>+'IS-PBC'!$P34*('IS-PBC'!L28/'IS-PBC'!$O28)</f>
        <v>28267.18552445549</v>
      </c>
      <c r="N15" s="44">
        <f>+'IS-PBC'!$P34*('IS-PBC'!M28/'IS-PBC'!$O28)</f>
        <v>28996.157412939774</v>
      </c>
      <c r="O15" s="44">
        <f t="shared" si="0"/>
        <v>349662.00000000006</v>
      </c>
      <c r="P15" s="44"/>
      <c r="Q15" s="44">
        <f t="shared" si="1"/>
        <v>349662.00000000006</v>
      </c>
      <c r="R15" s="423"/>
      <c r="S15" s="44">
        <f t="shared" si="2"/>
        <v>349662.00000000006</v>
      </c>
    </row>
    <row r="16" spans="1:43" ht="15" customHeight="1">
      <c r="A16" s="223">
        <v>5</v>
      </c>
      <c r="B16" s="48" t="s">
        <v>621</v>
      </c>
      <c r="C16" s="44">
        <f>+'IS-PBC'!$P36*('IS-PBC'!B28/'IS-PBC'!$O28)</f>
        <v>25891.845596375479</v>
      </c>
      <c r="D16" s="44">
        <f>+'IS-PBC'!$P36*('IS-PBC'!C28/'IS-PBC'!$O28)</f>
        <v>23859.681934716558</v>
      </c>
      <c r="E16" s="44">
        <f>+'IS-PBC'!$P36*('IS-PBC'!D28/'IS-PBC'!$O28)</f>
        <v>26089.794741503436</v>
      </c>
      <c r="F16" s="44">
        <f>+'IS-PBC'!$P36*('IS-PBC'!E28/'IS-PBC'!$O28)</f>
        <v>25949.963705251648</v>
      </c>
      <c r="G16" s="44">
        <f>+'IS-PBC'!$P36*('IS-PBC'!F28/'IS-PBC'!$O28)</f>
        <v>26132.795077331088</v>
      </c>
      <c r="H16" s="44">
        <f>+'IS-PBC'!$P36*('IS-PBC'!G28/'IS-PBC'!$O28)</f>
        <v>28904.270344054334</v>
      </c>
      <c r="I16" s="44">
        <f>+'IS-PBC'!$P36*('IS-PBC'!H28/'IS-PBC'!$O28)</f>
        <v>26298.948385263811</v>
      </c>
      <c r="J16" s="44">
        <f>+'IS-PBC'!$P36*('IS-PBC'!I28/'IS-PBC'!$O28)</f>
        <v>26132.07895197345</v>
      </c>
      <c r="K16" s="44">
        <f>+'IS-PBC'!$P36*('IS-PBC'!J28/'IS-PBC'!$O28)</f>
        <v>32210.078718034551</v>
      </c>
      <c r="L16" s="44">
        <f>+'IS-PBC'!$P36*('IS-PBC'!K28/'IS-PBC'!$O28)</f>
        <v>27399.295264970278</v>
      </c>
      <c r="M16" s="44">
        <f>+'IS-PBC'!$P36*('IS-PBC'!L28/'IS-PBC'!$O28)</f>
        <v>25992.468608441941</v>
      </c>
      <c r="N16" s="44">
        <f>+'IS-PBC'!$P36*('IS-PBC'!M28/'IS-PBC'!$O28)</f>
        <v>26662.778672083463</v>
      </c>
      <c r="O16" s="44">
        <f t="shared" si="0"/>
        <v>321524</v>
      </c>
      <c r="P16" s="44"/>
      <c r="Q16" s="44">
        <f t="shared" si="1"/>
        <v>321524</v>
      </c>
      <c r="R16" s="423"/>
      <c r="S16" s="44">
        <f t="shared" si="2"/>
        <v>321524</v>
      </c>
    </row>
    <row r="17" spans="1:21" ht="15" customHeight="1">
      <c r="A17" s="223">
        <v>6</v>
      </c>
      <c r="B17" s="48" t="s">
        <v>622</v>
      </c>
      <c r="C17" s="44">
        <f>+'IS-PBC'!$P37*('IS-PBC'!B28/'IS-PBC'!$O28)</f>
        <v>12976.120985877122</v>
      </c>
      <c r="D17" s="44">
        <f>+'IS-PBC'!$P37*('IS-PBC'!C28/'IS-PBC'!$O28)</f>
        <v>11957.66900111476</v>
      </c>
      <c r="E17" s="44">
        <f>+'IS-PBC'!$P37*('IS-PBC'!D28/'IS-PBC'!$O28)</f>
        <v>13075.326430567045</v>
      </c>
      <c r="F17" s="44">
        <f>+'IS-PBC'!$P37*('IS-PBC'!E28/'IS-PBC'!$O28)</f>
        <v>13005.247824651145</v>
      </c>
      <c r="G17" s="44">
        <f>+'IS-PBC'!$P37*('IS-PBC'!F28/'IS-PBC'!$O28)</f>
        <v>13096.876750649715</v>
      </c>
      <c r="H17" s="44">
        <f>+'IS-PBC'!$P37*('IS-PBC'!G28/'IS-PBC'!$O28)</f>
        <v>14485.846812150518</v>
      </c>
      <c r="I17" s="44">
        <f>+'IS-PBC'!$P37*('IS-PBC'!H28/'IS-PBC'!$O28)</f>
        <v>13180.147192608498</v>
      </c>
      <c r="J17" s="44">
        <f>+'IS-PBC'!$P37*('IS-PBC'!I28/'IS-PBC'!$O28)</f>
        <v>13096.517852739284</v>
      </c>
      <c r="K17" s="44">
        <f>+'IS-PBC'!$P37*('IS-PBC'!J28/'IS-PBC'!$O28)</f>
        <v>16142.606630882714</v>
      </c>
      <c r="L17" s="44">
        <f>+'IS-PBC'!$P37*('IS-PBC'!K28/'IS-PBC'!$O28)</f>
        <v>13731.603989473619</v>
      </c>
      <c r="M17" s="44">
        <f>+'IS-PBC'!$P37*('IS-PBC'!L28/'IS-PBC'!$O28)</f>
        <v>13026.549850581945</v>
      </c>
      <c r="N17" s="44">
        <f>+'IS-PBC'!$P37*('IS-PBC'!M28/'IS-PBC'!$O28)</f>
        <v>13362.486678703652</v>
      </c>
      <c r="O17" s="44">
        <f t="shared" si="0"/>
        <v>161137.00000000003</v>
      </c>
      <c r="P17" s="44"/>
      <c r="Q17" s="44">
        <f t="shared" si="1"/>
        <v>161137.00000000003</v>
      </c>
      <c r="R17" s="423"/>
      <c r="S17" s="44">
        <f t="shared" si="2"/>
        <v>161137.00000000003</v>
      </c>
    </row>
    <row r="18" spans="1:21" ht="15" customHeight="1">
      <c r="A18" s="223">
        <v>7</v>
      </c>
      <c r="B18" s="48" t="s">
        <v>623</v>
      </c>
      <c r="C18" s="44">
        <f>+'IS-PBC'!$P38*('IS-PBC'!B28/'IS-PBC'!$O28)</f>
        <v>-5214.6230502024555</v>
      </c>
      <c r="D18" s="44">
        <f>+'IS-PBC'!$P38*('IS-PBC'!C28/'IS-PBC'!$O28)</f>
        <v>-4805.3448690690921</v>
      </c>
      <c r="E18" s="44">
        <f>+'IS-PBC'!$P38*('IS-PBC'!D28/'IS-PBC'!$O28)</f>
        <v>-5254.4900489109832</v>
      </c>
      <c r="F18" s="44">
        <f>+'IS-PBC'!$P38*('IS-PBC'!E28/'IS-PBC'!$O28)</f>
        <v>-5226.3280493324619</v>
      </c>
      <c r="G18" s="44">
        <f>+'IS-PBC'!$P38*('IS-PBC'!F28/'IS-PBC'!$O28)</f>
        <v>-5263.1503254269492</v>
      </c>
      <c r="H18" s="44">
        <f>+'IS-PBC'!$P38*('IS-PBC'!G28/'IS-PBC'!$O28)</f>
        <v>-5821.3260165002876</v>
      </c>
      <c r="I18" s="44">
        <f>+'IS-PBC'!$P38*('IS-PBC'!H28/'IS-PBC'!$O28)</f>
        <v>-5296.6136359579941</v>
      </c>
      <c r="J18" s="44">
        <f>+'IS-PBC'!$P38*('IS-PBC'!I28/'IS-PBC'!$O28)</f>
        <v>-5263.0060976320301</v>
      </c>
      <c r="K18" s="44">
        <f>+'IS-PBC'!$P38*('IS-PBC'!J28/'IS-PBC'!$O28)</f>
        <v>-6487.116505723764</v>
      </c>
      <c r="L18" s="44">
        <f>+'IS-PBC'!$P38*('IS-PBC'!K28/'IS-PBC'!$O28)</f>
        <v>-5518.2237247706253</v>
      </c>
      <c r="M18" s="44">
        <f>+'IS-PBC'!$P38*('IS-PBC'!L28/'IS-PBC'!$O28)</f>
        <v>-5234.8885456129492</v>
      </c>
      <c r="N18" s="44">
        <f>+'IS-PBC'!$P38*('IS-PBC'!M28/'IS-PBC'!$O28)</f>
        <v>-5369.889130860417</v>
      </c>
      <c r="O18" s="44">
        <f t="shared" si="0"/>
        <v>-64755.000000000007</v>
      </c>
      <c r="P18" s="44"/>
      <c r="Q18" s="44">
        <f t="shared" si="1"/>
        <v>-64755.000000000007</v>
      </c>
      <c r="R18" s="423"/>
      <c r="S18" s="44">
        <f t="shared" si="2"/>
        <v>-64755.000000000007</v>
      </c>
    </row>
    <row r="19" spans="1:21" ht="15" customHeight="1">
      <c r="B19" s="48" t="s">
        <v>628</v>
      </c>
      <c r="C19" s="44">
        <f>+'IS-PBC'!$P39*('IS-PBC'!B28/'IS-PBC'!$O28)</f>
        <v>2586.8975502232056</v>
      </c>
      <c r="D19" s="44">
        <f>+'IS-PBC'!$P39*('IS-PBC'!C28/'IS-PBC'!$O28)</f>
        <v>2383.8606837151651</v>
      </c>
      <c r="E19" s="44">
        <f>+'IS-PBC'!$P39*('IS-PBC'!D28/'IS-PBC'!$O28)</f>
        <v>2606.6749800203293</v>
      </c>
      <c r="F19" s="44">
        <f>+'IS-PBC'!$P39*('IS-PBC'!E28/'IS-PBC'!$O28)</f>
        <v>2592.7042275771141</v>
      </c>
      <c r="G19" s="44">
        <f>+'IS-PBC'!$P39*('IS-PBC'!F28/'IS-PBC'!$O28)</f>
        <v>2610.9712154121739</v>
      </c>
      <c r="H19" s="44">
        <f>+'IS-PBC'!$P39*('IS-PBC'!G28/'IS-PBC'!$O28)</f>
        <v>2887.873939526758</v>
      </c>
      <c r="I19" s="44">
        <f>+'IS-PBC'!$P39*('IS-PBC'!H28/'IS-PBC'!$O28)</f>
        <v>2627.5718699948206</v>
      </c>
      <c r="J19" s="44">
        <f>+'IS-PBC'!$P39*('IS-PBC'!I28/'IS-PBC'!$O28)</f>
        <v>2610.8996661312844</v>
      </c>
      <c r="K19" s="44">
        <f>+'IS-PBC'!$P39*('IS-PBC'!J28/'IS-PBC'!$O28)</f>
        <v>3218.1627770808459</v>
      </c>
      <c r="L19" s="44">
        <f>+'IS-PBC'!$P39*('IS-PBC'!K28/'IS-PBC'!$O28)</f>
        <v>2737.5093650611007</v>
      </c>
      <c r="M19" s="44">
        <f>+'IS-PBC'!$P39*('IS-PBC'!L28/'IS-PBC'!$O28)</f>
        <v>2596.9509634664564</v>
      </c>
      <c r="N19" s="44">
        <f>+'IS-PBC'!$P39*('IS-PBC'!M28/'IS-PBC'!$O28)</f>
        <v>2663.9227617907504</v>
      </c>
      <c r="O19" s="44">
        <f t="shared" si="0"/>
        <v>32124.000000000004</v>
      </c>
      <c r="P19" s="44"/>
      <c r="Q19" s="44">
        <f t="shared" si="1"/>
        <v>32124.000000000004</v>
      </c>
      <c r="R19" s="423"/>
      <c r="S19" s="44"/>
      <c r="U19" s="44">
        <f>+Q19</f>
        <v>32124.000000000004</v>
      </c>
    </row>
    <row r="20" spans="1:21" ht="15" customHeight="1">
      <c r="A20" s="223">
        <v>8</v>
      </c>
      <c r="B20" s="48" t="s">
        <v>624</v>
      </c>
      <c r="C20" s="44">
        <f>+'IS-PBC'!$P40*('IS-PBC'!B28/'IS-PBC'!$O28)</f>
        <v>3091.1670203856297</v>
      </c>
      <c r="D20" s="44">
        <f>+'IS-PBC'!$P40*('IS-PBC'!C28/'IS-PBC'!$O28)</f>
        <v>2848.5517434033845</v>
      </c>
      <c r="E20" s="44">
        <f>+'IS-PBC'!$P40*('IS-PBC'!D28/'IS-PBC'!$O28)</f>
        <v>3114.7997068565669</v>
      </c>
      <c r="F20" s="44">
        <f>+'IS-PBC'!$P40*('IS-PBC'!E28/'IS-PBC'!$O28)</f>
        <v>3098.1056057706105</v>
      </c>
      <c r="G20" s="44">
        <f>+'IS-PBC'!$P40*('IS-PBC'!F28/'IS-PBC'!$O28)</f>
        <v>3119.9334165985465</v>
      </c>
      <c r="H20" s="44">
        <f>+'IS-PBC'!$P40*('IS-PBC'!G28/'IS-PBC'!$O28)</f>
        <v>3450.8133807332256</v>
      </c>
      <c r="I20" s="44">
        <f>+'IS-PBC'!$P40*('IS-PBC'!H28/'IS-PBC'!$O28)</f>
        <v>3139.7700722706131</v>
      </c>
      <c r="J20" s="44">
        <f>+'IS-PBC'!$P40*('IS-PBC'!I28/'IS-PBC'!$O28)</f>
        <v>3119.8479200633633</v>
      </c>
      <c r="K20" s="44">
        <f>+'IS-PBC'!$P40*('IS-PBC'!J28/'IS-PBC'!$O28)</f>
        <v>3845.4861275378335</v>
      </c>
      <c r="L20" s="44">
        <f>+'IS-PBC'!$P40*('IS-PBC'!K28/'IS-PBC'!$O28)</f>
        <v>3271.1379182927221</v>
      </c>
      <c r="M20" s="44">
        <f>+'IS-PBC'!$P40*('IS-PBC'!L28/'IS-PBC'!$O28)</f>
        <v>3103.1801669662368</v>
      </c>
      <c r="N20" s="44">
        <f>+'IS-PBC'!$P40*('IS-PBC'!M28/'IS-PBC'!$O28)</f>
        <v>3183.206921121272</v>
      </c>
      <c r="O20" s="44">
        <f t="shared" si="0"/>
        <v>38386.000000000007</v>
      </c>
      <c r="P20" s="44"/>
      <c r="Q20" s="44">
        <f t="shared" si="1"/>
        <v>38386.000000000007</v>
      </c>
      <c r="R20" s="423"/>
      <c r="S20" s="44"/>
      <c r="U20" s="44"/>
    </row>
    <row r="21" spans="1:21" ht="15" customHeight="1">
      <c r="B21" s="48" t="s">
        <v>625</v>
      </c>
      <c r="C21" s="44">
        <f>+'IS-PBC'!$P41*('IS-PBC'!B28/'IS-PBC'!$O28)</f>
        <v>6995.7524243724483</v>
      </c>
      <c r="D21" s="44">
        <f>+'IS-PBC'!$P41*('IS-PBC'!C28/'IS-PBC'!$O28)</f>
        <v>6446.6794040713339</v>
      </c>
      <c r="E21" s="44">
        <f>+'IS-PBC'!$P41*('IS-PBC'!D28/'IS-PBC'!$O28)</f>
        <v>7049.2365688988311</v>
      </c>
      <c r="F21" s="44">
        <f>+'IS-PBC'!$P41*('IS-PBC'!E28/'IS-PBC'!$O28)</f>
        <v>7011.4554340152727</v>
      </c>
      <c r="G21" s="44">
        <f>+'IS-PBC'!$P41*('IS-PBC'!F28/'IS-PBC'!$O28)</f>
        <v>7060.8548872027704</v>
      </c>
      <c r="H21" s="44">
        <f>+'IS-PBC'!$P41*('IS-PBC'!G28/'IS-PBC'!$O28)</f>
        <v>7809.6834998290396</v>
      </c>
      <c r="I21" s="44">
        <f>+'IS-PBC'!$P41*('IS-PBC'!H28/'IS-PBC'!$O28)</f>
        <v>7105.7480719107216</v>
      </c>
      <c r="J21" s="44">
        <f>+'IS-PBC'!$P41*('IS-PBC'!I28/'IS-PBC'!$O28)</f>
        <v>7060.6613963336777</v>
      </c>
      <c r="K21" s="44">
        <f>+'IS-PBC'!$P41*('IS-PBC'!J28/'IS-PBC'!$O28)</f>
        <v>8702.8842900430936</v>
      </c>
      <c r="L21" s="44">
        <f>+'IS-PBC'!$P41*('IS-PBC'!K28/'IS-PBC'!$O28)</f>
        <v>7403.0522684271255</v>
      </c>
      <c r="M21" s="44">
        <f>+'IS-PBC'!$P41*('IS-PBC'!L28/'IS-PBC'!$O28)</f>
        <v>7022.9398907116638</v>
      </c>
      <c r="N21" s="44">
        <f>+'IS-PBC'!$P41*('IS-PBC'!M28/'IS-PBC'!$O28)</f>
        <v>7204.0518641840317</v>
      </c>
      <c r="O21" s="44">
        <f t="shared" si="0"/>
        <v>86873.000000000015</v>
      </c>
      <c r="P21" s="44"/>
      <c r="Q21" s="44">
        <f t="shared" si="1"/>
        <v>86873.000000000015</v>
      </c>
      <c r="R21" s="423"/>
      <c r="S21" s="44"/>
      <c r="U21" s="44"/>
    </row>
    <row r="22" spans="1:21" ht="15" customHeight="1">
      <c r="B22" s="48" t="s">
        <v>626</v>
      </c>
      <c r="C22" s="44">
        <f>+'IS-PBC'!$P42*('IS-PBC'!B28/'IS-PBC'!$O28)</f>
        <v>902.24131965822414</v>
      </c>
      <c r="D22" s="44">
        <f>+'IS-PBC'!$P42*('IS-PBC'!C28/'IS-PBC'!$O28)</f>
        <v>831.42744055362687</v>
      </c>
      <c r="E22" s="44">
        <f>+'IS-PBC'!$P42*('IS-PBC'!D28/'IS-PBC'!$O28)</f>
        <v>909.13916312251797</v>
      </c>
      <c r="F22" s="44">
        <f>+'IS-PBC'!$P42*('IS-PBC'!E28/'IS-PBC'!$O28)</f>
        <v>904.26653485786278</v>
      </c>
      <c r="G22" s="44">
        <f>+'IS-PBC'!$P42*('IS-PBC'!F28/'IS-PBC'!$O28)</f>
        <v>910.63757618845716</v>
      </c>
      <c r="H22" s="44">
        <f>+'IS-PBC'!$P42*('IS-PBC'!G28/'IS-PBC'!$O28)</f>
        <v>1007.2139091787386</v>
      </c>
      <c r="I22" s="44">
        <f>+'IS-PBC'!$P42*('IS-PBC'!H28/'IS-PBC'!$O28)</f>
        <v>916.4274446339798</v>
      </c>
      <c r="J22" s="44">
        <f>+'IS-PBC'!$P42*('IS-PBC'!I28/'IS-PBC'!$O28)</f>
        <v>910.61262169514725</v>
      </c>
      <c r="K22" s="44">
        <f>+'IS-PBC'!$P42*('IS-PBC'!J28/'IS-PBC'!$O28)</f>
        <v>1122.4099039476341</v>
      </c>
      <c r="L22" s="44">
        <f>+'IS-PBC'!$P42*('IS-PBC'!K28/'IS-PBC'!$O28)</f>
        <v>954.77072986379562</v>
      </c>
      <c r="M22" s="44">
        <f>+'IS-PBC'!$P42*('IS-PBC'!L28/'IS-PBC'!$O28)</f>
        <v>905.7476838089334</v>
      </c>
      <c r="N22" s="44">
        <f>+'IS-PBC'!$P42*('IS-PBC'!M28/'IS-PBC'!$O28)</f>
        <v>929.10567249108351</v>
      </c>
      <c r="O22" s="44">
        <f t="shared" si="0"/>
        <v>11204.000000000002</v>
      </c>
      <c r="P22" s="44"/>
      <c r="Q22" s="44">
        <f t="shared" si="1"/>
        <v>11204.000000000002</v>
      </c>
      <c r="R22" s="423"/>
      <c r="S22" s="44"/>
      <c r="U22" s="44"/>
    </row>
    <row r="23" spans="1:21" ht="15" customHeight="1">
      <c r="A23" s="1076"/>
      <c r="B23" s="48" t="s">
        <v>627</v>
      </c>
      <c r="C23" s="424">
        <f>+'IS-PBC'!$P43*('IS-PBC'!B28/'IS-PBC'!$O28)</f>
        <v>6585.1376002973602</v>
      </c>
      <c r="D23" s="424">
        <f>+'IS-PBC'!$P43*('IS-PBC'!C28/'IS-PBC'!$O28)</f>
        <v>6068.2923530732141</v>
      </c>
      <c r="E23" s="424">
        <f>+'IS-PBC'!$P43*('IS-PBC'!D28/'IS-PBC'!$O28)</f>
        <v>6635.4824995698664</v>
      </c>
      <c r="F23" s="424">
        <f>+'IS-PBC'!$P43*('IS-PBC'!E28/'IS-PBC'!$O28)</f>
        <v>6599.9189237296387</v>
      </c>
      <c r="G23" s="424">
        <f>+'IS-PBC'!$P43*('IS-PBC'!F28/'IS-PBC'!$O28)</f>
        <v>6646.4188821166454</v>
      </c>
      <c r="H23" s="424">
        <f>+'IS-PBC'!$P43*('IS-PBC'!G28/'IS-PBC'!$O28)</f>
        <v>7351.2950918584584</v>
      </c>
      <c r="I23" s="424">
        <f>+'IS-PBC'!$P43*('IS-PBC'!H28/'IS-PBC'!$O28)</f>
        <v>6688.6770668956678</v>
      </c>
      <c r="J23" s="424">
        <f>+'IS-PBC'!$P43*('IS-PBC'!I28/'IS-PBC'!$O28)</f>
        <v>6646.2367481702049</v>
      </c>
      <c r="K23" s="424">
        <f>+'IS-PBC'!$P43*('IS-PBC'!J28/'IS-PBC'!$O28)</f>
        <v>8192.0695720647836</v>
      </c>
      <c r="L23" s="424">
        <f>+'IS-PBC'!$P43*('IS-PBC'!K28/'IS-PBC'!$O28)</f>
        <v>6968.5310303357746</v>
      </c>
      <c r="M23" s="424">
        <f>+'IS-PBC'!$P43*('IS-PBC'!L28/'IS-PBC'!$O28)</f>
        <v>6610.7293016593831</v>
      </c>
      <c r="N23" s="424">
        <f>+'IS-PBC'!$P43*('IS-PBC'!M28/'IS-PBC'!$O28)</f>
        <v>6781.2109302290128</v>
      </c>
      <c r="O23" s="424">
        <f t="shared" si="0"/>
        <v>81774</v>
      </c>
      <c r="P23" s="424"/>
      <c r="Q23" s="424">
        <f>P23+O23</f>
        <v>81774</v>
      </c>
      <c r="R23" s="423"/>
      <c r="S23" s="491">
        <f t="shared" si="2"/>
        <v>81774</v>
      </c>
      <c r="U23" s="44">
        <f>+Q23</f>
        <v>81774</v>
      </c>
    </row>
    <row r="24" spans="1:21" ht="15" customHeight="1">
      <c r="B24" s="42"/>
      <c r="C24" s="1084">
        <f t="shared" ref="C24:Q24" si="3">SUM(C12:C23)</f>
        <v>402410.25832963467</v>
      </c>
      <c r="D24" s="424">
        <f t="shared" si="3"/>
        <v>370826.43395479978</v>
      </c>
      <c r="E24" s="424">
        <f t="shared" si="3"/>
        <v>405486.7777816981</v>
      </c>
      <c r="F24" s="424">
        <f t="shared" si="3"/>
        <v>403313.52816875972</v>
      </c>
      <c r="G24" s="424">
        <f t="shared" si="3"/>
        <v>406155.0876626703</v>
      </c>
      <c r="H24" s="424">
        <f t="shared" si="3"/>
        <v>449229.26999104081</v>
      </c>
      <c r="I24" s="424">
        <f t="shared" si="3"/>
        <v>408737.43720274663</v>
      </c>
      <c r="J24" s="424">
        <f t="shared" si="3"/>
        <v>406143.95766465255</v>
      </c>
      <c r="K24" s="424">
        <f t="shared" si="3"/>
        <v>500608.04084034142</v>
      </c>
      <c r="L24" s="424">
        <f t="shared" si="3"/>
        <v>425838.99415691267</v>
      </c>
      <c r="M24" s="424">
        <f t="shared" si="3"/>
        <v>403974.13805110345</v>
      </c>
      <c r="N24" s="424">
        <f t="shared" si="3"/>
        <v>414392.0761956402</v>
      </c>
      <c r="O24" s="424">
        <f t="shared" si="3"/>
        <v>4997116.0000000009</v>
      </c>
      <c r="P24" s="424">
        <f t="shared" si="3"/>
        <v>0</v>
      </c>
      <c r="Q24" s="424">
        <f t="shared" si="3"/>
        <v>4997116.0000000009</v>
      </c>
      <c r="R24" s="423"/>
      <c r="S24" s="424">
        <f>SUM(S12:S23)</f>
        <v>4828529.0000000009</v>
      </c>
      <c r="U24" s="747">
        <f>SUM(U19:U23)</f>
        <v>113898</v>
      </c>
    </row>
    <row r="25" spans="1:21" ht="15" customHeight="1">
      <c r="B25" s="42"/>
      <c r="C25" s="423"/>
      <c r="D25" s="423"/>
      <c r="E25" s="423"/>
      <c r="F25" s="423"/>
      <c r="G25" s="423"/>
      <c r="H25" s="423"/>
      <c r="I25" s="423"/>
      <c r="J25" s="423"/>
      <c r="K25" s="423"/>
      <c r="L25" s="44"/>
      <c r="M25" s="44"/>
      <c r="N25" s="44"/>
      <c r="O25" s="44"/>
      <c r="P25" s="44"/>
      <c r="Q25" s="44"/>
      <c r="R25" s="423"/>
      <c r="S25" s="44"/>
      <c r="U25" s="74">
        <f>+U24/S24</f>
        <v>2.3588550467440492E-2</v>
      </c>
    </row>
    <row r="26" spans="1:21" ht="15" customHeight="1">
      <c r="B26" s="52" t="s">
        <v>27</v>
      </c>
      <c r="C26" s="44"/>
      <c r="D26" s="44"/>
      <c r="E26" s="44"/>
      <c r="F26" s="44"/>
      <c r="G26" s="44"/>
      <c r="H26" s="44"/>
      <c r="I26" s="44"/>
      <c r="J26" s="44"/>
      <c r="K26" s="44"/>
      <c r="L26" s="44"/>
      <c r="M26" s="44"/>
      <c r="N26" s="44"/>
      <c r="O26" s="44"/>
      <c r="P26" s="425"/>
      <c r="Q26" s="44"/>
      <c r="R26" s="423"/>
      <c r="S26" s="44"/>
      <c r="U26" s="74" t="s">
        <v>830</v>
      </c>
    </row>
    <row r="27" spans="1:21" ht="15" customHeight="1">
      <c r="A27" s="223">
        <v>9</v>
      </c>
      <c r="B27" s="48" t="s">
        <v>173</v>
      </c>
      <c r="C27" s="44">
        <f>+'IS-PBC'!B124+'IS-PBC'!O120</f>
        <v>70775.87999999999</v>
      </c>
      <c r="D27" s="44">
        <f>+'IS-PBC'!C124+'IS-PBC'!P120</f>
        <v>72448.479999999996</v>
      </c>
      <c r="E27" s="44">
        <f>+'IS-PBC'!D124+'IS-PBC'!Q120</f>
        <v>72584.62</v>
      </c>
      <c r="F27" s="44">
        <f>+'IS-PBC'!E124+'IS-PBC'!R120</f>
        <v>74204.600000000006</v>
      </c>
      <c r="G27" s="44">
        <f>+'IS-PBC'!F124+'IS-PBC'!S120</f>
        <v>110684.89</v>
      </c>
      <c r="H27" s="44">
        <f>+'IS-PBC'!G124+'IS-PBC'!T120</f>
        <v>75786.66</v>
      </c>
      <c r="I27" s="44">
        <f>+'IS-PBC'!H124+'IS-PBC'!U120</f>
        <v>78232.800000000003</v>
      </c>
      <c r="J27" s="44">
        <f>+'IS-PBC'!I124+'IS-PBC'!V120</f>
        <v>78729.100000000006</v>
      </c>
      <c r="K27" s="44">
        <f>+'IS-PBC'!J124+'IS-PBC'!W120</f>
        <v>76717.740000000005</v>
      </c>
      <c r="L27" s="44">
        <f>+'IS-PBC'!K124+'IS-PBC'!X120</f>
        <v>117249.71</v>
      </c>
      <c r="M27" s="44">
        <f>+'IS-PBC'!L124+'IS-PBC'!Y120</f>
        <v>76770.17</v>
      </c>
      <c r="N27" s="44">
        <f>+'IS-PBC'!M124+'IS-PBC'!Z120</f>
        <v>85100.89</v>
      </c>
      <c r="O27" s="44">
        <f>SUM(C27:N27)</f>
        <v>989285.54</v>
      </c>
      <c r="P27" s="44"/>
      <c r="Q27" s="44">
        <f t="shared" ref="Q27:Q73" si="4">O27+P27</f>
        <v>989285.54</v>
      </c>
      <c r="R27" s="423"/>
      <c r="S27" s="44">
        <f t="shared" ref="S27:S98" si="5">Q27+R27</f>
        <v>989285.54</v>
      </c>
    </row>
    <row r="28" spans="1:21" ht="15" customHeight="1">
      <c r="A28" s="223">
        <v>10</v>
      </c>
      <c r="B28" s="48" t="s">
        <v>12</v>
      </c>
      <c r="C28" s="44"/>
      <c r="D28" s="44"/>
      <c r="E28" s="44"/>
      <c r="F28" s="44"/>
      <c r="G28" s="44"/>
      <c r="H28" s="44"/>
      <c r="I28" s="44"/>
      <c r="J28" s="44"/>
      <c r="K28" s="44"/>
      <c r="L28" s="44"/>
      <c r="M28" s="44"/>
      <c r="N28" s="44"/>
      <c r="O28" s="44">
        <f t="shared" ref="O28:O95" si="6">SUM(C28:N28)</f>
        <v>0</v>
      </c>
      <c r="P28" s="44"/>
      <c r="Q28" s="44">
        <f t="shared" si="4"/>
        <v>0</v>
      </c>
      <c r="R28" s="423"/>
      <c r="S28" s="44">
        <f t="shared" si="5"/>
        <v>0</v>
      </c>
    </row>
    <row r="29" spans="1:21" ht="15" customHeight="1">
      <c r="A29" s="223">
        <v>11</v>
      </c>
      <c r="B29" s="48" t="s">
        <v>13</v>
      </c>
      <c r="C29" s="44"/>
      <c r="D29" s="44"/>
      <c r="E29" s="44"/>
      <c r="F29" s="44"/>
      <c r="G29" s="44"/>
      <c r="H29" s="44"/>
      <c r="I29" s="44"/>
      <c r="J29" s="44"/>
      <c r="K29" s="44"/>
      <c r="L29" s="44"/>
      <c r="M29" s="44"/>
      <c r="N29" s="44"/>
      <c r="O29" s="44">
        <f t="shared" si="6"/>
        <v>0</v>
      </c>
      <c r="P29" s="44"/>
      <c r="Q29" s="44">
        <f t="shared" si="4"/>
        <v>0</v>
      </c>
      <c r="R29" s="423"/>
      <c r="S29" s="44">
        <f t="shared" si="5"/>
        <v>0</v>
      </c>
    </row>
    <row r="30" spans="1:21" ht="15" customHeight="1">
      <c r="A30" s="223">
        <v>12</v>
      </c>
      <c r="B30" s="48" t="s">
        <v>14</v>
      </c>
      <c r="C30" s="44"/>
      <c r="D30" s="44"/>
      <c r="E30" s="44"/>
      <c r="F30" s="44"/>
      <c r="G30" s="44"/>
      <c r="H30" s="44"/>
      <c r="I30" s="44"/>
      <c r="J30" s="44"/>
      <c r="K30" s="44"/>
      <c r="L30" s="44"/>
      <c r="M30" s="44"/>
      <c r="N30" s="44"/>
      <c r="O30" s="44">
        <f t="shared" si="6"/>
        <v>0</v>
      </c>
      <c r="P30" s="44"/>
      <c r="Q30" s="44">
        <f t="shared" si="4"/>
        <v>0</v>
      </c>
      <c r="R30" s="423"/>
      <c r="S30" s="44">
        <f t="shared" si="5"/>
        <v>0</v>
      </c>
    </row>
    <row r="31" spans="1:21" ht="15" customHeight="1">
      <c r="A31" s="223">
        <v>13</v>
      </c>
      <c r="B31" s="48" t="s">
        <v>71</v>
      </c>
      <c r="C31" s="44"/>
      <c r="D31" s="44"/>
      <c r="E31" s="44"/>
      <c r="F31" s="44"/>
      <c r="G31" s="44"/>
      <c r="H31" s="44"/>
      <c r="I31" s="44"/>
      <c r="J31" s="44"/>
      <c r="K31" s="44"/>
      <c r="L31" s="44"/>
      <c r="M31" s="44"/>
      <c r="N31" s="44"/>
      <c r="O31" s="44">
        <f t="shared" si="6"/>
        <v>0</v>
      </c>
      <c r="P31" s="44"/>
      <c r="Q31" s="44">
        <f t="shared" si="4"/>
        <v>0</v>
      </c>
      <c r="R31" s="423"/>
      <c r="S31" s="44">
        <f t="shared" si="5"/>
        <v>0</v>
      </c>
    </row>
    <row r="32" spans="1:21" ht="15" customHeight="1">
      <c r="A32" s="223">
        <v>29</v>
      </c>
      <c r="B32" s="48" t="s">
        <v>18</v>
      </c>
      <c r="C32" s="44"/>
      <c r="D32" s="44"/>
      <c r="E32" s="44"/>
      <c r="F32" s="44"/>
      <c r="G32" s="44"/>
      <c r="H32" s="44"/>
      <c r="I32" s="44"/>
      <c r="J32" s="44"/>
      <c r="K32" s="44"/>
      <c r="L32" s="44"/>
      <c r="M32" s="44"/>
      <c r="N32" s="44"/>
      <c r="O32" s="44">
        <f>SUM(C32:N32)</f>
        <v>0</v>
      </c>
      <c r="P32" s="44"/>
      <c r="Q32" s="44">
        <f>O32+P32</f>
        <v>0</v>
      </c>
      <c r="R32" s="423"/>
      <c r="S32" s="44">
        <f>Q32+R32</f>
        <v>0</v>
      </c>
    </row>
    <row r="33" spans="1:19" ht="15" customHeight="1">
      <c r="A33" s="223">
        <v>30</v>
      </c>
      <c r="B33" s="48" t="s">
        <v>19</v>
      </c>
      <c r="C33" s="44"/>
      <c r="D33" s="44"/>
      <c r="E33" s="44"/>
      <c r="F33" s="44"/>
      <c r="G33" s="44"/>
      <c r="H33" s="44"/>
      <c r="I33" s="44"/>
      <c r="J33" s="44"/>
      <c r="K33" s="44"/>
      <c r="L33" s="44"/>
      <c r="M33" s="44"/>
      <c r="N33" s="44"/>
      <c r="O33" s="44">
        <f>SUM(C33:N33)</f>
        <v>0</v>
      </c>
      <c r="P33" s="44"/>
      <c r="Q33" s="44">
        <f>O33+P33</f>
        <v>0</v>
      </c>
      <c r="R33" s="423"/>
      <c r="S33" s="44">
        <f>Q33+R33</f>
        <v>0</v>
      </c>
    </row>
    <row r="34" spans="1:19" ht="15" customHeight="1">
      <c r="A34" s="223">
        <v>14</v>
      </c>
      <c r="B34" s="48" t="s">
        <v>15</v>
      </c>
      <c r="C34" s="44">
        <f>+'IS-PBC'!B66+'IS-PBC'!B68+'IS-PBC'!B69+'IS-PBC'!B71</f>
        <v>14865.77</v>
      </c>
      <c r="D34" s="44">
        <f>+'IS-PBC'!C66+'IS-PBC'!C68+'IS-PBC'!C69+'IS-PBC'!C71</f>
        <v>3510.72</v>
      </c>
      <c r="E34" s="44">
        <f>+'IS-PBC'!D66+'IS-PBC'!D68+'IS-PBC'!D69+'IS-PBC'!D71</f>
        <v>13989.57</v>
      </c>
      <c r="F34" s="44">
        <f>+'IS-PBC'!E66+'IS-PBC'!E68+'IS-PBC'!E69+'IS-PBC'!E71</f>
        <v>14461.09</v>
      </c>
      <c r="G34" s="44">
        <f>+'IS-PBC'!F66+'IS-PBC'!F68+'IS-PBC'!F69+'IS-PBC'!F71</f>
        <v>13772.24</v>
      </c>
      <c r="H34" s="44">
        <f>+'IS-PBC'!G66+'IS-PBC'!G68+'IS-PBC'!G69+'IS-PBC'!G71</f>
        <v>14478.59</v>
      </c>
      <c r="I34" s="44">
        <f>+'IS-PBC'!H66+'IS-PBC'!H68+'IS-PBC'!H69+'IS-PBC'!H71</f>
        <v>14478.59</v>
      </c>
      <c r="J34" s="44">
        <f>+'IS-PBC'!I66+'IS-PBC'!I68+'IS-PBC'!I69+'IS-PBC'!I71</f>
        <v>15720.09</v>
      </c>
      <c r="K34" s="44">
        <f>+'IS-PBC'!J66+'IS-PBC'!J68+'IS-PBC'!J69+'IS-PBC'!J71</f>
        <v>13237.09</v>
      </c>
      <c r="L34" s="44">
        <f>+'IS-PBC'!K66+'IS-PBC'!K68+'IS-PBC'!K69+'IS-PBC'!K71</f>
        <v>13772.239999999998</v>
      </c>
      <c r="M34" s="44">
        <f>+'IS-PBC'!L66+'IS-PBC'!L68+'IS-PBC'!L69+'IS-PBC'!L71</f>
        <v>14242.92</v>
      </c>
      <c r="N34" s="44">
        <f>+'IS-PBC'!M66+'IS-PBC'!M68+'IS-PBC'!M69+'IS-PBC'!M71</f>
        <v>14363.019999999999</v>
      </c>
      <c r="O34" s="44">
        <f>SUM(C34:N34)</f>
        <v>160891.93</v>
      </c>
      <c r="P34" s="44"/>
      <c r="Q34" s="44">
        <f>O34+P34</f>
        <v>160891.93</v>
      </c>
      <c r="R34" s="423"/>
      <c r="S34" s="44">
        <f t="shared" si="5"/>
        <v>160891.93</v>
      </c>
    </row>
    <row r="35" spans="1:19" ht="15" customHeight="1">
      <c r="A35" s="223">
        <v>15</v>
      </c>
      <c r="B35" s="48" t="s">
        <v>536</v>
      </c>
      <c r="C35" s="44">
        <f>+'IS-PBC'!B70</f>
        <v>0</v>
      </c>
      <c r="D35" s="44">
        <f>+'IS-PBC'!C70</f>
        <v>0</v>
      </c>
      <c r="E35" s="44">
        <f>+'IS-PBC'!D70</f>
        <v>0</v>
      </c>
      <c r="F35" s="44">
        <f>+'IS-PBC'!E70</f>
        <v>0</v>
      </c>
      <c r="G35" s="44">
        <f>+'IS-PBC'!F70</f>
        <v>0</v>
      </c>
      <c r="H35" s="44">
        <f>+'IS-PBC'!G70</f>
        <v>0</v>
      </c>
      <c r="I35" s="44">
        <f>+'IS-PBC'!H70</f>
        <v>0</v>
      </c>
      <c r="J35" s="44">
        <f>+'IS-PBC'!I70</f>
        <v>0</v>
      </c>
      <c r="K35" s="44">
        <f>+'IS-PBC'!J70</f>
        <v>0</v>
      </c>
      <c r="L35" s="44">
        <f>+'IS-PBC'!K70</f>
        <v>0</v>
      </c>
      <c r="M35" s="44">
        <f>+'IS-PBC'!L70</f>
        <v>0</v>
      </c>
      <c r="N35" s="44">
        <f>+'IS-PBC'!M70</f>
        <v>-24043</v>
      </c>
      <c r="O35" s="44">
        <f>SUM(C35:N35)</f>
        <v>-24043</v>
      </c>
      <c r="P35" s="44"/>
      <c r="Q35" s="44">
        <f>O35+P35</f>
        <v>-24043</v>
      </c>
      <c r="R35" s="423"/>
      <c r="S35" s="44"/>
    </row>
    <row r="36" spans="1:19" ht="15" customHeight="1">
      <c r="A36" s="223">
        <v>46</v>
      </c>
      <c r="B36" s="48" t="s">
        <v>500</v>
      </c>
      <c r="C36" s="44">
        <f>+'IS-PBC'!B100</f>
        <v>1997.66</v>
      </c>
      <c r="D36" s="44">
        <f>+'IS-PBC'!C100</f>
        <v>1904</v>
      </c>
      <c r="E36" s="44">
        <f>+'IS-PBC'!D100</f>
        <v>1896.07</v>
      </c>
      <c r="F36" s="44">
        <f>+'IS-PBC'!E100</f>
        <v>1857.01</v>
      </c>
      <c r="G36" s="44">
        <f>+'IS-PBC'!F100</f>
        <v>2800.11</v>
      </c>
      <c r="H36" s="44">
        <f>+'IS-PBC'!G100</f>
        <v>1866.27</v>
      </c>
      <c r="I36" s="44">
        <f>+'IS-PBC'!H100</f>
        <v>1881.38</v>
      </c>
      <c r="J36" s="44">
        <f>+'IS-PBC'!I100</f>
        <v>1865.77</v>
      </c>
      <c r="K36" s="44">
        <f>+'IS-PBC'!J100</f>
        <v>1933.66</v>
      </c>
      <c r="L36" s="44">
        <f>+'IS-PBC'!K100</f>
        <v>3221.67</v>
      </c>
      <c r="M36" s="44">
        <f>+'IS-PBC'!L100</f>
        <v>2137.17</v>
      </c>
      <c r="N36" s="44">
        <f>+'IS-PBC'!M100</f>
        <v>82200.73</v>
      </c>
      <c r="O36" s="44">
        <f>SUM(C36:N36)</f>
        <v>105561.5</v>
      </c>
      <c r="P36" s="44"/>
      <c r="Q36" s="44">
        <f>O36+P36</f>
        <v>105561.5</v>
      </c>
      <c r="R36" s="423"/>
      <c r="S36" s="44">
        <f>Q36+R36</f>
        <v>105561.5</v>
      </c>
    </row>
    <row r="37" spans="1:19" ht="15" customHeight="1">
      <c r="A37" s="223">
        <v>15</v>
      </c>
      <c r="B37" s="48" t="s">
        <v>458</v>
      </c>
      <c r="C37" s="44">
        <f>+'IS-PBC'!B53</f>
        <v>1645</v>
      </c>
      <c r="D37" s="44">
        <f>+'IS-PBC'!C53</f>
        <v>694</v>
      </c>
      <c r="E37" s="44">
        <f>+'IS-PBC'!D53</f>
        <v>604</v>
      </c>
      <c r="F37" s="44">
        <f>+'IS-PBC'!E53</f>
        <v>559</v>
      </c>
      <c r="G37" s="44">
        <f>+'IS-PBC'!F53</f>
        <v>4787.2</v>
      </c>
      <c r="H37" s="44">
        <f>+'IS-PBC'!G53</f>
        <v>2036</v>
      </c>
      <c r="I37" s="44">
        <f>+'IS-PBC'!H53</f>
        <v>3549.4</v>
      </c>
      <c r="J37" s="44">
        <f>+'IS-PBC'!I53</f>
        <v>2868.8</v>
      </c>
      <c r="K37" s="44">
        <f>+'IS-PBC'!J53</f>
        <v>3820.9</v>
      </c>
      <c r="L37" s="44">
        <f>+'IS-PBC'!K53</f>
        <v>7059.9</v>
      </c>
      <c r="M37" s="44">
        <f>+'IS-PBC'!L53</f>
        <v>2402.4</v>
      </c>
      <c r="N37" s="44">
        <f>+'IS-PBC'!M53</f>
        <v>2793</v>
      </c>
      <c r="O37" s="44">
        <f t="shared" si="6"/>
        <v>32819.600000000006</v>
      </c>
      <c r="P37" s="44"/>
      <c r="Q37" s="44">
        <f t="shared" si="4"/>
        <v>32819.600000000006</v>
      </c>
      <c r="R37" s="423"/>
      <c r="S37" s="44">
        <f t="shared" si="5"/>
        <v>32819.600000000006</v>
      </c>
    </row>
    <row r="38" spans="1:19" ht="15" customHeight="1">
      <c r="A38" s="223">
        <v>16</v>
      </c>
      <c r="B38" s="48" t="s">
        <v>537</v>
      </c>
      <c r="C38" s="44">
        <f>+'IS-PBC'!B54</f>
        <v>0</v>
      </c>
      <c r="D38" s="44">
        <f>+'IS-PBC'!C54</f>
        <v>0</v>
      </c>
      <c r="E38" s="44">
        <f>+'IS-PBC'!D54</f>
        <v>0</v>
      </c>
      <c r="F38" s="44">
        <f>+'IS-PBC'!E54</f>
        <v>600</v>
      </c>
      <c r="G38" s="44">
        <f>+'IS-PBC'!F54</f>
        <v>0</v>
      </c>
      <c r="H38" s="44">
        <f>+'IS-PBC'!G54</f>
        <v>0</v>
      </c>
      <c r="I38" s="44">
        <f>+'IS-PBC'!H54</f>
        <v>600</v>
      </c>
      <c r="J38" s="44">
        <f>+'IS-PBC'!I54</f>
        <v>0</v>
      </c>
      <c r="K38" s="44">
        <f>+'IS-PBC'!J54</f>
        <v>0</v>
      </c>
      <c r="L38" s="44">
        <f>+'IS-PBC'!K54</f>
        <v>0</v>
      </c>
      <c r="M38" s="44">
        <f>+'IS-PBC'!L54</f>
        <v>0</v>
      </c>
      <c r="N38" s="44">
        <f>+'IS-PBC'!M54</f>
        <v>620</v>
      </c>
      <c r="O38" s="44">
        <f t="shared" si="6"/>
        <v>1820</v>
      </c>
      <c r="P38" s="44"/>
      <c r="Q38" s="44">
        <f t="shared" si="4"/>
        <v>1820</v>
      </c>
      <c r="R38" s="423"/>
      <c r="S38" s="44">
        <f t="shared" si="5"/>
        <v>1820</v>
      </c>
    </row>
    <row r="39" spans="1:19" ht="15" customHeight="1">
      <c r="A39" s="223">
        <v>17</v>
      </c>
      <c r="B39" s="48" t="s">
        <v>91</v>
      </c>
      <c r="C39" s="44">
        <f>+'IS-PBC'!B55</f>
        <v>0</v>
      </c>
      <c r="D39" s="44">
        <f>+'IS-PBC'!C55</f>
        <v>0</v>
      </c>
      <c r="E39" s="44">
        <f>+'IS-PBC'!D55</f>
        <v>118.92</v>
      </c>
      <c r="F39" s="44">
        <f>+'IS-PBC'!E55</f>
        <v>0</v>
      </c>
      <c r="G39" s="44">
        <f>+'IS-PBC'!F55</f>
        <v>0</v>
      </c>
      <c r="H39" s="44">
        <f>+'IS-PBC'!G55</f>
        <v>212.36</v>
      </c>
      <c r="I39" s="44">
        <f>+'IS-PBC'!H55</f>
        <v>0</v>
      </c>
      <c r="J39" s="44">
        <f>+'IS-PBC'!I55</f>
        <v>0</v>
      </c>
      <c r="K39" s="44">
        <f>+'IS-PBC'!J55</f>
        <v>1389.82</v>
      </c>
      <c r="L39" s="44">
        <f>+'IS-PBC'!K55</f>
        <v>0</v>
      </c>
      <c r="M39" s="44">
        <f>+'IS-PBC'!L55</f>
        <v>0</v>
      </c>
      <c r="N39" s="44">
        <f>+'IS-PBC'!M55</f>
        <v>4160.53</v>
      </c>
      <c r="O39" s="44">
        <f t="shared" si="6"/>
        <v>5881.6299999999992</v>
      </c>
      <c r="P39" s="44"/>
      <c r="Q39" s="44">
        <f t="shared" si="4"/>
        <v>5881.6299999999992</v>
      </c>
      <c r="R39" s="423"/>
      <c r="S39" s="44">
        <f t="shared" si="5"/>
        <v>5881.6299999999992</v>
      </c>
    </row>
    <row r="40" spans="1:19" ht="15" customHeight="1">
      <c r="A40" s="223">
        <v>18</v>
      </c>
      <c r="B40" s="48" t="s">
        <v>461</v>
      </c>
      <c r="C40" s="44">
        <f>+'IS-PBC'!B56</f>
        <v>583.25</v>
      </c>
      <c r="D40" s="44">
        <f>+'IS-PBC'!C56</f>
        <v>1790.72</v>
      </c>
      <c r="E40" s="44">
        <f>+'IS-PBC'!D56</f>
        <v>-613.87</v>
      </c>
      <c r="F40" s="44">
        <f>+'IS-PBC'!E56</f>
        <v>573.79</v>
      </c>
      <c r="G40" s="44">
        <f>+'IS-PBC'!F56</f>
        <v>570.70000000000005</v>
      </c>
      <c r="H40" s="44">
        <f>+'IS-PBC'!G56</f>
        <v>1428.54</v>
      </c>
      <c r="I40" s="44">
        <f>+'IS-PBC'!H56</f>
        <v>574.89</v>
      </c>
      <c r="J40" s="44">
        <f>+'IS-PBC'!I56</f>
        <v>689.51</v>
      </c>
      <c r="K40" s="44">
        <f>+'IS-PBC'!J56</f>
        <v>734.63</v>
      </c>
      <c r="L40" s="44">
        <f>+'IS-PBC'!K56</f>
        <v>589.75</v>
      </c>
      <c r="M40" s="44">
        <f>+'IS-PBC'!L56</f>
        <v>626.97</v>
      </c>
      <c r="N40" s="44">
        <f>+'IS-PBC'!M56</f>
        <v>612.49</v>
      </c>
      <c r="O40" s="44">
        <f t="shared" si="6"/>
        <v>8161.3700000000008</v>
      </c>
      <c r="P40" s="44"/>
      <c r="Q40" s="44">
        <f t="shared" si="4"/>
        <v>8161.3700000000008</v>
      </c>
      <c r="R40" s="423"/>
      <c r="S40" s="44">
        <f t="shared" si="5"/>
        <v>8161.3700000000008</v>
      </c>
    </row>
    <row r="41" spans="1:19" ht="15" customHeight="1">
      <c r="A41" s="223">
        <v>19</v>
      </c>
      <c r="B41" s="48" t="s">
        <v>538</v>
      </c>
      <c r="C41" s="44">
        <f>+'IS-PBC'!B57+'IS-PBC'!B58</f>
        <v>177.66000000000003</v>
      </c>
      <c r="D41" s="44">
        <f>+'IS-PBC'!C57+'IS-PBC'!C58</f>
        <v>70.569999999999993</v>
      </c>
      <c r="E41" s="44">
        <f>+'IS-PBC'!D57+'IS-PBC'!D58</f>
        <v>137.46</v>
      </c>
      <c r="F41" s="44">
        <f>+'IS-PBC'!E57+'IS-PBC'!E58</f>
        <v>105.46</v>
      </c>
      <c r="G41" s="44">
        <f>+'IS-PBC'!F57+'IS-PBC'!F58</f>
        <v>165.76</v>
      </c>
      <c r="H41" s="44">
        <f>+'IS-PBC'!G57+'IS-PBC'!G58</f>
        <v>15</v>
      </c>
      <c r="I41" s="44">
        <f>+'IS-PBC'!H57+'IS-PBC'!H58</f>
        <v>79.08</v>
      </c>
      <c r="J41" s="44">
        <f>+'IS-PBC'!I57+'IS-PBC'!I58</f>
        <v>0</v>
      </c>
      <c r="K41" s="44">
        <f>+'IS-PBC'!J57+'IS-PBC'!J58</f>
        <v>0</v>
      </c>
      <c r="L41" s="44">
        <f>+'IS-PBC'!K57+'IS-PBC'!K58</f>
        <v>87.31</v>
      </c>
      <c r="M41" s="44">
        <f>+'IS-PBC'!L57+'IS-PBC'!L58</f>
        <v>257.25</v>
      </c>
      <c r="N41" s="44">
        <f>+'IS-PBC'!M57+'IS-PBC'!M58</f>
        <v>0</v>
      </c>
      <c r="O41" s="44">
        <f t="shared" si="6"/>
        <v>1095.5500000000002</v>
      </c>
      <c r="P41" s="44"/>
      <c r="Q41" s="44">
        <f t="shared" si="4"/>
        <v>1095.5500000000002</v>
      </c>
      <c r="R41" s="423"/>
      <c r="S41" s="44">
        <f t="shared" si="5"/>
        <v>1095.5500000000002</v>
      </c>
    </row>
    <row r="42" spans="1:19" ht="15" customHeight="1">
      <c r="A42" s="223">
        <v>20</v>
      </c>
      <c r="B42" s="48" t="s">
        <v>539</v>
      </c>
      <c r="C42" s="44">
        <f>+'IS-PBC'!B59</f>
        <v>0</v>
      </c>
      <c r="D42" s="44">
        <f>+'IS-PBC'!C59</f>
        <v>0</v>
      </c>
      <c r="E42" s="44">
        <f>+'IS-PBC'!D59</f>
        <v>962.21</v>
      </c>
      <c r="F42" s="44">
        <f>+'IS-PBC'!E59</f>
        <v>0</v>
      </c>
      <c r="G42" s="44">
        <f>+'IS-PBC'!F59</f>
        <v>0</v>
      </c>
      <c r="H42" s="44">
        <f>+'IS-PBC'!G59</f>
        <v>0</v>
      </c>
      <c r="I42" s="44">
        <f>+'IS-PBC'!H59</f>
        <v>0</v>
      </c>
      <c r="J42" s="44">
        <f>+'IS-PBC'!I59</f>
        <v>0</v>
      </c>
      <c r="K42" s="44">
        <f>+'IS-PBC'!J59</f>
        <v>0</v>
      </c>
      <c r="L42" s="44">
        <f>+'IS-PBC'!K59</f>
        <v>0</v>
      </c>
      <c r="M42" s="44">
        <f>+'IS-PBC'!L59</f>
        <v>0</v>
      </c>
      <c r="N42" s="44">
        <f>+'IS-PBC'!M59</f>
        <v>0</v>
      </c>
      <c r="O42" s="44">
        <f t="shared" si="6"/>
        <v>962.21</v>
      </c>
      <c r="P42" s="44"/>
      <c r="Q42" s="44">
        <f t="shared" si="4"/>
        <v>962.21</v>
      </c>
      <c r="R42" s="423"/>
      <c r="S42" s="44">
        <f t="shared" si="5"/>
        <v>962.21</v>
      </c>
    </row>
    <row r="43" spans="1:19" ht="15" customHeight="1">
      <c r="A43" s="223">
        <v>21</v>
      </c>
      <c r="B43" s="48" t="s">
        <v>465</v>
      </c>
      <c r="C43" s="44">
        <f>+'IS-PBC'!B60</f>
        <v>0</v>
      </c>
      <c r="D43" s="44">
        <f>+'IS-PBC'!C60</f>
        <v>780</v>
      </c>
      <c r="E43" s="44">
        <f>+'IS-PBC'!D60</f>
        <v>849.58</v>
      </c>
      <c r="F43" s="44">
        <f>+'IS-PBC'!E60</f>
        <v>75</v>
      </c>
      <c r="G43" s="44">
        <f>+'IS-PBC'!F60</f>
        <v>575</v>
      </c>
      <c r="H43" s="44">
        <f>+'IS-PBC'!G60</f>
        <v>100</v>
      </c>
      <c r="I43" s="44">
        <f>+'IS-PBC'!H60</f>
        <v>0</v>
      </c>
      <c r="J43" s="44">
        <f>+'IS-PBC'!I60</f>
        <v>0</v>
      </c>
      <c r="K43" s="44">
        <f>+'IS-PBC'!J60</f>
        <v>0</v>
      </c>
      <c r="L43" s="44">
        <f>+'IS-PBC'!K60</f>
        <v>0</v>
      </c>
      <c r="M43" s="44">
        <f>+'IS-PBC'!L60</f>
        <v>200</v>
      </c>
      <c r="N43" s="44">
        <f>+'IS-PBC'!M60</f>
        <v>2520</v>
      </c>
      <c r="O43" s="44">
        <f t="shared" si="6"/>
        <v>5099.58</v>
      </c>
      <c r="P43" s="44"/>
      <c r="Q43" s="44">
        <f t="shared" si="4"/>
        <v>5099.58</v>
      </c>
      <c r="R43" s="423"/>
      <c r="S43" s="44">
        <f t="shared" si="5"/>
        <v>5099.58</v>
      </c>
    </row>
    <row r="44" spans="1:19" ht="15" customHeight="1">
      <c r="A44" s="223">
        <v>22</v>
      </c>
      <c r="B44" s="48" t="s">
        <v>316</v>
      </c>
      <c r="C44" s="44">
        <f>+'IS-PBC'!B61+'IS-PBC'!B62</f>
        <v>970</v>
      </c>
      <c r="D44" s="44">
        <f>+'IS-PBC'!C61+'IS-PBC'!C62</f>
        <v>910</v>
      </c>
      <c r="E44" s="44">
        <f>+'IS-PBC'!D61+'IS-PBC'!D62</f>
        <v>910</v>
      </c>
      <c r="F44" s="44">
        <f>+'IS-PBC'!E61+'IS-PBC'!E62</f>
        <v>910</v>
      </c>
      <c r="G44" s="44">
        <f>+'IS-PBC'!F61+'IS-PBC'!F62</f>
        <v>910</v>
      </c>
      <c r="H44" s="44">
        <f>+'IS-PBC'!G61+'IS-PBC'!G62</f>
        <v>910</v>
      </c>
      <c r="I44" s="44">
        <f>+'IS-PBC'!H61+'IS-PBC'!H62</f>
        <v>2320</v>
      </c>
      <c r="J44" s="44">
        <f>+'IS-PBC'!I61+'IS-PBC'!I62</f>
        <v>910</v>
      </c>
      <c r="K44" s="44">
        <f>+'IS-PBC'!J61+'IS-PBC'!J62</f>
        <v>1030</v>
      </c>
      <c r="L44" s="44">
        <f>+'IS-PBC'!K61+'IS-PBC'!K62</f>
        <v>970</v>
      </c>
      <c r="M44" s="44">
        <f>+'IS-PBC'!L61+'IS-PBC'!L62</f>
        <v>1451</v>
      </c>
      <c r="N44" s="44">
        <f>+'IS-PBC'!M61+'IS-PBC'!M62</f>
        <v>910</v>
      </c>
      <c r="O44" s="44">
        <f t="shared" si="6"/>
        <v>13111</v>
      </c>
      <c r="P44" s="44"/>
      <c r="Q44" s="44">
        <f t="shared" si="4"/>
        <v>13111</v>
      </c>
      <c r="R44" s="423"/>
      <c r="S44" s="44">
        <f t="shared" si="5"/>
        <v>13111</v>
      </c>
    </row>
    <row r="45" spans="1:19" ht="15" customHeight="1">
      <c r="A45" s="223">
        <v>23</v>
      </c>
      <c r="B45" s="48" t="s">
        <v>467</v>
      </c>
      <c r="C45" s="44">
        <f>+'IS-PBC'!B63</f>
        <v>0</v>
      </c>
      <c r="D45" s="44">
        <f>+'IS-PBC'!C63</f>
        <v>0</v>
      </c>
      <c r="E45" s="44">
        <f>+'IS-PBC'!D63</f>
        <v>933.49</v>
      </c>
      <c r="F45" s="44">
        <f>+'IS-PBC'!E63</f>
        <v>0</v>
      </c>
      <c r="G45" s="44">
        <f>+'IS-PBC'!F63</f>
        <v>-629.72</v>
      </c>
      <c r="H45" s="44">
        <f>+'IS-PBC'!G63</f>
        <v>933.49</v>
      </c>
      <c r="I45" s="44">
        <f>+'IS-PBC'!H63</f>
        <v>0</v>
      </c>
      <c r="J45" s="44">
        <f>+'IS-PBC'!I63</f>
        <v>933.49</v>
      </c>
      <c r="K45" s="44">
        <f>+'IS-PBC'!J63</f>
        <v>0</v>
      </c>
      <c r="L45" s="44">
        <f>+'IS-PBC'!K63</f>
        <v>0</v>
      </c>
      <c r="M45" s="44">
        <f>+'IS-PBC'!L63</f>
        <v>0</v>
      </c>
      <c r="N45" s="44">
        <f>+'IS-PBC'!M63</f>
        <v>932.29</v>
      </c>
      <c r="O45" s="44">
        <f t="shared" si="6"/>
        <v>3103.04</v>
      </c>
      <c r="P45" s="44"/>
      <c r="Q45" s="44">
        <f t="shared" si="4"/>
        <v>3103.04</v>
      </c>
      <c r="R45" s="423"/>
      <c r="S45" s="44">
        <f t="shared" si="5"/>
        <v>3103.04</v>
      </c>
    </row>
    <row r="46" spans="1:19" ht="15" customHeight="1">
      <c r="A46" s="223">
        <v>24</v>
      </c>
      <c r="B46" s="48" t="s">
        <v>25</v>
      </c>
      <c r="C46" s="44">
        <f>+'IS-PBC'!B64</f>
        <v>37</v>
      </c>
      <c r="D46" s="44">
        <f>+'IS-PBC'!C64</f>
        <v>3554.06</v>
      </c>
      <c r="E46" s="44">
        <f>+'IS-PBC'!D64</f>
        <v>0</v>
      </c>
      <c r="F46" s="44">
        <f>+'IS-PBC'!E64</f>
        <v>124.27</v>
      </c>
      <c r="G46" s="44">
        <f>+'IS-PBC'!F64</f>
        <v>59.5</v>
      </c>
      <c r="H46" s="44">
        <f>+'IS-PBC'!G64</f>
        <v>14</v>
      </c>
      <c r="I46" s="44">
        <f>+'IS-PBC'!H64</f>
        <v>4341.25</v>
      </c>
      <c r="J46" s="44">
        <f>+'IS-PBC'!I64</f>
        <v>74.75</v>
      </c>
      <c r="K46" s="44">
        <f>+'IS-PBC'!J64</f>
        <v>3920.4</v>
      </c>
      <c r="L46" s="44">
        <f>+'IS-PBC'!K64</f>
        <v>107.25</v>
      </c>
      <c r="M46" s="44">
        <f>+'IS-PBC'!L64</f>
        <v>1984</v>
      </c>
      <c r="N46" s="44">
        <f>+'IS-PBC'!M64</f>
        <v>131.43</v>
      </c>
      <c r="O46" s="44">
        <f t="shared" si="6"/>
        <v>14347.91</v>
      </c>
      <c r="P46" s="44"/>
      <c r="Q46" s="44">
        <f t="shared" si="4"/>
        <v>14347.91</v>
      </c>
      <c r="R46" s="423"/>
      <c r="S46" s="44">
        <f t="shared" si="5"/>
        <v>14347.91</v>
      </c>
    </row>
    <row r="47" spans="1:19" ht="15" customHeight="1">
      <c r="A47" s="223">
        <v>25</v>
      </c>
      <c r="B47" s="48" t="s">
        <v>140</v>
      </c>
      <c r="C47" s="45">
        <f>+'IS-PBC'!B65+'IS-PBC'!B96</f>
        <v>13341.800000000001</v>
      </c>
      <c r="D47" s="45">
        <f>+'IS-PBC'!C65+'IS-PBC'!C96</f>
        <v>0</v>
      </c>
      <c r="E47" s="45">
        <f>+'IS-PBC'!D65+'IS-PBC'!D96</f>
        <v>23778.75</v>
      </c>
      <c r="F47" s="45">
        <f>+'IS-PBC'!E65+'IS-PBC'!E96</f>
        <v>12669.33</v>
      </c>
      <c r="G47" s="45">
        <f>+'IS-PBC'!F65+'IS-PBC'!F96</f>
        <v>16769.330000000002</v>
      </c>
      <c r="H47" s="45">
        <f>+'IS-PBC'!G65+'IS-PBC'!G96</f>
        <v>227.13</v>
      </c>
      <c r="I47" s="45">
        <f>+'IS-PBC'!H65+'IS-PBC'!H96</f>
        <v>27067.31</v>
      </c>
      <c r="J47" s="45">
        <f>+'IS-PBC'!I65+'IS-PBC'!I96</f>
        <v>21999.01</v>
      </c>
      <c r="K47" s="45">
        <f>+'IS-PBC'!J65+'IS-PBC'!J96</f>
        <v>12724.7</v>
      </c>
      <c r="L47" s="45">
        <f>+'IS-PBC'!K65+'IS-PBC'!K96</f>
        <v>71.040000000000006</v>
      </c>
      <c r="M47" s="45">
        <f>+'IS-PBC'!L65+'IS-PBC'!L96</f>
        <v>30974.01</v>
      </c>
      <c r="N47" s="45">
        <f>+'IS-PBC'!M65+'IS-PBC'!M96</f>
        <v>10319.36</v>
      </c>
      <c r="O47" s="44">
        <f t="shared" si="6"/>
        <v>169941.77000000002</v>
      </c>
      <c r="P47" s="44"/>
      <c r="Q47" s="44">
        <f t="shared" si="4"/>
        <v>169941.77000000002</v>
      </c>
      <c r="R47" s="423"/>
      <c r="S47" s="44">
        <f t="shared" si="5"/>
        <v>169941.77000000002</v>
      </c>
    </row>
    <row r="48" spans="1:19" ht="15" customHeight="1">
      <c r="A48" s="223">
        <v>26</v>
      </c>
      <c r="B48" s="48" t="s">
        <v>95</v>
      </c>
      <c r="C48" s="44">
        <f>+'IS-PBC'!B75</f>
        <v>16626.02</v>
      </c>
      <c r="D48" s="44">
        <f>+'IS-PBC'!C75</f>
        <v>2892</v>
      </c>
      <c r="E48" s="44">
        <f>+'IS-PBC'!D75</f>
        <v>3850</v>
      </c>
      <c r="F48" s="44">
        <f>+'IS-PBC'!E75</f>
        <v>3424</v>
      </c>
      <c r="G48" s="44">
        <f>+'IS-PBC'!F75</f>
        <v>3371</v>
      </c>
      <c r="H48" s="44">
        <f>+'IS-PBC'!G75</f>
        <v>3371</v>
      </c>
      <c r="I48" s="44">
        <f>+'IS-PBC'!H75</f>
        <v>3371</v>
      </c>
      <c r="J48" s="44">
        <f>+'IS-PBC'!I75</f>
        <v>3371</v>
      </c>
      <c r="K48" s="44">
        <f>+'IS-PBC'!J75</f>
        <v>0</v>
      </c>
      <c r="L48" s="44">
        <f>+'IS-PBC'!K75</f>
        <v>0</v>
      </c>
      <c r="M48" s="44">
        <f>+'IS-PBC'!L75</f>
        <v>0</v>
      </c>
      <c r="N48" s="44">
        <f>+'IS-PBC'!M75</f>
        <v>0</v>
      </c>
      <c r="O48" s="44">
        <f t="shared" si="6"/>
        <v>40276.020000000004</v>
      </c>
      <c r="P48" s="44"/>
      <c r="Q48" s="44">
        <f t="shared" si="4"/>
        <v>40276.020000000004</v>
      </c>
      <c r="R48" s="423"/>
      <c r="S48" s="44">
        <f t="shared" si="5"/>
        <v>40276.020000000004</v>
      </c>
    </row>
    <row r="49" spans="1:19" ht="15" customHeight="1">
      <c r="A49" s="223">
        <v>27</v>
      </c>
      <c r="B49" s="48" t="s">
        <v>24</v>
      </c>
      <c r="C49" s="44">
        <f>+'IS-PBC'!B67</f>
        <v>0</v>
      </c>
      <c r="D49" s="44">
        <f>+'IS-PBC'!C67</f>
        <v>0</v>
      </c>
      <c r="E49" s="44">
        <f>+'IS-PBC'!D67</f>
        <v>0</v>
      </c>
      <c r="F49" s="44">
        <f>+'IS-PBC'!E67</f>
        <v>0</v>
      </c>
      <c r="G49" s="44">
        <f>+'IS-PBC'!F67</f>
        <v>153.30000000000001</v>
      </c>
      <c r="H49" s="44">
        <f>+'IS-PBC'!G67</f>
        <v>0</v>
      </c>
      <c r="I49" s="44">
        <f>+'IS-PBC'!H67</f>
        <v>0</v>
      </c>
      <c r="J49" s="44">
        <f>+'IS-PBC'!I67</f>
        <v>0</v>
      </c>
      <c r="K49" s="44">
        <f>+'IS-PBC'!J67</f>
        <v>0</v>
      </c>
      <c r="L49" s="44">
        <f>+'IS-PBC'!K67</f>
        <v>0</v>
      </c>
      <c r="M49" s="44">
        <f>+'IS-PBC'!L67</f>
        <v>0</v>
      </c>
      <c r="N49" s="44">
        <f>+'IS-PBC'!M67</f>
        <v>0</v>
      </c>
      <c r="O49" s="44">
        <f t="shared" si="6"/>
        <v>153.30000000000001</v>
      </c>
      <c r="P49" s="44"/>
      <c r="Q49" s="44">
        <f t="shared" si="4"/>
        <v>153.30000000000001</v>
      </c>
      <c r="R49" s="423"/>
      <c r="S49" s="44">
        <f t="shared" si="5"/>
        <v>153.30000000000001</v>
      </c>
    </row>
    <row r="50" spans="1:19" ht="15" customHeight="1">
      <c r="A50" s="223">
        <v>28</v>
      </c>
      <c r="B50" s="48" t="s">
        <v>540</v>
      </c>
      <c r="C50" s="44">
        <f>+'IS-PBC'!B72+'IS-PBC'!B73+'IS-PBC'!B74</f>
        <v>403.11</v>
      </c>
      <c r="D50" s="44">
        <f>+'IS-PBC'!C72+'IS-PBC'!C73+'IS-PBC'!C74</f>
        <v>1046.02</v>
      </c>
      <c r="E50" s="44">
        <f>+'IS-PBC'!D72+'IS-PBC'!D73+'IS-PBC'!D74</f>
        <v>218.75</v>
      </c>
      <c r="F50" s="44">
        <f>+'IS-PBC'!E72+'IS-PBC'!E73+'IS-PBC'!E74</f>
        <v>71.36</v>
      </c>
      <c r="G50" s="44">
        <f>+'IS-PBC'!F72+'IS-PBC'!F73+'IS-PBC'!F74</f>
        <v>370.18</v>
      </c>
      <c r="H50" s="44">
        <f>+'IS-PBC'!G72+'IS-PBC'!G73+'IS-PBC'!G74</f>
        <v>856.75</v>
      </c>
      <c r="I50" s="44">
        <f>+'IS-PBC'!H72+'IS-PBC'!H73+'IS-PBC'!H74</f>
        <v>361.21000000000004</v>
      </c>
      <c r="J50" s="44">
        <f>+'IS-PBC'!I72+'IS-PBC'!I73+'IS-PBC'!I74</f>
        <v>579.83000000000004</v>
      </c>
      <c r="K50" s="44">
        <f>+'IS-PBC'!J72+'IS-PBC'!J73+'IS-PBC'!J74</f>
        <v>185.4</v>
      </c>
      <c r="L50" s="44">
        <f>+'IS-PBC'!K72+'IS-PBC'!K73+'IS-PBC'!K74</f>
        <v>265.63</v>
      </c>
      <c r="M50" s="44">
        <f>+'IS-PBC'!L72+'IS-PBC'!L73+'IS-PBC'!L74</f>
        <v>459.73</v>
      </c>
      <c r="N50" s="44">
        <f>+'IS-PBC'!M72+'IS-PBC'!M73+'IS-PBC'!M74</f>
        <v>646.42999999999995</v>
      </c>
      <c r="O50" s="44">
        <f t="shared" si="6"/>
        <v>5464.4</v>
      </c>
      <c r="P50" s="44"/>
      <c r="Q50" s="44">
        <f t="shared" si="4"/>
        <v>5464.4</v>
      </c>
      <c r="R50" s="423"/>
      <c r="S50" s="44">
        <f t="shared" si="5"/>
        <v>5464.4</v>
      </c>
    </row>
    <row r="51" spans="1:19" ht="15" customHeight="1">
      <c r="A51" s="223">
        <v>31</v>
      </c>
      <c r="B51" s="48" t="s">
        <v>541</v>
      </c>
      <c r="C51" s="44">
        <f>+'IS-PBC'!B77</f>
        <v>106279.98</v>
      </c>
      <c r="D51" s="44">
        <f>+'IS-PBC'!C77</f>
        <v>133152.29</v>
      </c>
      <c r="E51" s="44">
        <f>+'IS-PBC'!D77</f>
        <v>136481.34</v>
      </c>
      <c r="F51" s="44">
        <f>+'IS-PBC'!E77</f>
        <v>129752.98</v>
      </c>
      <c r="G51" s="44">
        <f>+'IS-PBC'!F77</f>
        <v>138930.75</v>
      </c>
      <c r="H51" s="44">
        <f>+'IS-PBC'!G77</f>
        <v>171524.2</v>
      </c>
      <c r="I51" s="44">
        <f>+'IS-PBC'!H77</f>
        <v>124109.04</v>
      </c>
      <c r="J51" s="44">
        <f>+'IS-PBC'!I77</f>
        <v>122893.22</v>
      </c>
      <c r="K51" s="44">
        <f>+'IS-PBC'!J77</f>
        <v>128184.21</v>
      </c>
      <c r="L51" s="44">
        <f>+'IS-PBC'!K77</f>
        <v>118263.97</v>
      </c>
      <c r="M51" s="44">
        <f>+'IS-PBC'!L77</f>
        <v>131143.44</v>
      </c>
      <c r="N51" s="44">
        <f>+'IS-PBC'!M77</f>
        <v>125406.09</v>
      </c>
      <c r="O51" s="44">
        <f t="shared" si="6"/>
        <v>1566121.51</v>
      </c>
      <c r="P51" s="44"/>
      <c r="Q51" s="44">
        <f t="shared" si="4"/>
        <v>1566121.51</v>
      </c>
      <c r="R51" s="423"/>
      <c r="S51" s="44">
        <f t="shared" si="5"/>
        <v>1566121.51</v>
      </c>
    </row>
    <row r="52" spans="1:19" ht="15" customHeight="1">
      <c r="A52" s="223">
        <v>32</v>
      </c>
      <c r="B52" s="48" t="s">
        <v>542</v>
      </c>
      <c r="C52" s="44">
        <f>+'IS-PBC'!B76</f>
        <v>8564.51</v>
      </c>
      <c r="D52" s="44">
        <f>+'IS-PBC'!C76</f>
        <v>5295.9</v>
      </c>
      <c r="E52" s="44">
        <f>+'IS-PBC'!D76</f>
        <v>-4131.1099999999997</v>
      </c>
      <c r="F52" s="44">
        <f>+'IS-PBC'!E76</f>
        <v>4730.7</v>
      </c>
      <c r="G52" s="44">
        <f>+'IS-PBC'!F76</f>
        <v>10529.77</v>
      </c>
      <c r="H52" s="44">
        <f>+'IS-PBC'!G76</f>
        <v>5062.8</v>
      </c>
      <c r="I52" s="44">
        <f>+'IS-PBC'!H76</f>
        <v>3879</v>
      </c>
      <c r="J52" s="44">
        <f>+'IS-PBC'!I76</f>
        <v>3625.2</v>
      </c>
      <c r="K52" s="44">
        <f>+'IS-PBC'!J76</f>
        <v>1340.88</v>
      </c>
      <c r="L52" s="44">
        <f>+'IS-PBC'!K76</f>
        <v>3561</v>
      </c>
      <c r="M52" s="44">
        <f>+'IS-PBC'!L76</f>
        <v>4386.3</v>
      </c>
      <c r="N52" s="44">
        <f>+'IS-PBC'!M76</f>
        <v>4520.92</v>
      </c>
      <c r="O52" s="44">
        <f t="shared" si="6"/>
        <v>51365.869999999995</v>
      </c>
      <c r="P52" s="44"/>
      <c r="Q52" s="44">
        <f t="shared" si="4"/>
        <v>51365.869999999995</v>
      </c>
      <c r="R52" s="423"/>
      <c r="S52" s="44">
        <f t="shared" si="5"/>
        <v>51365.869999999995</v>
      </c>
    </row>
    <row r="53" spans="1:19" ht="15" customHeight="1">
      <c r="B53" s="48" t="s">
        <v>551</v>
      </c>
      <c r="C53" s="44">
        <f>+'IS-PBC'!B97</f>
        <v>584.53</v>
      </c>
      <c r="D53" s="44">
        <f>+'IS-PBC'!C97</f>
        <v>324.14999999999998</v>
      </c>
      <c r="E53" s="44">
        <f>+'IS-PBC'!D97</f>
        <v>405.37</v>
      </c>
      <c r="F53" s="44">
        <f>+'IS-PBC'!E97</f>
        <v>454.62</v>
      </c>
      <c r="G53" s="44">
        <f>+'IS-PBC'!F97</f>
        <v>285.27</v>
      </c>
      <c r="H53" s="44">
        <f>+'IS-PBC'!G97</f>
        <v>276.26</v>
      </c>
      <c r="I53" s="44">
        <f>+'IS-PBC'!H97</f>
        <v>298.67</v>
      </c>
      <c r="J53" s="44">
        <f>+'IS-PBC'!I97</f>
        <v>291.62</v>
      </c>
      <c r="K53" s="44">
        <f>+'IS-PBC'!J97</f>
        <v>586.29999999999995</v>
      </c>
      <c r="L53" s="44">
        <f>+'IS-PBC'!K97</f>
        <v>391.62</v>
      </c>
      <c r="M53" s="44">
        <f>+'IS-PBC'!L97</f>
        <v>280.39</v>
      </c>
      <c r="N53" s="44">
        <f>+'IS-PBC'!M97</f>
        <v>284.3</v>
      </c>
      <c r="O53" s="44">
        <f t="shared" si="6"/>
        <v>4463.1000000000004</v>
      </c>
      <c r="P53" s="44"/>
      <c r="Q53" s="44">
        <f t="shared" si="4"/>
        <v>4463.1000000000004</v>
      </c>
      <c r="R53" s="423"/>
      <c r="S53" s="44"/>
    </row>
    <row r="54" spans="1:19" ht="15" customHeight="1">
      <c r="A54" s="223">
        <v>49</v>
      </c>
      <c r="B54" s="48" t="s">
        <v>503</v>
      </c>
      <c r="C54" s="44">
        <f>+'IS-PBC'!B103</f>
        <v>0</v>
      </c>
      <c r="D54" s="44">
        <f>+'IS-PBC'!C103</f>
        <v>0</v>
      </c>
      <c r="E54" s="44">
        <f>+'IS-PBC'!D103</f>
        <v>0</v>
      </c>
      <c r="F54" s="44">
        <f>+'IS-PBC'!E103</f>
        <v>0</v>
      </c>
      <c r="G54" s="44">
        <f>+'IS-PBC'!F103</f>
        <v>0</v>
      </c>
      <c r="H54" s="44">
        <f>+'IS-PBC'!G103</f>
        <v>0</v>
      </c>
      <c r="I54" s="44">
        <f>+'IS-PBC'!H103</f>
        <v>0</v>
      </c>
      <c r="J54" s="44">
        <f>+'IS-PBC'!I103</f>
        <v>0</v>
      </c>
      <c r="K54" s="44">
        <f>+'IS-PBC'!J103</f>
        <v>0</v>
      </c>
      <c r="L54" s="44">
        <f>+'IS-PBC'!K103</f>
        <v>-67</v>
      </c>
      <c r="M54" s="44">
        <f>+'IS-PBC'!L103</f>
        <v>0</v>
      </c>
      <c r="N54" s="44">
        <f>+'IS-PBC'!M103</f>
        <v>0</v>
      </c>
      <c r="O54" s="44">
        <f>SUM(C54:N54)</f>
        <v>-67</v>
      </c>
      <c r="P54" s="44"/>
      <c r="Q54" s="44">
        <f>O54+P54</f>
        <v>-67</v>
      </c>
      <c r="R54" s="423"/>
      <c r="S54" s="44">
        <f>Q54+R54</f>
        <v>-67</v>
      </c>
    </row>
    <row r="55" spans="1:19" ht="15" customHeight="1">
      <c r="A55" s="223">
        <v>50</v>
      </c>
      <c r="B55" s="48" t="s">
        <v>504</v>
      </c>
      <c r="C55" s="44">
        <f>+'IS-PBC'!B104</f>
        <v>0</v>
      </c>
      <c r="D55" s="44">
        <f>+'IS-PBC'!C104</f>
        <v>3111.73</v>
      </c>
      <c r="E55" s="44">
        <f>+'IS-PBC'!D104</f>
        <v>0</v>
      </c>
      <c r="F55" s="44">
        <f>+'IS-PBC'!E104</f>
        <v>0</v>
      </c>
      <c r="G55" s="44">
        <f>+'IS-PBC'!F104</f>
        <v>0</v>
      </c>
      <c r="H55" s="44">
        <f>+'IS-PBC'!G104</f>
        <v>0</v>
      </c>
      <c r="I55" s="44">
        <f>+'IS-PBC'!H104</f>
        <v>22261.360000000001</v>
      </c>
      <c r="J55" s="44">
        <f>+'IS-PBC'!I104</f>
        <v>8193.43</v>
      </c>
      <c r="K55" s="44">
        <f>+'IS-PBC'!J104</f>
        <v>5340.35</v>
      </c>
      <c r="L55" s="44">
        <f>+'IS-PBC'!K104</f>
        <v>6187.33</v>
      </c>
      <c r="M55" s="44">
        <f>+'IS-PBC'!L104</f>
        <v>4379.7</v>
      </c>
      <c r="N55" s="44">
        <f>+'IS-PBC'!M104</f>
        <v>9731.24</v>
      </c>
      <c r="O55" s="44">
        <f>SUM(C55:N55)</f>
        <v>59205.14</v>
      </c>
      <c r="P55" s="44"/>
      <c r="Q55" s="44">
        <f>O55+P55</f>
        <v>59205.14</v>
      </c>
      <c r="R55" s="423"/>
      <c r="S55" s="44">
        <f>Q55+R55</f>
        <v>59205.14</v>
      </c>
    </row>
    <row r="56" spans="1:19" ht="15" customHeight="1">
      <c r="A56" s="223">
        <v>33</v>
      </c>
      <c r="B56" s="48" t="s">
        <v>21</v>
      </c>
      <c r="C56" s="44">
        <f>+'IS-PBC'!B78</f>
        <v>0</v>
      </c>
      <c r="D56" s="44">
        <f>+'IS-PBC'!C78</f>
        <v>0</v>
      </c>
      <c r="E56" s="44">
        <f>+'IS-PBC'!D78</f>
        <v>22651.18</v>
      </c>
      <c r="F56" s="44">
        <f>+'IS-PBC'!E78</f>
        <v>22651.18</v>
      </c>
      <c r="G56" s="44">
        <f>+'IS-PBC'!F78</f>
        <v>0</v>
      </c>
      <c r="H56" s="44">
        <f>+'IS-PBC'!G78</f>
        <v>-22651.18</v>
      </c>
      <c r="I56" s="44">
        <f>+'IS-PBC'!H78</f>
        <v>0</v>
      </c>
      <c r="J56" s="44">
        <f>+'IS-PBC'!I78</f>
        <v>0</v>
      </c>
      <c r="K56" s="44">
        <f>+'IS-PBC'!J78</f>
        <v>0</v>
      </c>
      <c r="L56" s="44">
        <f>+'IS-PBC'!K78</f>
        <v>0</v>
      </c>
      <c r="M56" s="44">
        <f>+'IS-PBC'!L78</f>
        <v>0</v>
      </c>
      <c r="N56" s="44">
        <f>+'IS-PBC'!M78</f>
        <v>0</v>
      </c>
      <c r="O56" s="44">
        <f t="shared" si="6"/>
        <v>22651.18</v>
      </c>
      <c r="P56" s="44"/>
      <c r="Q56" s="44">
        <f t="shared" si="4"/>
        <v>22651.18</v>
      </c>
      <c r="R56" s="423"/>
      <c r="S56" s="44">
        <f t="shared" si="5"/>
        <v>22651.18</v>
      </c>
    </row>
    <row r="57" spans="1:19" ht="15" customHeight="1">
      <c r="A57" s="223">
        <v>34</v>
      </c>
      <c r="B57" s="48" t="s">
        <v>23</v>
      </c>
      <c r="C57" s="44">
        <f>+'IS-PBC'!B79</f>
        <v>0</v>
      </c>
      <c r="D57" s="44">
        <f>+'IS-PBC'!C79</f>
        <v>0</v>
      </c>
      <c r="E57" s="44">
        <f>+'IS-PBC'!D79</f>
        <v>12957.37</v>
      </c>
      <c r="F57" s="44">
        <f>+'IS-PBC'!E79</f>
        <v>12957.34</v>
      </c>
      <c r="G57" s="44">
        <f>+'IS-PBC'!F79</f>
        <v>0</v>
      </c>
      <c r="H57" s="44">
        <f>+'IS-PBC'!G79</f>
        <v>-12957.37</v>
      </c>
      <c r="I57" s="44">
        <f>+'IS-PBC'!H79</f>
        <v>0</v>
      </c>
      <c r="J57" s="44">
        <f>+'IS-PBC'!I79</f>
        <v>0</v>
      </c>
      <c r="K57" s="44">
        <f>+'IS-PBC'!J79</f>
        <v>0</v>
      </c>
      <c r="L57" s="44">
        <f>+'IS-PBC'!K79</f>
        <v>0</v>
      </c>
      <c r="M57" s="44">
        <f>+'IS-PBC'!L79</f>
        <v>0</v>
      </c>
      <c r="N57" s="44">
        <f>+'IS-PBC'!M79</f>
        <v>0</v>
      </c>
      <c r="O57" s="44">
        <f t="shared" si="6"/>
        <v>12957.339999999998</v>
      </c>
      <c r="P57" s="44"/>
      <c r="Q57" s="44">
        <f t="shared" si="4"/>
        <v>12957.339999999998</v>
      </c>
      <c r="R57" s="423"/>
      <c r="S57" s="44">
        <f t="shared" si="5"/>
        <v>12957.339999999998</v>
      </c>
    </row>
    <row r="58" spans="1:19" ht="15" customHeight="1">
      <c r="A58" s="223">
        <v>35</v>
      </c>
      <c r="B58" s="48" t="s">
        <v>543</v>
      </c>
      <c r="C58" s="44">
        <f>+'IS-PBC'!B83</f>
        <v>13983.4</v>
      </c>
      <c r="D58" s="44">
        <f>+'IS-PBC'!C83</f>
        <v>15064.62</v>
      </c>
      <c r="E58" s="44">
        <f>+'IS-PBC'!D83</f>
        <v>1435.09</v>
      </c>
      <c r="F58" s="44">
        <f>+'IS-PBC'!E83</f>
        <v>29919.57</v>
      </c>
      <c r="G58" s="44">
        <f>+'IS-PBC'!F83</f>
        <v>15017.28</v>
      </c>
      <c r="H58" s="44">
        <f>+'IS-PBC'!G83</f>
        <v>15212.93</v>
      </c>
      <c r="I58" s="44">
        <f>+'IS-PBC'!H83</f>
        <v>14487.63</v>
      </c>
      <c r="J58" s="44">
        <f>+'IS-PBC'!I83</f>
        <v>14854.68</v>
      </c>
      <c r="K58" s="44">
        <f>+'IS-PBC'!J83</f>
        <v>18248.7</v>
      </c>
      <c r="L58" s="44">
        <f>+'IS-PBC'!K83</f>
        <v>15302.86</v>
      </c>
      <c r="M58" s="44">
        <f>+'IS-PBC'!L83</f>
        <v>15623.08</v>
      </c>
      <c r="N58" s="44">
        <f>+'IS-PBC'!M83</f>
        <v>14468.35</v>
      </c>
      <c r="O58" s="44">
        <f t="shared" si="6"/>
        <v>183618.19</v>
      </c>
      <c r="P58" s="44"/>
      <c r="Q58" s="44">
        <f t="shared" si="4"/>
        <v>183618.19</v>
      </c>
      <c r="R58" s="423"/>
      <c r="S58" s="44">
        <f t="shared" si="5"/>
        <v>183618.19</v>
      </c>
    </row>
    <row r="59" spans="1:19" ht="15" customHeight="1">
      <c r="A59" s="223">
        <v>36</v>
      </c>
      <c r="B59" s="48" t="s">
        <v>544</v>
      </c>
      <c r="C59" s="44">
        <f>+'IS-PBC'!B85</f>
        <v>0</v>
      </c>
      <c r="D59" s="44">
        <f>+'IS-PBC'!C85</f>
        <v>34673.64</v>
      </c>
      <c r="E59" s="44">
        <f>+'IS-PBC'!D85</f>
        <v>79793.62</v>
      </c>
      <c r="F59" s="44">
        <f>+'IS-PBC'!E85</f>
        <v>39750.43</v>
      </c>
      <c r="G59" s="44">
        <f>+'IS-PBC'!F85</f>
        <v>39090.43</v>
      </c>
      <c r="H59" s="44">
        <f>+'IS-PBC'!G85</f>
        <v>-2811.44</v>
      </c>
      <c r="I59" s="44">
        <f>+'IS-PBC'!H85</f>
        <v>77748.69</v>
      </c>
      <c r="J59" s="44">
        <f>+'IS-PBC'!I85</f>
        <v>38484.53</v>
      </c>
      <c r="K59" s="44">
        <f>+'IS-PBC'!J85</f>
        <v>46113.87</v>
      </c>
      <c r="L59" s="44">
        <f>+'IS-PBC'!K85</f>
        <v>39319.21</v>
      </c>
      <c r="M59" s="44">
        <f>+'IS-PBC'!L85</f>
        <v>41293.47</v>
      </c>
      <c r="N59" s="44">
        <f>+'IS-PBC'!M85</f>
        <v>-909.6</v>
      </c>
      <c r="O59" s="44">
        <f t="shared" si="6"/>
        <v>432546.85000000009</v>
      </c>
      <c r="P59" s="44"/>
      <c r="Q59" s="44">
        <f t="shared" si="4"/>
        <v>432546.85000000009</v>
      </c>
      <c r="R59" s="423"/>
      <c r="S59" s="44">
        <f t="shared" si="5"/>
        <v>432546.85000000009</v>
      </c>
    </row>
    <row r="60" spans="1:19" ht="15" customHeight="1">
      <c r="A60" s="223">
        <v>37</v>
      </c>
      <c r="B60" s="48" t="s">
        <v>44</v>
      </c>
      <c r="C60" s="44">
        <f>+'IS-PBC'!B82+'IS-PBC'!B121+'IS-PBC'!B122+'IS-PBC'!B123</f>
        <v>8973</v>
      </c>
      <c r="D60" s="44">
        <f>+'IS-PBC'!C82+'IS-PBC'!C121+'IS-PBC'!C122+'IS-PBC'!C123</f>
        <v>8923.39</v>
      </c>
      <c r="E60" s="44">
        <f>+'IS-PBC'!D82+'IS-PBC'!D121+'IS-PBC'!D122+'IS-PBC'!D123</f>
        <v>8922.2800000000007</v>
      </c>
      <c r="F60" s="44">
        <f>+'IS-PBC'!E82+'IS-PBC'!E121+'IS-PBC'!E122+'IS-PBC'!E123</f>
        <v>8921.18</v>
      </c>
      <c r="G60" s="44">
        <f>+'IS-PBC'!F82+'IS-PBC'!F121+'IS-PBC'!F122+'IS-PBC'!F123</f>
        <v>13430.759999999998</v>
      </c>
      <c r="H60" s="44">
        <f>+'IS-PBC'!G82+'IS-PBC'!G121+'IS-PBC'!G122+'IS-PBC'!G123</f>
        <v>9231.2599999999984</v>
      </c>
      <c r="I60" s="44">
        <f>+'IS-PBC'!H82+'IS-PBC'!H121+'IS-PBC'!H122+'IS-PBC'!H123</f>
        <v>9278.26</v>
      </c>
      <c r="J60" s="44">
        <f>+'IS-PBC'!I82+'IS-PBC'!I121+'IS-PBC'!I122+'IS-PBC'!I123</f>
        <v>9373.4500000000007</v>
      </c>
      <c r="K60" s="44">
        <f>+'IS-PBC'!J82+'IS-PBC'!J121+'IS-PBC'!J122+'IS-PBC'!J123</f>
        <v>7868.31</v>
      </c>
      <c r="L60" s="44">
        <f>+'IS-PBC'!K82+'IS-PBC'!K121+'IS-PBC'!K122+'IS-PBC'!K123</f>
        <v>14272.869999999999</v>
      </c>
      <c r="M60" s="44">
        <f>+'IS-PBC'!L82+'IS-PBC'!L121+'IS-PBC'!L122+'IS-PBC'!L123</f>
        <v>9346.33</v>
      </c>
      <c r="N60" s="44">
        <f>+'IS-PBC'!M82+'IS-PBC'!M121+'IS-PBC'!M122+'IS-PBC'!M123</f>
        <v>-3169.5499999999988</v>
      </c>
      <c r="O60" s="44">
        <f t="shared" si="6"/>
        <v>105371.53999999998</v>
      </c>
      <c r="P60" s="44"/>
      <c r="Q60" s="44">
        <f t="shared" si="4"/>
        <v>105371.53999999998</v>
      </c>
      <c r="R60" s="423"/>
      <c r="S60" s="44">
        <f t="shared" si="5"/>
        <v>105371.53999999998</v>
      </c>
    </row>
    <row r="61" spans="1:19">
      <c r="B61" s="48" t="s">
        <v>527</v>
      </c>
      <c r="C61" s="44">
        <f>+'IS-PBC'!B84</f>
        <v>0</v>
      </c>
      <c r="D61" s="44">
        <f>+'IS-PBC'!C84</f>
        <v>0</v>
      </c>
      <c r="E61" s="44">
        <f>+'IS-PBC'!D84</f>
        <v>0</v>
      </c>
      <c r="F61" s="44">
        <f>+'IS-PBC'!E84</f>
        <v>109168</v>
      </c>
      <c r="G61" s="44">
        <f>+'IS-PBC'!F84</f>
        <v>0</v>
      </c>
      <c r="H61" s="44">
        <f>+'IS-PBC'!G84</f>
        <v>-109168</v>
      </c>
      <c r="I61" s="44">
        <f>+'IS-PBC'!H84</f>
        <v>0</v>
      </c>
      <c r="J61" s="44">
        <f>+'IS-PBC'!I84</f>
        <v>0</v>
      </c>
      <c r="K61" s="44">
        <f>+'IS-PBC'!J84</f>
        <v>0</v>
      </c>
      <c r="L61" s="44">
        <f>+'IS-PBC'!K84</f>
        <v>0</v>
      </c>
      <c r="M61" s="44">
        <f>+'IS-PBC'!L84</f>
        <v>0</v>
      </c>
      <c r="N61" s="44">
        <f>+'IS-PBC'!M84</f>
        <v>0</v>
      </c>
      <c r="O61" s="44">
        <f t="shared" si="6"/>
        <v>0</v>
      </c>
      <c r="Q61" s="44">
        <f t="shared" si="4"/>
        <v>0</v>
      </c>
    </row>
    <row r="62" spans="1:19">
      <c r="B62" s="48" t="s">
        <v>371</v>
      </c>
      <c r="C62" s="44">
        <f>+'IS-PBC'!B131</f>
        <v>0</v>
      </c>
      <c r="D62" s="44">
        <f>+'IS-PBC'!C131</f>
        <v>0</v>
      </c>
      <c r="E62" s="44">
        <f>+'IS-PBC'!D131</f>
        <v>25818</v>
      </c>
      <c r="F62" s="44">
        <f>+'IS-PBC'!E131</f>
        <v>0</v>
      </c>
      <c r="G62" s="44">
        <f>+'IS-PBC'!F131</f>
        <v>0</v>
      </c>
      <c r="H62" s="44">
        <f>+'IS-PBC'!G131</f>
        <v>24686</v>
      </c>
      <c r="I62" s="44">
        <f>+'IS-PBC'!H131</f>
        <v>0</v>
      </c>
      <c r="J62" s="44">
        <f>+'IS-PBC'!I131</f>
        <v>0</v>
      </c>
      <c r="K62" s="44">
        <f>+'IS-PBC'!J131</f>
        <v>6446</v>
      </c>
      <c r="L62" s="44">
        <f>+'IS-PBC'!K131</f>
        <v>0</v>
      </c>
      <c r="M62" s="44">
        <f>+'IS-PBC'!L131</f>
        <v>0</v>
      </c>
      <c r="N62" s="44">
        <f>+'IS-PBC'!M131</f>
        <v>23109</v>
      </c>
      <c r="O62" s="44">
        <f t="shared" si="6"/>
        <v>80059</v>
      </c>
      <c r="Q62" s="44">
        <f t="shared" si="4"/>
        <v>80059</v>
      </c>
    </row>
    <row r="63" spans="1:19">
      <c r="B63" s="48" t="s">
        <v>529</v>
      </c>
      <c r="C63" s="44">
        <f>+'IS-PBC'!B129</f>
        <v>0</v>
      </c>
      <c r="D63" s="44">
        <f>+'IS-PBC'!C129</f>
        <v>0</v>
      </c>
      <c r="E63" s="44">
        <f>+'IS-PBC'!D129</f>
        <v>0</v>
      </c>
      <c r="F63" s="44">
        <f>+'IS-PBC'!E129</f>
        <v>0</v>
      </c>
      <c r="G63" s="44">
        <f>+'IS-PBC'!F129</f>
        <v>0</v>
      </c>
      <c r="H63" s="44">
        <f>+'IS-PBC'!G129</f>
        <v>0</v>
      </c>
      <c r="I63" s="44">
        <f>+'IS-PBC'!H129</f>
        <v>0</v>
      </c>
      <c r="J63" s="44">
        <f>+'IS-PBC'!I129</f>
        <v>0</v>
      </c>
      <c r="K63" s="44">
        <f>+'IS-PBC'!J129</f>
        <v>0</v>
      </c>
      <c r="L63" s="44">
        <f>+'IS-PBC'!K129</f>
        <v>0</v>
      </c>
      <c r="M63" s="44">
        <f>+'IS-PBC'!L129</f>
        <v>0</v>
      </c>
      <c r="N63" s="44">
        <f>+'IS-PBC'!M129</f>
        <v>17125</v>
      </c>
      <c r="O63" s="44">
        <f t="shared" si="6"/>
        <v>17125</v>
      </c>
      <c r="Q63" s="44">
        <f t="shared" si="4"/>
        <v>17125</v>
      </c>
    </row>
    <row r="64" spans="1:19">
      <c r="B64" s="48" t="s">
        <v>530</v>
      </c>
      <c r="C64" s="44">
        <f>+'IS-PBC'!B130</f>
        <v>0</v>
      </c>
      <c r="D64" s="44">
        <f>+'IS-PBC'!C130</f>
        <v>0</v>
      </c>
      <c r="E64" s="44">
        <f>+'IS-PBC'!D130</f>
        <v>0</v>
      </c>
      <c r="F64" s="44">
        <f>+'IS-PBC'!E130</f>
        <v>0</v>
      </c>
      <c r="G64" s="44">
        <f>+'IS-PBC'!F130</f>
        <v>0</v>
      </c>
      <c r="H64" s="44">
        <f>+'IS-PBC'!G130</f>
        <v>0</v>
      </c>
      <c r="I64" s="44">
        <f>+'IS-PBC'!H130</f>
        <v>0</v>
      </c>
      <c r="J64" s="44">
        <f>+'IS-PBC'!I130</f>
        <v>0</v>
      </c>
      <c r="K64" s="44">
        <f>+'IS-PBC'!J130</f>
        <v>0</v>
      </c>
      <c r="L64" s="44">
        <f>+'IS-PBC'!K130</f>
        <v>0</v>
      </c>
      <c r="M64" s="44">
        <f>+'IS-PBC'!L130</f>
        <v>0</v>
      </c>
      <c r="N64" s="44">
        <f>+'IS-PBC'!M130</f>
        <v>-51834</v>
      </c>
      <c r="O64" s="44">
        <f t="shared" si="6"/>
        <v>-51834</v>
      </c>
      <c r="Q64" s="44">
        <f t="shared" si="4"/>
        <v>-51834</v>
      </c>
    </row>
    <row r="65" spans="1:19">
      <c r="B65" s="48" t="s">
        <v>546</v>
      </c>
      <c r="C65" s="44">
        <f>+'IS-PBC'!B86</f>
        <v>0</v>
      </c>
      <c r="D65" s="44">
        <f>+'IS-PBC'!C86</f>
        <v>850</v>
      </c>
      <c r="E65" s="44">
        <f>+'IS-PBC'!D86</f>
        <v>0</v>
      </c>
      <c r="F65" s="44">
        <f>+'IS-PBC'!E86</f>
        <v>981</v>
      </c>
      <c r="G65" s="44">
        <f>+'IS-PBC'!F86</f>
        <v>686.75</v>
      </c>
      <c r="H65" s="44">
        <f>+'IS-PBC'!G86</f>
        <v>0</v>
      </c>
      <c r="I65" s="44">
        <f>+'IS-PBC'!H86</f>
        <v>618</v>
      </c>
      <c r="J65" s="44">
        <f>+'IS-PBC'!I86</f>
        <v>2890</v>
      </c>
      <c r="K65" s="44">
        <f>+'IS-PBC'!J86</f>
        <v>0</v>
      </c>
      <c r="L65" s="44">
        <f>+'IS-PBC'!K86</f>
        <v>0</v>
      </c>
      <c r="M65" s="44">
        <f>+'IS-PBC'!L86</f>
        <v>0</v>
      </c>
      <c r="N65" s="44">
        <f>+'IS-PBC'!M86</f>
        <v>1412</v>
      </c>
      <c r="O65" s="44">
        <f t="shared" si="6"/>
        <v>7437.75</v>
      </c>
      <c r="Q65" s="44">
        <f t="shared" si="4"/>
        <v>7437.75</v>
      </c>
    </row>
    <row r="66" spans="1:19" ht="15" customHeight="1">
      <c r="A66" s="223">
        <v>38</v>
      </c>
      <c r="B66" s="48" t="s">
        <v>545</v>
      </c>
      <c r="C66" s="44">
        <f>+'IS-PBC'!B87+'IS-PBC'!B81++'IS-PBC'!B80</f>
        <v>47.75</v>
      </c>
      <c r="D66" s="44">
        <f>+'IS-PBC'!C87+'IS-PBC'!C81++'IS-PBC'!C80</f>
        <v>3528</v>
      </c>
      <c r="E66" s="44">
        <f>+'IS-PBC'!D87+'IS-PBC'!D81++'IS-PBC'!D80</f>
        <v>0</v>
      </c>
      <c r="F66" s="44">
        <f>+'IS-PBC'!E87+'IS-PBC'!E81++'IS-PBC'!E80</f>
        <v>0</v>
      </c>
      <c r="G66" s="44">
        <f>+'IS-PBC'!F87+'IS-PBC'!F81++'IS-PBC'!F80</f>
        <v>0</v>
      </c>
      <c r="H66" s="44">
        <f>+'IS-PBC'!G87+'IS-PBC'!G81++'IS-PBC'!G80</f>
        <v>52</v>
      </c>
      <c r="I66" s="44">
        <f>+'IS-PBC'!H87+'IS-PBC'!H81++'IS-PBC'!H80</f>
        <v>55.75</v>
      </c>
      <c r="J66" s="44">
        <f>+'IS-PBC'!I87+'IS-PBC'!I81++'IS-PBC'!I80</f>
        <v>0</v>
      </c>
      <c r="K66" s="44">
        <f>+'IS-PBC'!J87+'IS-PBC'!J81++'IS-PBC'!J80</f>
        <v>1507</v>
      </c>
      <c r="L66" s="44">
        <f>+'IS-PBC'!K87+'IS-PBC'!K81++'IS-PBC'!K80</f>
        <v>0</v>
      </c>
      <c r="M66" s="44">
        <f>+'IS-PBC'!L87+'IS-PBC'!L81++'IS-PBC'!L80</f>
        <v>129.18</v>
      </c>
      <c r="N66" s="44">
        <f>+'IS-PBC'!M87+'IS-PBC'!M81++'IS-PBC'!M80</f>
        <v>26</v>
      </c>
      <c r="O66" s="44">
        <f>SUM(C66:N66)</f>
        <v>5345.68</v>
      </c>
      <c r="P66" s="44"/>
      <c r="Q66" s="44">
        <f t="shared" si="4"/>
        <v>5345.68</v>
      </c>
      <c r="R66" s="423"/>
      <c r="S66" s="44">
        <f>Q66+R66</f>
        <v>5345.68</v>
      </c>
    </row>
    <row r="67" spans="1:19" ht="15" customHeight="1">
      <c r="B67" s="48" t="s">
        <v>547</v>
      </c>
      <c r="C67" s="44">
        <f>+'IS-PBC'!B90</f>
        <v>80</v>
      </c>
      <c r="D67" s="44">
        <f>+'IS-PBC'!C90</f>
        <v>0</v>
      </c>
      <c r="E67" s="44">
        <f>+'IS-PBC'!D90</f>
        <v>-80</v>
      </c>
      <c r="F67" s="44">
        <f>+'IS-PBC'!E90</f>
        <v>0</v>
      </c>
      <c r="G67" s="44">
        <f>+'IS-PBC'!F90</f>
        <v>16</v>
      </c>
      <c r="H67" s="44">
        <f>+'IS-PBC'!G90</f>
        <v>0</v>
      </c>
      <c r="I67" s="44">
        <f>+'IS-PBC'!H90</f>
        <v>0</v>
      </c>
      <c r="J67" s="44">
        <f>+'IS-PBC'!I90</f>
        <v>0</v>
      </c>
      <c r="K67" s="44">
        <f>+'IS-PBC'!J90</f>
        <v>0</v>
      </c>
      <c r="L67" s="44">
        <f>+'IS-PBC'!K90</f>
        <v>0</v>
      </c>
      <c r="M67" s="44">
        <f>+'IS-PBC'!L90</f>
        <v>0</v>
      </c>
      <c r="N67" s="44">
        <f>+'IS-PBC'!M90</f>
        <v>0</v>
      </c>
      <c r="O67" s="44">
        <f>SUM(C67:N67)</f>
        <v>16</v>
      </c>
      <c r="P67" s="44"/>
      <c r="Q67" s="44">
        <f t="shared" si="4"/>
        <v>16</v>
      </c>
      <c r="R67" s="423"/>
      <c r="S67" s="44"/>
    </row>
    <row r="68" spans="1:19" ht="15" customHeight="1">
      <c r="B68" s="48" t="s">
        <v>490</v>
      </c>
      <c r="C68" s="44">
        <f>+'IS-PBC'!B88</f>
        <v>165.71</v>
      </c>
      <c r="D68" s="44">
        <f>+'IS-PBC'!C88</f>
        <v>0</v>
      </c>
      <c r="E68" s="44">
        <f>+'IS-PBC'!D88</f>
        <v>0</v>
      </c>
      <c r="F68" s="44">
        <f>+'IS-PBC'!E88</f>
        <v>0</v>
      </c>
      <c r="G68" s="44">
        <f>+'IS-PBC'!F88</f>
        <v>0</v>
      </c>
      <c r="H68" s="44">
        <f>+'IS-PBC'!G88</f>
        <v>16.07</v>
      </c>
      <c r="I68" s="44">
        <f>+'IS-PBC'!H88</f>
        <v>0</v>
      </c>
      <c r="J68" s="44">
        <f>+'IS-PBC'!I88</f>
        <v>6.23</v>
      </c>
      <c r="K68" s="44">
        <f>+'IS-PBC'!J88</f>
        <v>0</v>
      </c>
      <c r="L68" s="44">
        <f>+'IS-PBC'!K88</f>
        <v>0</v>
      </c>
      <c r="M68" s="44">
        <f>+'IS-PBC'!L88</f>
        <v>14.55</v>
      </c>
      <c r="N68" s="44">
        <f>+'IS-PBC'!M88</f>
        <v>0</v>
      </c>
      <c r="O68" s="44">
        <f t="shared" ref="O68:O69" si="7">SUM(C68:N68)</f>
        <v>202.56</v>
      </c>
      <c r="P68" s="44"/>
      <c r="Q68" s="44">
        <f t="shared" si="4"/>
        <v>202.56</v>
      </c>
      <c r="R68" s="423"/>
      <c r="S68" s="44"/>
    </row>
    <row r="69" spans="1:19" ht="15" customHeight="1">
      <c r="B69" s="48" t="s">
        <v>152</v>
      </c>
      <c r="C69" s="44">
        <f>+'IS-PBC'!B89</f>
        <v>0</v>
      </c>
      <c r="D69" s="44">
        <f>+'IS-PBC'!C89</f>
        <v>0</v>
      </c>
      <c r="E69" s="44">
        <f>+'IS-PBC'!D89</f>
        <v>0</v>
      </c>
      <c r="F69" s="44">
        <f>+'IS-PBC'!E89</f>
        <v>0</v>
      </c>
      <c r="G69" s="44">
        <f>+'IS-PBC'!F89</f>
        <v>32</v>
      </c>
      <c r="H69" s="44">
        <f>+'IS-PBC'!G89</f>
        <v>0</v>
      </c>
      <c r="I69" s="44">
        <f>+'IS-PBC'!H89</f>
        <v>0</v>
      </c>
      <c r="J69" s="44">
        <f>+'IS-PBC'!I89</f>
        <v>0</v>
      </c>
      <c r="K69" s="44">
        <f>+'IS-PBC'!J89</f>
        <v>0</v>
      </c>
      <c r="L69" s="44">
        <f>+'IS-PBC'!K89</f>
        <v>533.34</v>
      </c>
      <c r="M69" s="44">
        <f>+'IS-PBC'!L89</f>
        <v>0</v>
      </c>
      <c r="N69" s="44">
        <f>+'IS-PBC'!M89</f>
        <v>285</v>
      </c>
      <c r="O69" s="44">
        <f t="shared" si="7"/>
        <v>850.34</v>
      </c>
      <c r="P69" s="44"/>
      <c r="Q69" s="44">
        <f t="shared" si="4"/>
        <v>850.34</v>
      </c>
      <c r="R69" s="423"/>
      <c r="S69" s="44"/>
    </row>
    <row r="70" spans="1:19" ht="15" customHeight="1">
      <c r="A70" s="223">
        <v>40</v>
      </c>
      <c r="B70" s="48" t="s">
        <v>548</v>
      </c>
      <c r="C70" s="44">
        <f>+'IS-PBC'!B91</f>
        <v>10.77</v>
      </c>
      <c r="D70" s="44">
        <f>+'IS-PBC'!C91</f>
        <v>4264.4399999999996</v>
      </c>
      <c r="E70" s="44">
        <f>+'IS-PBC'!D91</f>
        <v>642.49</v>
      </c>
      <c r="F70" s="44">
        <f>+'IS-PBC'!E91</f>
        <v>4636.3900000000003</v>
      </c>
      <c r="G70" s="44">
        <f>+'IS-PBC'!F91</f>
        <v>3542.3</v>
      </c>
      <c r="H70" s="44">
        <f>+'IS-PBC'!G91</f>
        <v>659.73</v>
      </c>
      <c r="I70" s="44">
        <f>+'IS-PBC'!H91</f>
        <v>1932.11</v>
      </c>
      <c r="J70" s="44">
        <f>+'IS-PBC'!I91</f>
        <v>5033.6400000000003</v>
      </c>
      <c r="K70" s="44">
        <f>+'IS-PBC'!J91</f>
        <v>1931.75</v>
      </c>
      <c r="L70" s="44">
        <f>+'IS-PBC'!K91</f>
        <v>1142.67</v>
      </c>
      <c r="M70" s="44">
        <f>+'IS-PBC'!L91</f>
        <v>4535.54</v>
      </c>
      <c r="N70" s="44">
        <f>+'IS-PBC'!M91</f>
        <v>1140.97</v>
      </c>
      <c r="O70" s="44">
        <f t="shared" si="6"/>
        <v>29472.800000000003</v>
      </c>
      <c r="P70" s="44"/>
      <c r="Q70" s="44">
        <f t="shared" si="4"/>
        <v>29472.800000000003</v>
      </c>
      <c r="R70" s="423"/>
      <c r="S70" s="44">
        <f t="shared" si="5"/>
        <v>29472.800000000003</v>
      </c>
    </row>
    <row r="71" spans="1:19" ht="15" customHeight="1">
      <c r="A71" s="223">
        <v>41</v>
      </c>
      <c r="B71" s="48" t="s">
        <v>549</v>
      </c>
      <c r="C71" s="44">
        <f>+'IS-PBC'!B93</f>
        <v>457.31</v>
      </c>
      <c r="D71" s="44">
        <f>+'IS-PBC'!C93</f>
        <v>114.24</v>
      </c>
      <c r="E71" s="44">
        <f>+'IS-PBC'!D93</f>
        <v>36.01</v>
      </c>
      <c r="F71" s="44">
        <f>+'IS-PBC'!E93</f>
        <v>844.94</v>
      </c>
      <c r="G71" s="44">
        <f>+'IS-PBC'!F93</f>
        <v>108.83</v>
      </c>
      <c r="H71" s="44">
        <f>+'IS-PBC'!G93</f>
        <v>89.5</v>
      </c>
      <c r="I71" s="44">
        <f>+'IS-PBC'!H93</f>
        <v>117.21</v>
      </c>
      <c r="J71" s="44">
        <f>+'IS-PBC'!I93</f>
        <v>99.43</v>
      </c>
      <c r="K71" s="44">
        <f>+'IS-PBC'!J93</f>
        <v>1848.81</v>
      </c>
      <c r="L71" s="44">
        <f>+'IS-PBC'!K93</f>
        <v>243.72</v>
      </c>
      <c r="M71" s="44">
        <f>+'IS-PBC'!L93</f>
        <v>1662.13</v>
      </c>
      <c r="N71" s="44">
        <f>+'IS-PBC'!M93</f>
        <v>742.89</v>
      </c>
      <c r="O71" s="44">
        <f t="shared" si="6"/>
        <v>6365.0199999999995</v>
      </c>
      <c r="P71" s="44"/>
      <c r="Q71" s="44">
        <f t="shared" si="4"/>
        <v>6365.0199999999995</v>
      </c>
      <c r="R71" s="423"/>
      <c r="S71" s="44">
        <f t="shared" si="5"/>
        <v>6365.0199999999995</v>
      </c>
    </row>
    <row r="72" spans="1:19" ht="15" customHeight="1">
      <c r="A72" s="223">
        <v>42</v>
      </c>
      <c r="B72" s="48" t="s">
        <v>20</v>
      </c>
      <c r="C72" s="44">
        <f>+'IS-PBC'!B94</f>
        <v>2022.62</v>
      </c>
      <c r="D72" s="44">
        <f>+'IS-PBC'!C94</f>
        <v>1005</v>
      </c>
      <c r="E72" s="44">
        <f>+'IS-PBC'!D94</f>
        <v>2315.5700000000002</v>
      </c>
      <c r="F72" s="44">
        <f>+'IS-PBC'!E94</f>
        <v>2015</v>
      </c>
      <c r="G72" s="44">
        <f>+'IS-PBC'!F94</f>
        <v>2015</v>
      </c>
      <c r="H72" s="44">
        <f>+'IS-PBC'!G94</f>
        <v>2064.9899999999998</v>
      </c>
      <c r="I72" s="44">
        <f>+'IS-PBC'!H94</f>
        <v>2015</v>
      </c>
      <c r="J72" s="44">
        <f>+'IS-PBC'!I94</f>
        <v>2015</v>
      </c>
      <c r="K72" s="44">
        <f>+'IS-PBC'!J94</f>
        <v>3454.37</v>
      </c>
      <c r="L72" s="44">
        <f>+'IS-PBC'!K94</f>
        <v>2100</v>
      </c>
      <c r="M72" s="44">
        <f>+'IS-PBC'!L94</f>
        <v>2000</v>
      </c>
      <c r="N72" s="44">
        <f>+'IS-PBC'!M94</f>
        <v>2507.81</v>
      </c>
      <c r="O72" s="44">
        <f t="shared" si="6"/>
        <v>25530.36</v>
      </c>
      <c r="P72" s="44"/>
      <c r="Q72" s="44">
        <f t="shared" si="4"/>
        <v>25530.36</v>
      </c>
      <c r="R72" s="423"/>
      <c r="S72" s="44">
        <f t="shared" si="5"/>
        <v>25530.36</v>
      </c>
    </row>
    <row r="73" spans="1:19" ht="15" customHeight="1">
      <c r="A73" s="223">
        <v>43</v>
      </c>
      <c r="B73" s="48" t="s">
        <v>550</v>
      </c>
      <c r="C73" s="44">
        <f>+'IS-PBC'!B95+'IS-PBC'!B92</f>
        <v>0</v>
      </c>
      <c r="D73" s="44">
        <f>+'IS-PBC'!C95+'IS-PBC'!C92</f>
        <v>225</v>
      </c>
      <c r="E73" s="44">
        <f>+'IS-PBC'!D95+'IS-PBC'!D92</f>
        <v>-532.94000000000005</v>
      </c>
      <c r="F73" s="44">
        <f>+'IS-PBC'!E95+'IS-PBC'!E92</f>
        <v>0</v>
      </c>
      <c r="G73" s="44">
        <f>+'IS-PBC'!F95+'IS-PBC'!F92</f>
        <v>0</v>
      </c>
      <c r="H73" s="44">
        <f>+'IS-PBC'!G95+'IS-PBC'!G92</f>
        <v>-143.66999999999999</v>
      </c>
      <c r="I73" s="44">
        <f>+'IS-PBC'!H95+'IS-PBC'!H92</f>
        <v>0</v>
      </c>
      <c r="J73" s="44">
        <f>+'IS-PBC'!I95+'IS-PBC'!I92</f>
        <v>0</v>
      </c>
      <c r="K73" s="44">
        <f>+'IS-PBC'!J95+'IS-PBC'!J92</f>
        <v>157.07</v>
      </c>
      <c r="L73" s="44">
        <f>+'IS-PBC'!K95+'IS-PBC'!K92</f>
        <v>0</v>
      </c>
      <c r="M73" s="44">
        <f>+'IS-PBC'!L95+'IS-PBC'!L92</f>
        <v>0</v>
      </c>
      <c r="N73" s="44">
        <f>+'IS-PBC'!M95+'IS-PBC'!M92</f>
        <v>274</v>
      </c>
      <c r="O73" s="44">
        <f>SUM(C73:N73)</f>
        <v>-20.54000000000002</v>
      </c>
      <c r="P73" s="44"/>
      <c r="Q73" s="44">
        <f t="shared" si="4"/>
        <v>-20.54000000000002</v>
      </c>
      <c r="R73" s="423"/>
      <c r="S73" s="44">
        <f t="shared" si="5"/>
        <v>-20.54000000000002</v>
      </c>
    </row>
    <row r="74" spans="1:19" ht="15" customHeight="1">
      <c r="A74" s="223">
        <v>44</v>
      </c>
      <c r="B74" s="48" t="s">
        <v>499</v>
      </c>
      <c r="C74" s="44">
        <f>+'IS-PBC'!B98</f>
        <v>7656</v>
      </c>
      <c r="D74" s="44">
        <f>+'IS-PBC'!C98</f>
        <v>2064.83</v>
      </c>
      <c r="E74" s="44">
        <f>+'IS-PBC'!D98</f>
        <v>11054.32</v>
      </c>
      <c r="F74" s="44">
        <f>+'IS-PBC'!E98</f>
        <v>9437.7800000000007</v>
      </c>
      <c r="G74" s="44">
        <f>+'IS-PBC'!F98</f>
        <v>3498.52</v>
      </c>
      <c r="H74" s="44">
        <f>+'IS-PBC'!G98</f>
        <v>8697.26</v>
      </c>
      <c r="I74" s="44">
        <f>+'IS-PBC'!H98</f>
        <v>3706.11</v>
      </c>
      <c r="J74" s="44">
        <f>+'IS-PBC'!I98</f>
        <v>8518.85</v>
      </c>
      <c r="K74" s="44">
        <f>+'IS-PBC'!J98</f>
        <v>4380.6899999999996</v>
      </c>
      <c r="L74" s="44">
        <f>+'IS-PBC'!K98</f>
        <v>13120.9</v>
      </c>
      <c r="M74" s="44">
        <f>+'IS-PBC'!L98</f>
        <v>8452.2199999999993</v>
      </c>
      <c r="N74" s="44">
        <f>+'IS-PBC'!M98</f>
        <v>46047.46</v>
      </c>
      <c r="O74" s="44">
        <f t="shared" si="6"/>
        <v>126634.94</v>
      </c>
      <c r="P74" s="44"/>
      <c r="Q74" s="44">
        <f t="shared" ref="Q74:Q95" si="8">O74+P74</f>
        <v>126634.94</v>
      </c>
      <c r="R74" s="423"/>
      <c r="S74" s="44">
        <f t="shared" si="5"/>
        <v>126634.94</v>
      </c>
    </row>
    <row r="75" spans="1:19" ht="15" customHeight="1">
      <c r="A75" s="223">
        <v>45</v>
      </c>
      <c r="B75" s="48" t="s">
        <v>172</v>
      </c>
      <c r="C75" s="44">
        <f>+'IS-PBC'!B99</f>
        <v>0</v>
      </c>
      <c r="D75" s="44">
        <f>+'IS-PBC'!C99</f>
        <v>0</v>
      </c>
      <c r="E75" s="44">
        <f>+'IS-PBC'!D99</f>
        <v>0</v>
      </c>
      <c r="F75" s="44">
        <f>+'IS-PBC'!E99</f>
        <v>0</v>
      </c>
      <c r="G75" s="44">
        <f>+'IS-PBC'!F99</f>
        <v>0</v>
      </c>
      <c r="H75" s="44">
        <f>+'IS-PBC'!G99</f>
        <v>176</v>
      </c>
      <c r="I75" s="44">
        <f>+'IS-PBC'!H99</f>
        <v>0</v>
      </c>
      <c r="J75" s="44">
        <f>+'IS-PBC'!I99</f>
        <v>0</v>
      </c>
      <c r="K75" s="44">
        <f>+'IS-PBC'!J99</f>
        <v>0</v>
      </c>
      <c r="L75" s="44">
        <f>+'IS-PBC'!K99</f>
        <v>0</v>
      </c>
      <c r="M75" s="44">
        <f>+'IS-PBC'!L99</f>
        <v>0</v>
      </c>
      <c r="N75" s="44">
        <f>+'IS-PBC'!M99</f>
        <v>548</v>
      </c>
      <c r="O75" s="44">
        <f t="shared" si="6"/>
        <v>724</v>
      </c>
      <c r="P75" s="44"/>
      <c r="Q75" s="44">
        <f t="shared" si="8"/>
        <v>724</v>
      </c>
      <c r="R75" s="423"/>
      <c r="S75" s="44">
        <f t="shared" si="5"/>
        <v>724</v>
      </c>
    </row>
    <row r="76" spans="1:19" ht="15" customHeight="1">
      <c r="A76" s="223">
        <v>47</v>
      </c>
      <c r="B76" s="48" t="s">
        <v>501</v>
      </c>
      <c r="C76" s="44">
        <f>+'IS-PBC'!B101</f>
        <v>0</v>
      </c>
      <c r="D76" s="44">
        <f>+'IS-PBC'!C101</f>
        <v>185.07</v>
      </c>
      <c r="E76" s="44">
        <f>+'IS-PBC'!D101</f>
        <v>198.52</v>
      </c>
      <c r="F76" s="44">
        <f>+'IS-PBC'!E101</f>
        <v>0</v>
      </c>
      <c r="G76" s="44">
        <f>+'IS-PBC'!F101</f>
        <v>99.26</v>
      </c>
      <c r="H76" s="44">
        <f>+'IS-PBC'!G101</f>
        <v>99.26</v>
      </c>
      <c r="I76" s="44">
        <f>+'IS-PBC'!H101</f>
        <v>99.26</v>
      </c>
      <c r="J76" s="44">
        <f>+'IS-PBC'!I101</f>
        <v>99.26</v>
      </c>
      <c r="K76" s="44">
        <f>+'IS-PBC'!J101</f>
        <v>1347.58</v>
      </c>
      <c r="L76" s="44">
        <f>+'IS-PBC'!K101</f>
        <v>140.66</v>
      </c>
      <c r="M76" s="44">
        <f>+'IS-PBC'!L101</f>
        <v>281.52999999999997</v>
      </c>
      <c r="N76" s="44">
        <f>+'IS-PBC'!M101</f>
        <v>498.04</v>
      </c>
      <c r="O76" s="44">
        <f t="shared" si="6"/>
        <v>3048.4399999999996</v>
      </c>
      <c r="P76" s="44"/>
      <c r="Q76" s="44">
        <f t="shared" si="8"/>
        <v>3048.4399999999996</v>
      </c>
      <c r="R76" s="423"/>
      <c r="S76" s="44">
        <f t="shared" si="5"/>
        <v>3048.4399999999996</v>
      </c>
    </row>
    <row r="77" spans="1:19" ht="15" customHeight="1">
      <c r="A77" s="223">
        <v>48</v>
      </c>
      <c r="B77" s="48" t="s">
        <v>502</v>
      </c>
      <c r="C77" s="44">
        <f>+'IS-PBC'!B102</f>
        <v>0</v>
      </c>
      <c r="D77" s="44">
        <f>+'IS-PBC'!C102</f>
        <v>8725</v>
      </c>
      <c r="E77" s="44">
        <f>+'IS-PBC'!D102</f>
        <v>0</v>
      </c>
      <c r="F77" s="44">
        <f>+'IS-PBC'!E102</f>
        <v>0</v>
      </c>
      <c r="G77" s="44">
        <f>+'IS-PBC'!F102</f>
        <v>3450</v>
      </c>
      <c r="H77" s="44">
        <f>+'IS-PBC'!G102</f>
        <v>0</v>
      </c>
      <c r="I77" s="44">
        <f>+'IS-PBC'!H102</f>
        <v>0</v>
      </c>
      <c r="J77" s="44">
        <f>+'IS-PBC'!I102</f>
        <v>4460.3999999999996</v>
      </c>
      <c r="K77" s="44">
        <f>+'IS-PBC'!J102</f>
        <v>0</v>
      </c>
      <c r="L77" s="44">
        <f>+'IS-PBC'!K102</f>
        <v>216</v>
      </c>
      <c r="M77" s="44">
        <f>+'IS-PBC'!L102</f>
        <v>6149.9</v>
      </c>
      <c r="N77" s="44">
        <f>+'IS-PBC'!M102</f>
        <v>0</v>
      </c>
      <c r="O77" s="44">
        <f t="shared" si="6"/>
        <v>23001.300000000003</v>
      </c>
      <c r="P77" s="44"/>
      <c r="Q77" s="44">
        <f t="shared" si="8"/>
        <v>23001.300000000003</v>
      </c>
      <c r="R77" s="423"/>
      <c r="S77" s="44">
        <f t="shared" si="5"/>
        <v>23001.300000000003</v>
      </c>
    </row>
    <row r="78" spans="1:19" ht="15" customHeight="1">
      <c r="A78" s="223">
        <v>51</v>
      </c>
      <c r="B78" s="48" t="s">
        <v>505</v>
      </c>
      <c r="C78" s="44">
        <f>+'IS-PBC'!B105</f>
        <v>418.38</v>
      </c>
      <c r="D78" s="44">
        <f>+'IS-PBC'!C105</f>
        <v>225.26</v>
      </c>
      <c r="E78" s="44">
        <f>+'IS-PBC'!D105</f>
        <v>113.72</v>
      </c>
      <c r="F78" s="44">
        <f>+'IS-PBC'!E105</f>
        <v>0</v>
      </c>
      <c r="G78" s="44">
        <f>+'IS-PBC'!F105</f>
        <v>257.70999999999998</v>
      </c>
      <c r="H78" s="44">
        <f>+'IS-PBC'!G105</f>
        <v>25245.82</v>
      </c>
      <c r="I78" s="44">
        <f>+'IS-PBC'!H105</f>
        <v>6902.15</v>
      </c>
      <c r="J78" s="44">
        <f>+'IS-PBC'!I105</f>
        <v>366.52</v>
      </c>
      <c r="K78" s="44">
        <f>+'IS-PBC'!J105</f>
        <v>1941.91</v>
      </c>
      <c r="L78" s="44">
        <f>+'IS-PBC'!K105</f>
        <v>11007.92</v>
      </c>
      <c r="M78" s="44">
        <f>+'IS-PBC'!L105</f>
        <v>-5257.82</v>
      </c>
      <c r="N78" s="44">
        <f>+'IS-PBC'!M105</f>
        <v>613.33000000000004</v>
      </c>
      <c r="O78" s="44">
        <f t="shared" si="6"/>
        <v>41834.9</v>
      </c>
      <c r="P78" s="44"/>
      <c r="Q78" s="44">
        <f t="shared" si="8"/>
        <v>41834.9</v>
      </c>
      <c r="R78" s="423"/>
      <c r="S78" s="44">
        <f t="shared" si="5"/>
        <v>41834.9</v>
      </c>
    </row>
    <row r="79" spans="1:19" ht="15" customHeight="1">
      <c r="A79" s="223">
        <v>52</v>
      </c>
      <c r="B79" s="48" t="s">
        <v>506</v>
      </c>
      <c r="C79" s="44">
        <f>+'IS-PBC'!B106</f>
        <v>434.91</v>
      </c>
      <c r="D79" s="44">
        <f>+'IS-PBC'!C106</f>
        <v>0</v>
      </c>
      <c r="E79" s="44">
        <f>+'IS-PBC'!D106</f>
        <v>0</v>
      </c>
      <c r="F79" s="44">
        <f>+'IS-PBC'!E106</f>
        <v>498.56</v>
      </c>
      <c r="G79" s="44">
        <f>+'IS-PBC'!F106</f>
        <v>0</v>
      </c>
      <c r="H79" s="44">
        <f>+'IS-PBC'!G106</f>
        <v>0</v>
      </c>
      <c r="I79" s="44">
        <f>+'IS-PBC'!H106</f>
        <v>0</v>
      </c>
      <c r="J79" s="44">
        <f>+'IS-PBC'!I106</f>
        <v>0</v>
      </c>
      <c r="K79" s="44">
        <f>+'IS-PBC'!J106</f>
        <v>526.98</v>
      </c>
      <c r="L79" s="44">
        <f>+'IS-PBC'!K106</f>
        <v>0</v>
      </c>
      <c r="M79" s="44">
        <f>+'IS-PBC'!L106</f>
        <v>0</v>
      </c>
      <c r="N79" s="44">
        <f>+'IS-PBC'!M106</f>
        <v>0</v>
      </c>
      <c r="O79" s="44">
        <f t="shared" si="6"/>
        <v>1460.45</v>
      </c>
      <c r="P79" s="44"/>
      <c r="Q79" s="44">
        <f t="shared" si="8"/>
        <v>1460.45</v>
      </c>
      <c r="R79" s="423"/>
      <c r="S79" s="44">
        <f t="shared" si="5"/>
        <v>1460.45</v>
      </c>
    </row>
    <row r="80" spans="1:19" ht="15" customHeight="1">
      <c r="A80" s="223">
        <v>53</v>
      </c>
      <c r="B80" s="48" t="s">
        <v>552</v>
      </c>
      <c r="C80" s="44">
        <f>+'IS-PBC'!B107</f>
        <v>0</v>
      </c>
      <c r="D80" s="44">
        <f>+'IS-PBC'!C107</f>
        <v>0</v>
      </c>
      <c r="E80" s="44">
        <f>+'IS-PBC'!D107</f>
        <v>0</v>
      </c>
      <c r="F80" s="44">
        <f>+'IS-PBC'!E107</f>
        <v>0</v>
      </c>
      <c r="G80" s="44">
        <f>+'IS-PBC'!F107</f>
        <v>0</v>
      </c>
      <c r="H80" s="44">
        <f>+'IS-PBC'!G107</f>
        <v>0</v>
      </c>
      <c r="I80" s="44">
        <f>+'IS-PBC'!H107</f>
        <v>0</v>
      </c>
      <c r="J80" s="44">
        <f>+'IS-PBC'!I107</f>
        <v>474</v>
      </c>
      <c r="K80" s="44">
        <f>+'IS-PBC'!J107</f>
        <v>0</v>
      </c>
      <c r="L80" s="44">
        <f>+'IS-PBC'!K107</f>
        <v>0</v>
      </c>
      <c r="M80" s="44">
        <f>+'IS-PBC'!L107</f>
        <v>300.8</v>
      </c>
      <c r="N80" s="44">
        <f>+'IS-PBC'!M107</f>
        <v>0</v>
      </c>
      <c r="O80" s="44">
        <f>SUM(C80:N80)</f>
        <v>774.8</v>
      </c>
      <c r="P80" s="44"/>
      <c r="Q80" s="44">
        <f>O80+P80</f>
        <v>774.8</v>
      </c>
      <c r="R80" s="423"/>
      <c r="S80" s="44">
        <f t="shared" si="5"/>
        <v>774.8</v>
      </c>
    </row>
    <row r="81" spans="1:27" ht="15" customHeight="1">
      <c r="A81" s="223">
        <v>54</v>
      </c>
      <c r="B81" s="48" t="s">
        <v>554</v>
      </c>
      <c r="C81" s="44">
        <f>+'IS-PBC'!B108</f>
        <v>0</v>
      </c>
      <c r="D81" s="44">
        <f>+'IS-PBC'!C108</f>
        <v>0</v>
      </c>
      <c r="E81" s="44">
        <f>+'IS-PBC'!D108</f>
        <v>0</v>
      </c>
      <c r="F81" s="44">
        <f>+'IS-PBC'!E108</f>
        <v>0</v>
      </c>
      <c r="G81" s="44">
        <f>+'IS-PBC'!F108</f>
        <v>0</v>
      </c>
      <c r="H81" s="44">
        <f>+'IS-PBC'!G108</f>
        <v>210.22</v>
      </c>
      <c r="I81" s="44">
        <f>+'IS-PBC'!H108</f>
        <v>0</v>
      </c>
      <c r="J81" s="44">
        <f>+'IS-PBC'!I108</f>
        <v>6400</v>
      </c>
      <c r="K81" s="44">
        <f>+'IS-PBC'!J108</f>
        <v>0</v>
      </c>
      <c r="L81" s="44">
        <f>+'IS-PBC'!K108</f>
        <v>0</v>
      </c>
      <c r="M81" s="44">
        <f>+'IS-PBC'!L108</f>
        <v>0</v>
      </c>
      <c r="N81" s="44">
        <f>+'IS-PBC'!M108</f>
        <v>0</v>
      </c>
      <c r="O81" s="44">
        <f t="shared" si="6"/>
        <v>6610.22</v>
      </c>
      <c r="P81" s="44"/>
      <c r="Q81" s="44">
        <f t="shared" si="8"/>
        <v>6610.22</v>
      </c>
      <c r="R81" s="423"/>
      <c r="S81" s="44">
        <f t="shared" si="5"/>
        <v>6610.22</v>
      </c>
    </row>
    <row r="82" spans="1:27" ht="15" customHeight="1">
      <c r="A82" s="223">
        <v>55</v>
      </c>
      <c r="B82" s="48" t="s">
        <v>553</v>
      </c>
      <c r="C82" s="44">
        <f>+'IS-PBC'!B109</f>
        <v>10700</v>
      </c>
      <c r="D82" s="44">
        <f>+'IS-PBC'!C109</f>
        <v>10700</v>
      </c>
      <c r="E82" s="44">
        <f>+'IS-PBC'!D109</f>
        <v>10700</v>
      </c>
      <c r="F82" s="44">
        <f>+'IS-PBC'!E109</f>
        <v>10700</v>
      </c>
      <c r="G82" s="44">
        <f>+'IS-PBC'!F109</f>
        <v>10700</v>
      </c>
      <c r="H82" s="44">
        <f>+'IS-PBC'!G109</f>
        <v>10700</v>
      </c>
      <c r="I82" s="44">
        <f>+'IS-PBC'!H109</f>
        <v>10700</v>
      </c>
      <c r="J82" s="44">
        <f>+'IS-PBC'!I109</f>
        <v>10700</v>
      </c>
      <c r="K82" s="44">
        <f>+'IS-PBC'!J109</f>
        <v>10700</v>
      </c>
      <c r="L82" s="44">
        <f>+'IS-PBC'!K109</f>
        <v>10700</v>
      </c>
      <c r="M82" s="44">
        <f>+'IS-PBC'!L109</f>
        <v>10700</v>
      </c>
      <c r="N82" s="44">
        <f>+'IS-PBC'!M109</f>
        <v>10700</v>
      </c>
      <c r="O82" s="44">
        <f t="shared" si="6"/>
        <v>128400</v>
      </c>
      <c r="P82" s="44"/>
      <c r="Q82" s="44">
        <f t="shared" si="8"/>
        <v>128400</v>
      </c>
      <c r="R82" s="423"/>
      <c r="S82" s="44">
        <f t="shared" si="5"/>
        <v>128400</v>
      </c>
    </row>
    <row r="83" spans="1:27" ht="15" customHeight="1">
      <c r="A83" s="223">
        <v>56</v>
      </c>
      <c r="B83" s="48" t="s">
        <v>555</v>
      </c>
      <c r="C83" s="44">
        <f>+'IS-PBC'!B110</f>
        <v>1004.76</v>
      </c>
      <c r="D83" s="44">
        <f>+'IS-PBC'!C110</f>
        <v>16894.21</v>
      </c>
      <c r="E83" s="44">
        <f>+'IS-PBC'!D110</f>
        <v>1086.1500000000001</v>
      </c>
      <c r="F83" s="44">
        <f>+'IS-PBC'!E110</f>
        <v>2023.01</v>
      </c>
      <c r="G83" s="44">
        <f>+'IS-PBC'!F110</f>
        <v>1125.3699999999999</v>
      </c>
      <c r="H83" s="44">
        <f>+'IS-PBC'!G110</f>
        <v>6788.47</v>
      </c>
      <c r="I83" s="44">
        <f>+'IS-PBC'!H110</f>
        <v>726.71</v>
      </c>
      <c r="J83" s="44">
        <f>+'IS-PBC'!I110</f>
        <v>1294.69</v>
      </c>
      <c r="K83" s="44">
        <f>+'IS-PBC'!J110</f>
        <v>35920.400000000001</v>
      </c>
      <c r="L83" s="44">
        <f>+'IS-PBC'!K110</f>
        <v>1010.06</v>
      </c>
      <c r="M83" s="44">
        <f>+'IS-PBC'!L110</f>
        <v>612.92999999999995</v>
      </c>
      <c r="N83" s="44">
        <f>+'IS-PBC'!M110</f>
        <v>1477.18</v>
      </c>
      <c r="O83" s="44">
        <f t="shared" si="6"/>
        <v>69963.939999999973</v>
      </c>
      <c r="P83" s="44"/>
      <c r="Q83" s="44">
        <f t="shared" si="8"/>
        <v>69963.939999999973</v>
      </c>
      <c r="R83" s="423"/>
      <c r="S83" s="44">
        <f t="shared" si="5"/>
        <v>69963.939999999973</v>
      </c>
    </row>
    <row r="84" spans="1:27" ht="15" customHeight="1">
      <c r="A84" s="223">
        <v>57</v>
      </c>
      <c r="B84" s="48" t="s">
        <v>556</v>
      </c>
      <c r="C84" s="44">
        <f>+'IS-PBC'!B111</f>
        <v>1849.3</v>
      </c>
      <c r="D84" s="44">
        <f>+'IS-PBC'!C111</f>
        <v>4707.1400000000003</v>
      </c>
      <c r="E84" s="44">
        <f>+'IS-PBC'!D111</f>
        <v>3264.31</v>
      </c>
      <c r="F84" s="44">
        <f>+'IS-PBC'!E111</f>
        <v>2209.0300000000002</v>
      </c>
      <c r="G84" s="44">
        <f>+'IS-PBC'!F111</f>
        <v>2468.9499999999998</v>
      </c>
      <c r="H84" s="44">
        <f>+'IS-PBC'!G111</f>
        <v>1332.19</v>
      </c>
      <c r="I84" s="44">
        <f>+'IS-PBC'!H111</f>
        <v>2358.8000000000002</v>
      </c>
      <c r="J84" s="44">
        <f>+'IS-PBC'!I111</f>
        <v>1277.4000000000001</v>
      </c>
      <c r="K84" s="44">
        <f>+'IS-PBC'!J111</f>
        <v>3379.98</v>
      </c>
      <c r="L84" s="44">
        <f>+'IS-PBC'!K111</f>
        <v>1272.01</v>
      </c>
      <c r="M84" s="44">
        <f>+'IS-PBC'!L111</f>
        <v>1539.21</v>
      </c>
      <c r="N84" s="44">
        <f>+'IS-PBC'!M111</f>
        <v>2356</v>
      </c>
      <c r="O84" s="44">
        <f t="shared" si="6"/>
        <v>28014.32</v>
      </c>
      <c r="P84" s="44"/>
      <c r="Q84" s="44">
        <f t="shared" si="8"/>
        <v>28014.32</v>
      </c>
      <c r="R84" s="423"/>
      <c r="S84" s="44">
        <f t="shared" si="5"/>
        <v>28014.32</v>
      </c>
    </row>
    <row r="85" spans="1:27" ht="15" customHeight="1">
      <c r="A85" s="223">
        <v>58</v>
      </c>
      <c r="B85" s="48" t="s">
        <v>557</v>
      </c>
      <c r="C85" s="44">
        <f>+'IS-PBC'!B112</f>
        <v>39</v>
      </c>
      <c r="D85" s="44">
        <f>+'IS-PBC'!C112</f>
        <v>169</v>
      </c>
      <c r="E85" s="44">
        <f>+'IS-PBC'!D112</f>
        <v>208</v>
      </c>
      <c r="F85" s="44">
        <f>+'IS-PBC'!E112</f>
        <v>26</v>
      </c>
      <c r="G85" s="44">
        <f>+'IS-PBC'!F112</f>
        <v>288</v>
      </c>
      <c r="H85" s="44">
        <f>+'IS-PBC'!G112</f>
        <v>0</v>
      </c>
      <c r="I85" s="44">
        <f>+'IS-PBC'!H112</f>
        <v>0</v>
      </c>
      <c r="J85" s="44">
        <f>+'IS-PBC'!I112</f>
        <v>0</v>
      </c>
      <c r="K85" s="44">
        <f>+'IS-PBC'!J112</f>
        <v>356.9</v>
      </c>
      <c r="L85" s="44">
        <f>+'IS-PBC'!K112</f>
        <v>91</v>
      </c>
      <c r="M85" s="44">
        <f>+'IS-PBC'!L112</f>
        <v>136.5</v>
      </c>
      <c r="N85" s="44">
        <f>+'IS-PBC'!M112</f>
        <v>0</v>
      </c>
      <c r="O85" s="44">
        <f t="shared" si="6"/>
        <v>1314.4</v>
      </c>
      <c r="P85" s="44"/>
      <c r="Q85" s="44">
        <f t="shared" si="8"/>
        <v>1314.4</v>
      </c>
      <c r="R85" s="423"/>
      <c r="S85" s="44">
        <f t="shared" si="5"/>
        <v>1314.4</v>
      </c>
    </row>
    <row r="86" spans="1:27" ht="15" customHeight="1">
      <c r="A86" s="223">
        <v>59</v>
      </c>
      <c r="B86" s="48" t="s">
        <v>513</v>
      </c>
      <c r="C86" s="44">
        <f>+'IS-PBC'!B113</f>
        <v>87</v>
      </c>
      <c r="D86" s="44">
        <f>+'IS-PBC'!C113</f>
        <v>87</v>
      </c>
      <c r="E86" s="44">
        <f>+'IS-PBC'!D113</f>
        <v>87</v>
      </c>
      <c r="F86" s="44">
        <f>+'IS-PBC'!E113</f>
        <v>87</v>
      </c>
      <c r="G86" s="44">
        <f>+'IS-PBC'!F113</f>
        <v>87</v>
      </c>
      <c r="H86" s="44">
        <f>+'IS-PBC'!G113</f>
        <v>87</v>
      </c>
      <c r="I86" s="44">
        <f>+'IS-PBC'!H113</f>
        <v>87</v>
      </c>
      <c r="J86" s="44">
        <f>+'IS-PBC'!I113</f>
        <v>87</v>
      </c>
      <c r="K86" s="44">
        <f>+'IS-PBC'!J113</f>
        <v>87</v>
      </c>
      <c r="L86" s="44">
        <f>+'IS-PBC'!K113</f>
        <v>87</v>
      </c>
      <c r="M86" s="44">
        <f>+'IS-PBC'!L113</f>
        <v>87</v>
      </c>
      <c r="N86" s="44">
        <f>+'IS-PBC'!M113</f>
        <v>87</v>
      </c>
      <c r="O86" s="44">
        <f t="shared" si="6"/>
        <v>1044</v>
      </c>
      <c r="P86" s="44"/>
      <c r="Q86" s="44">
        <f t="shared" si="8"/>
        <v>1044</v>
      </c>
      <c r="R86" s="423"/>
      <c r="S86" s="44">
        <f t="shared" si="5"/>
        <v>1044</v>
      </c>
    </row>
    <row r="87" spans="1:27" ht="15" customHeight="1">
      <c r="A87" s="223">
        <v>60</v>
      </c>
      <c r="B87" s="48" t="s">
        <v>514</v>
      </c>
      <c r="C87" s="44">
        <f>+'IS-PBC'!B114</f>
        <v>409.64</v>
      </c>
      <c r="D87" s="44">
        <f>+'IS-PBC'!C114</f>
        <v>0</v>
      </c>
      <c r="E87" s="44">
        <f>+'IS-PBC'!D114</f>
        <v>1203.8800000000001</v>
      </c>
      <c r="F87" s="44">
        <f>+'IS-PBC'!E114</f>
        <v>2805.64</v>
      </c>
      <c r="G87" s="44">
        <f>+'IS-PBC'!F114</f>
        <v>424.64</v>
      </c>
      <c r="H87" s="44">
        <f>+'IS-PBC'!G114</f>
        <v>634.64</v>
      </c>
      <c r="I87" s="44">
        <f>+'IS-PBC'!H114</f>
        <v>512.04999999999995</v>
      </c>
      <c r="J87" s="44">
        <f>+'IS-PBC'!I114</f>
        <v>409.64</v>
      </c>
      <c r="K87" s="44">
        <f>+'IS-PBC'!J114</f>
        <v>0</v>
      </c>
      <c r="L87" s="44">
        <f>+'IS-PBC'!K114</f>
        <v>716.87</v>
      </c>
      <c r="M87" s="44">
        <f>+'IS-PBC'!L114</f>
        <v>0</v>
      </c>
      <c r="N87" s="44">
        <f>+'IS-PBC'!M114</f>
        <v>731.87</v>
      </c>
      <c r="O87" s="44">
        <f t="shared" si="6"/>
        <v>7848.8700000000008</v>
      </c>
      <c r="P87" s="44"/>
      <c r="Q87" s="44">
        <f t="shared" si="8"/>
        <v>7848.8700000000008</v>
      </c>
      <c r="R87" s="423"/>
      <c r="S87" s="44">
        <f t="shared" si="5"/>
        <v>7848.8700000000008</v>
      </c>
    </row>
    <row r="88" spans="1:27" ht="15" customHeight="1">
      <c r="A88" s="223">
        <v>61</v>
      </c>
      <c r="B88" s="48" t="s">
        <v>515</v>
      </c>
      <c r="C88" s="44">
        <f>+'IS-PBC'!B115</f>
        <v>0</v>
      </c>
      <c r="D88" s="44">
        <f>+'IS-PBC'!C115</f>
        <v>369.2</v>
      </c>
      <c r="E88" s="44">
        <f>+'IS-PBC'!D115</f>
        <v>0</v>
      </c>
      <c r="F88" s="44">
        <f>+'IS-PBC'!E115</f>
        <v>0</v>
      </c>
      <c r="G88" s="44">
        <f>+'IS-PBC'!F115</f>
        <v>0</v>
      </c>
      <c r="H88" s="44">
        <f>+'IS-PBC'!G115</f>
        <v>0</v>
      </c>
      <c r="I88" s="44">
        <f>+'IS-PBC'!H115</f>
        <v>0</v>
      </c>
      <c r="J88" s="44">
        <f>+'IS-PBC'!I115</f>
        <v>0</v>
      </c>
      <c r="K88" s="44">
        <f>+'IS-PBC'!J115</f>
        <v>0</v>
      </c>
      <c r="L88" s="44">
        <f>+'IS-PBC'!K115</f>
        <v>0</v>
      </c>
      <c r="M88" s="44">
        <f>+'IS-PBC'!L115</f>
        <v>0</v>
      </c>
      <c r="N88" s="44">
        <f>+'IS-PBC'!M115</f>
        <v>395.2</v>
      </c>
      <c r="O88" s="44">
        <f t="shared" si="6"/>
        <v>764.4</v>
      </c>
      <c r="P88" s="44"/>
      <c r="Q88" s="44">
        <f t="shared" si="8"/>
        <v>764.4</v>
      </c>
      <c r="R88" s="423"/>
      <c r="S88" s="44">
        <f t="shared" si="5"/>
        <v>764.4</v>
      </c>
    </row>
    <row r="89" spans="1:27" ht="15" customHeight="1">
      <c r="A89" s="223">
        <v>62</v>
      </c>
      <c r="B89" s="48" t="s">
        <v>16</v>
      </c>
      <c r="C89" s="44">
        <f>+'IS-PBC'!B116</f>
        <v>5210.62</v>
      </c>
      <c r="D89" s="44">
        <f>+'IS-PBC'!C116</f>
        <v>1901.42</v>
      </c>
      <c r="E89" s="44">
        <f>+'IS-PBC'!D116</f>
        <v>355.4</v>
      </c>
      <c r="F89" s="44">
        <f>+'IS-PBC'!E116</f>
        <v>3607.06</v>
      </c>
      <c r="G89" s="44">
        <f>+'IS-PBC'!F116</f>
        <v>7273.69</v>
      </c>
      <c r="H89" s="44">
        <f>+'IS-PBC'!G116</f>
        <v>1402.87</v>
      </c>
      <c r="I89" s="44">
        <f>+'IS-PBC'!H116</f>
        <v>5491.53</v>
      </c>
      <c r="J89" s="44">
        <f>+'IS-PBC'!I116</f>
        <v>0</v>
      </c>
      <c r="K89" s="44">
        <f>+'IS-PBC'!J116</f>
        <v>9101.7999999999993</v>
      </c>
      <c r="L89" s="44">
        <f>+'IS-PBC'!K116</f>
        <v>0</v>
      </c>
      <c r="M89" s="44">
        <f>+'IS-PBC'!L116</f>
        <v>5497.48</v>
      </c>
      <c r="N89" s="44">
        <f>+'IS-PBC'!M116</f>
        <v>3685.94</v>
      </c>
      <c r="O89" s="44">
        <f t="shared" si="6"/>
        <v>43527.81</v>
      </c>
      <c r="P89" s="44"/>
      <c r="Q89" s="44">
        <f t="shared" si="8"/>
        <v>43527.81</v>
      </c>
      <c r="R89" s="423"/>
      <c r="S89" s="44">
        <f t="shared" si="5"/>
        <v>43527.81</v>
      </c>
    </row>
    <row r="90" spans="1:27" ht="15" customHeight="1">
      <c r="A90" s="223">
        <v>63</v>
      </c>
      <c r="B90" s="48" t="s">
        <v>516</v>
      </c>
      <c r="C90" s="44">
        <f>+'IS-PBC'!B117</f>
        <v>0</v>
      </c>
      <c r="D90" s="44">
        <f>+'IS-PBC'!C117</f>
        <v>2299.27</v>
      </c>
      <c r="E90" s="44">
        <f>+'IS-PBC'!D117</f>
        <v>0</v>
      </c>
      <c r="F90" s="44">
        <f>+'IS-PBC'!E117</f>
        <v>0</v>
      </c>
      <c r="G90" s="44">
        <f>+'IS-PBC'!F117</f>
        <v>727.32</v>
      </c>
      <c r="H90" s="44">
        <f>+'IS-PBC'!G117</f>
        <v>0</v>
      </c>
      <c r="I90" s="44">
        <f>+'IS-PBC'!H117</f>
        <v>653.33000000000004</v>
      </c>
      <c r="J90" s="44">
        <f>+'IS-PBC'!I117</f>
        <v>2105.1799999999998</v>
      </c>
      <c r="K90" s="44">
        <f>+'IS-PBC'!J117</f>
        <v>279.22000000000003</v>
      </c>
      <c r="L90" s="44">
        <f>+'IS-PBC'!K117</f>
        <v>131.46</v>
      </c>
      <c r="M90" s="44">
        <f>+'IS-PBC'!L117</f>
        <v>463</v>
      </c>
      <c r="N90" s="44">
        <f>+'IS-PBC'!M117</f>
        <v>463</v>
      </c>
      <c r="O90" s="44">
        <f t="shared" si="6"/>
        <v>7121.7800000000007</v>
      </c>
      <c r="P90" s="44"/>
      <c r="Q90" s="44">
        <f t="shared" si="8"/>
        <v>7121.7800000000007</v>
      </c>
      <c r="R90" s="423"/>
      <c r="S90" s="44">
        <f t="shared" si="5"/>
        <v>7121.7800000000007</v>
      </c>
    </row>
    <row r="91" spans="1:27" ht="15" customHeight="1">
      <c r="A91" s="223">
        <v>64</v>
      </c>
      <c r="B91" s="48" t="s">
        <v>517</v>
      </c>
      <c r="C91" s="44">
        <f>+'IS-PBC'!B118</f>
        <v>0</v>
      </c>
      <c r="D91" s="44">
        <f>+'IS-PBC'!C118</f>
        <v>125</v>
      </c>
      <c r="E91" s="44">
        <f>+'IS-PBC'!D118</f>
        <v>0</v>
      </c>
      <c r="F91" s="44">
        <f>+'IS-PBC'!E118</f>
        <v>0</v>
      </c>
      <c r="G91" s="44">
        <f>+'IS-PBC'!F118</f>
        <v>0</v>
      </c>
      <c r="H91" s="44">
        <f>+'IS-PBC'!G118</f>
        <v>0</v>
      </c>
      <c r="I91" s="44">
        <f>+'IS-PBC'!H118</f>
        <v>0</v>
      </c>
      <c r="J91" s="44">
        <f>+'IS-PBC'!I118</f>
        <v>0</v>
      </c>
      <c r="K91" s="44">
        <f>+'IS-PBC'!J118</f>
        <v>0</v>
      </c>
      <c r="L91" s="44">
        <f>+'IS-PBC'!K118</f>
        <v>0</v>
      </c>
      <c r="M91" s="44">
        <f>+'IS-PBC'!L118</f>
        <v>0</v>
      </c>
      <c r="N91" s="44">
        <f>+'IS-PBC'!M118</f>
        <v>0</v>
      </c>
      <c r="O91" s="44">
        <f t="shared" si="6"/>
        <v>125</v>
      </c>
      <c r="P91" s="44"/>
      <c r="Q91" s="44">
        <f t="shared" si="8"/>
        <v>125</v>
      </c>
      <c r="R91" s="423"/>
      <c r="S91" s="44">
        <f t="shared" si="5"/>
        <v>125</v>
      </c>
    </row>
    <row r="92" spans="1:27" ht="15" customHeight="1">
      <c r="A92" s="223">
        <v>65</v>
      </c>
      <c r="B92" s="48" t="s">
        <v>22</v>
      </c>
      <c r="C92" s="44">
        <f>+'IS-PBC'!B119</f>
        <v>0</v>
      </c>
      <c r="D92" s="44">
        <f>+'IS-PBC'!C119</f>
        <v>0</v>
      </c>
      <c r="E92" s="44">
        <f>+'IS-PBC'!D119</f>
        <v>247.59</v>
      </c>
      <c r="F92" s="44">
        <f>+'IS-PBC'!E119</f>
        <v>-125</v>
      </c>
      <c r="G92" s="44">
        <f>+'IS-PBC'!F119</f>
        <v>0</v>
      </c>
      <c r="H92" s="44">
        <f>+'IS-PBC'!G119</f>
        <v>0</v>
      </c>
      <c r="I92" s="44">
        <f>+'IS-PBC'!H119</f>
        <v>0</v>
      </c>
      <c r="J92" s="44">
        <f>+'IS-PBC'!I119</f>
        <v>2.4</v>
      </c>
      <c r="K92" s="44">
        <f>+'IS-PBC'!J119</f>
        <v>158.63</v>
      </c>
      <c r="L92" s="44">
        <f>+'IS-PBC'!K119</f>
        <v>0</v>
      </c>
      <c r="M92" s="44">
        <f>+'IS-PBC'!L119</f>
        <v>0</v>
      </c>
      <c r="N92" s="44">
        <f>+'IS-PBC'!M119</f>
        <v>0</v>
      </c>
      <c r="O92" s="44">
        <f t="shared" si="6"/>
        <v>283.62</v>
      </c>
      <c r="P92" s="44"/>
      <c r="Q92" s="44">
        <f t="shared" si="8"/>
        <v>283.62</v>
      </c>
      <c r="R92" s="423"/>
      <c r="S92" s="44">
        <f t="shared" si="5"/>
        <v>283.62</v>
      </c>
    </row>
    <row r="93" spans="1:27" ht="15" customHeight="1">
      <c r="A93" s="223">
        <v>67</v>
      </c>
      <c r="B93" s="48" t="s">
        <v>138</v>
      </c>
      <c r="C93" s="44">
        <f>+'IS-PBC'!B125</f>
        <v>0</v>
      </c>
      <c r="D93" s="44">
        <f>+'IS-PBC'!C125</f>
        <v>0</v>
      </c>
      <c r="E93" s="44">
        <f>+'IS-PBC'!D125</f>
        <v>90</v>
      </c>
      <c r="F93" s="44">
        <f>+'IS-PBC'!E125</f>
        <v>0</v>
      </c>
      <c r="G93" s="44">
        <f>+'IS-PBC'!F125</f>
        <v>0</v>
      </c>
      <c r="H93" s="44">
        <f>+'IS-PBC'!G125</f>
        <v>90</v>
      </c>
      <c r="I93" s="44">
        <f>+'IS-PBC'!H125</f>
        <v>0</v>
      </c>
      <c r="J93" s="44">
        <f>+'IS-PBC'!I125</f>
        <v>0</v>
      </c>
      <c r="K93" s="44">
        <f>+'IS-PBC'!J125</f>
        <v>90</v>
      </c>
      <c r="L93" s="44">
        <f>+'IS-PBC'!K125</f>
        <v>0</v>
      </c>
      <c r="M93" s="44">
        <f>+'IS-PBC'!L125</f>
        <v>0</v>
      </c>
      <c r="N93" s="44">
        <f>+'IS-PBC'!M125</f>
        <v>90</v>
      </c>
      <c r="O93" s="44">
        <f t="shared" si="6"/>
        <v>360</v>
      </c>
      <c r="P93" s="44"/>
      <c r="Q93" s="44">
        <f t="shared" si="8"/>
        <v>360</v>
      </c>
      <c r="R93" s="423"/>
      <c r="S93" s="44">
        <f t="shared" si="5"/>
        <v>360</v>
      </c>
    </row>
    <row r="94" spans="1:27" ht="15" customHeight="1">
      <c r="A94" s="223">
        <v>68</v>
      </c>
      <c r="B94" s="48" t="s">
        <v>125</v>
      </c>
      <c r="C94" s="44">
        <f>+'IS-PBC'!B132</f>
        <v>3374.79</v>
      </c>
      <c r="D94" s="44">
        <f>+'IS-PBC'!C132</f>
        <v>2988.5</v>
      </c>
      <c r="E94" s="44">
        <f>+'IS-PBC'!D132</f>
        <v>2698.28</v>
      </c>
      <c r="F94" s="44">
        <f>+'IS-PBC'!E132</f>
        <v>2840.03</v>
      </c>
      <c r="G94" s="44">
        <f>+'IS-PBC'!F132</f>
        <v>2528.4899999999998</v>
      </c>
      <c r="H94" s="44">
        <f>+'IS-PBC'!G132</f>
        <v>2272.84</v>
      </c>
      <c r="I94" s="44">
        <f>+'IS-PBC'!H132</f>
        <v>2666.7</v>
      </c>
      <c r="J94" s="44">
        <f>+'IS-PBC'!I132</f>
        <v>2968.97</v>
      </c>
      <c r="K94" s="44">
        <f>+'IS-PBC'!J132</f>
        <v>2082.11</v>
      </c>
      <c r="L94" s="44">
        <f>+'IS-PBC'!K132</f>
        <v>1686.21</v>
      </c>
      <c r="M94" s="44">
        <f>+'IS-PBC'!L132</f>
        <v>1868.68</v>
      </c>
      <c r="N94" s="44">
        <f>+'IS-PBC'!M132</f>
        <v>3203.71</v>
      </c>
      <c r="O94" s="44">
        <f t="shared" si="6"/>
        <v>31179.31</v>
      </c>
      <c r="P94" s="44"/>
      <c r="Q94" s="44">
        <f t="shared" si="8"/>
        <v>31179.31</v>
      </c>
      <c r="R94" s="423"/>
      <c r="S94" s="44">
        <f t="shared" si="5"/>
        <v>31179.31</v>
      </c>
    </row>
    <row r="95" spans="1:27" ht="15" customHeight="1">
      <c r="A95" s="223">
        <v>69</v>
      </c>
      <c r="B95" s="48" t="s">
        <v>57</v>
      </c>
      <c r="C95" s="44">
        <f>+'IS-PBC'!B128</f>
        <v>0</v>
      </c>
      <c r="D95" s="44">
        <f>+'IS-PBC'!C128</f>
        <v>0</v>
      </c>
      <c r="E95" s="44">
        <f>+'IS-PBC'!D128</f>
        <v>70808.25</v>
      </c>
      <c r="F95" s="44">
        <f>+'IS-PBC'!E128</f>
        <v>0</v>
      </c>
      <c r="G95" s="44">
        <f>+'IS-PBC'!F128</f>
        <v>0</v>
      </c>
      <c r="H95" s="44">
        <f>+'IS-PBC'!G128</f>
        <v>71271.25</v>
      </c>
      <c r="I95" s="44">
        <f>+'IS-PBC'!H128</f>
        <v>0</v>
      </c>
      <c r="J95" s="44">
        <f>+'IS-PBC'!I128</f>
        <v>0</v>
      </c>
      <c r="K95" s="44">
        <f>+'IS-PBC'!J128</f>
        <v>72499.25</v>
      </c>
      <c r="L95" s="44">
        <f>+'IS-PBC'!K128</f>
        <v>0</v>
      </c>
      <c r="M95" s="44">
        <f>+'IS-PBC'!L128</f>
        <v>0</v>
      </c>
      <c r="N95" s="44">
        <f>+'IS-PBC'!M128</f>
        <v>71526.25</v>
      </c>
      <c r="O95" s="44">
        <f t="shared" si="6"/>
        <v>286105</v>
      </c>
      <c r="P95" s="44"/>
      <c r="Q95" s="44">
        <f t="shared" si="8"/>
        <v>286105</v>
      </c>
      <c r="R95" s="423"/>
      <c r="S95" s="44">
        <f t="shared" si="5"/>
        <v>286105</v>
      </c>
    </row>
    <row r="96" spans="1:27" ht="15" customHeight="1">
      <c r="B96" s="48" t="s">
        <v>72</v>
      </c>
      <c r="C96" s="45">
        <f>+'IS-PBC'!B133</f>
        <v>0</v>
      </c>
      <c r="D96" s="45">
        <f>+'IS-PBC'!C133</f>
        <v>0</v>
      </c>
      <c r="E96" s="45">
        <f>+'IS-PBC'!D133</f>
        <v>-500</v>
      </c>
      <c r="F96" s="45">
        <f>+'IS-PBC'!E133</f>
        <v>0</v>
      </c>
      <c r="G96" s="45">
        <f>+'IS-PBC'!F133</f>
        <v>0</v>
      </c>
      <c r="H96" s="45">
        <f>+'IS-PBC'!G133</f>
        <v>0</v>
      </c>
      <c r="I96" s="45">
        <f>+'IS-PBC'!H133</f>
        <v>0</v>
      </c>
      <c r="J96" s="45">
        <f>+'IS-PBC'!I133</f>
        <v>0</v>
      </c>
      <c r="K96" s="45">
        <f>+'IS-PBC'!J133</f>
        <v>0</v>
      </c>
      <c r="L96" s="45">
        <f>+'IS-PBC'!K133</f>
        <v>0</v>
      </c>
      <c r="M96" s="45">
        <f>+'IS-PBC'!L133</f>
        <v>0</v>
      </c>
      <c r="N96" s="45">
        <f>+'IS-PBC'!M133</f>
        <v>0</v>
      </c>
      <c r="O96" s="44">
        <f>SUM(C96:N96)</f>
        <v>-500</v>
      </c>
      <c r="P96" s="44"/>
      <c r="Q96" s="44">
        <f>O96+P96</f>
        <v>-500</v>
      </c>
      <c r="R96" s="423"/>
      <c r="S96" s="44"/>
      <c r="V96" s="421"/>
      <c r="X96" s="421"/>
      <c r="Y96" s="421"/>
      <c r="Z96" s="1085"/>
      <c r="AA96" s="1085"/>
    </row>
    <row r="97" spans="1:29" ht="15" customHeight="1">
      <c r="A97" s="223">
        <v>71</v>
      </c>
      <c r="B97" s="48"/>
      <c r="C97" s="44"/>
      <c r="D97" s="44"/>
      <c r="E97" s="44"/>
      <c r="F97" s="44"/>
      <c r="G97" s="44"/>
      <c r="H97" s="44"/>
      <c r="I97" s="44"/>
      <c r="J97" s="44"/>
      <c r="K97" s="44"/>
      <c r="L97" s="44"/>
      <c r="M97" s="44"/>
      <c r="N97" s="44"/>
      <c r="O97" s="44"/>
      <c r="P97" s="44"/>
      <c r="Q97" s="44"/>
      <c r="R97" s="423"/>
      <c r="S97" s="44">
        <f t="shared" si="5"/>
        <v>0</v>
      </c>
      <c r="V97" s="1086"/>
      <c r="W97" s="1086"/>
      <c r="X97" s="1086"/>
      <c r="Y97" s="1086"/>
      <c r="Z97" s="1087"/>
      <c r="AA97" s="1087"/>
      <c r="AB97" s="1087"/>
      <c r="AC97" s="1087"/>
    </row>
    <row r="98" spans="1:29" ht="15" customHeight="1">
      <c r="A98" s="223">
        <v>72</v>
      </c>
      <c r="B98" s="48"/>
      <c r="C98" s="1088"/>
      <c r="D98" s="1088"/>
      <c r="E98" s="1088"/>
      <c r="F98" s="1088"/>
      <c r="G98" s="1088"/>
      <c r="H98" s="1088"/>
      <c r="I98" s="1088"/>
      <c r="J98" s="1088"/>
      <c r="K98" s="1088"/>
      <c r="L98" s="1088"/>
      <c r="M98" s="1088"/>
      <c r="N98" s="1088"/>
      <c r="O98" s="424"/>
      <c r="P98" s="44"/>
      <c r="Q98" s="424"/>
      <c r="R98" s="423"/>
      <c r="S98" s="44">
        <f t="shared" si="5"/>
        <v>0</v>
      </c>
      <c r="V98" s="1086"/>
      <c r="W98" s="1086"/>
      <c r="X98" s="1086"/>
      <c r="Y98" s="1086"/>
      <c r="Z98" s="1087"/>
      <c r="AA98" s="1087"/>
      <c r="AB98" s="1087"/>
      <c r="AC98" s="1087"/>
    </row>
    <row r="99" spans="1:29" s="1097" customFormat="1" ht="15" customHeight="1">
      <c r="A99" s="1089"/>
      <c r="B99" s="1090"/>
      <c r="C99" s="404">
        <f t="shared" ref="C99:N99" si="9">SUM(C27:C98)</f>
        <v>293777.12999999995</v>
      </c>
      <c r="D99" s="404">
        <f t="shared" si="9"/>
        <v>351573.87000000011</v>
      </c>
      <c r="E99" s="404">
        <f t="shared" si="9"/>
        <v>508549.24000000017</v>
      </c>
      <c r="F99" s="404">
        <f t="shared" si="9"/>
        <v>510527.35000000015</v>
      </c>
      <c r="G99" s="404">
        <f t="shared" si="9"/>
        <v>410973.58000000013</v>
      </c>
      <c r="H99" s="404">
        <f t="shared" si="9"/>
        <v>312387.69000000006</v>
      </c>
      <c r="I99" s="404">
        <f t="shared" si="9"/>
        <v>427561.27000000008</v>
      </c>
      <c r="J99" s="404">
        <f t="shared" si="9"/>
        <v>374666.09000000008</v>
      </c>
      <c r="K99" s="404">
        <f t="shared" si="9"/>
        <v>481574.40999999992</v>
      </c>
      <c r="L99" s="404">
        <f t="shared" si="9"/>
        <v>384826.18000000005</v>
      </c>
      <c r="M99" s="404">
        <f t="shared" si="9"/>
        <v>377131.16</v>
      </c>
      <c r="N99" s="404">
        <f t="shared" si="9"/>
        <v>468810.57</v>
      </c>
      <c r="O99" s="404">
        <f>SUM(C99:N99)</f>
        <v>4902358.540000001</v>
      </c>
      <c r="P99" s="426">
        <f>SUM(P27:P98)</f>
        <v>0</v>
      </c>
      <c r="Q99" s="404">
        <f>SUM(Q27:Q98)</f>
        <v>4902358.5400000019</v>
      </c>
      <c r="R99" s="404"/>
      <c r="S99" s="44">
        <f>Q99+R99</f>
        <v>4902358.5400000019</v>
      </c>
      <c r="T99" s="1091"/>
      <c r="U99" s="1092"/>
      <c r="V99" s="1093"/>
      <c r="W99" s="1094"/>
      <c r="X99" s="1094"/>
      <c r="Y99" s="1094"/>
      <c r="Z99" s="1095"/>
      <c r="AA99" s="1095"/>
      <c r="AB99" s="1096"/>
      <c r="AC99" s="1096"/>
    </row>
    <row r="100" spans="1:29" ht="15" customHeight="1">
      <c r="B100" s="52" t="s">
        <v>28</v>
      </c>
      <c r="C100" s="427">
        <f t="shared" ref="C100:S100" si="10">C24-C99</f>
        <v>108633.12832963472</v>
      </c>
      <c r="D100" s="427">
        <f t="shared" si="10"/>
        <v>19252.563954799669</v>
      </c>
      <c r="E100" s="427">
        <f t="shared" si="10"/>
        <v>-103062.46221830207</v>
      </c>
      <c r="F100" s="427">
        <f t="shared" si="10"/>
        <v>-107213.82183124044</v>
      </c>
      <c r="G100" s="427">
        <f t="shared" si="10"/>
        <v>-4818.492337329837</v>
      </c>
      <c r="H100" s="427">
        <f t="shared" si="10"/>
        <v>136841.57999104075</v>
      </c>
      <c r="I100" s="427">
        <f t="shared" si="10"/>
        <v>-18823.832797253446</v>
      </c>
      <c r="J100" s="427">
        <f t="shared" si="10"/>
        <v>31477.867664652469</v>
      </c>
      <c r="K100" s="427">
        <f t="shared" si="10"/>
        <v>19033.630840341502</v>
      </c>
      <c r="L100" s="427">
        <f t="shared" si="10"/>
        <v>41012.814156912616</v>
      </c>
      <c r="M100" s="427">
        <f t="shared" si="10"/>
        <v>26842.978051103477</v>
      </c>
      <c r="N100" s="427">
        <f t="shared" si="10"/>
        <v>-54418.493804359809</v>
      </c>
      <c r="O100" s="427">
        <f t="shared" si="10"/>
        <v>94757.459999999963</v>
      </c>
      <c r="P100" s="427">
        <f t="shared" si="10"/>
        <v>0</v>
      </c>
      <c r="Q100" s="427">
        <f t="shared" si="10"/>
        <v>94757.459999999031</v>
      </c>
      <c r="R100" s="423">
        <f t="shared" si="10"/>
        <v>0</v>
      </c>
      <c r="S100" s="44">
        <f t="shared" si="10"/>
        <v>-73829.540000000969</v>
      </c>
      <c r="W100" s="421"/>
      <c r="X100" s="421"/>
      <c r="Y100" s="421"/>
      <c r="Z100" s="1098"/>
      <c r="AA100" s="1098"/>
    </row>
    <row r="101" spans="1:29" ht="15" customHeight="1">
      <c r="B101" s="42"/>
      <c r="C101" s="44"/>
      <c r="D101" s="44"/>
      <c r="E101" s="44"/>
      <c r="F101" s="44"/>
      <c r="G101" s="44"/>
      <c r="H101" s="44"/>
      <c r="I101" s="44"/>
      <c r="J101" s="44"/>
      <c r="K101" s="44"/>
      <c r="L101" s="44"/>
      <c r="M101" s="44"/>
      <c r="N101" s="44"/>
      <c r="O101" s="1099"/>
      <c r="P101" s="44"/>
      <c r="Q101" s="44"/>
      <c r="R101" s="423"/>
      <c r="S101" s="44"/>
      <c r="V101" s="421"/>
      <c r="W101" s="421"/>
      <c r="X101" s="421"/>
      <c r="Y101" s="421"/>
      <c r="Z101" s="1098"/>
      <c r="AA101" s="1098"/>
    </row>
    <row r="102" spans="1:29" ht="15" customHeight="1">
      <c r="B102" s="52" t="s">
        <v>58</v>
      </c>
      <c r="C102" s="45"/>
      <c r="D102" s="45"/>
      <c r="E102" s="45"/>
      <c r="F102" s="45"/>
      <c r="G102" s="45"/>
      <c r="H102" s="45"/>
      <c r="I102" s="45"/>
      <c r="J102" s="45"/>
      <c r="K102" s="45"/>
      <c r="L102" s="44"/>
      <c r="M102" s="44"/>
      <c r="N102" s="44"/>
      <c r="O102" s="44"/>
      <c r="P102" s="44"/>
      <c r="Q102" s="44"/>
      <c r="R102" s="423"/>
      <c r="S102" s="44"/>
      <c r="V102" s="421"/>
      <c r="W102" s="421"/>
      <c r="X102" s="421"/>
      <c r="Y102" s="421"/>
      <c r="Z102" s="1085"/>
      <c r="AA102" s="1085"/>
    </row>
    <row r="104" spans="1:29" ht="15" customHeight="1">
      <c r="B104" s="48" t="s">
        <v>535</v>
      </c>
      <c r="C104" s="45">
        <f>+'IS-PBC'!B47</f>
        <v>0</v>
      </c>
      <c r="D104" s="45">
        <f>+'IS-PBC'!C47</f>
        <v>0</v>
      </c>
      <c r="E104" s="45">
        <f>+'IS-PBC'!D47</f>
        <v>0</v>
      </c>
      <c r="F104" s="45">
        <f>+'IS-PBC'!E47</f>
        <v>0</v>
      </c>
      <c r="G104" s="45">
        <f>+'IS-PBC'!F47</f>
        <v>0</v>
      </c>
      <c r="H104" s="45">
        <f>+'IS-PBC'!G47</f>
        <v>0</v>
      </c>
      <c r="I104" s="45">
        <f>+'IS-PBC'!H47</f>
        <v>0</v>
      </c>
      <c r="J104" s="45">
        <f>+'IS-PBC'!I47</f>
        <v>0</v>
      </c>
      <c r="K104" s="45">
        <f>+'IS-PBC'!J47</f>
        <v>0</v>
      </c>
      <c r="L104" s="45">
        <f>+'IS-PBC'!K47</f>
        <v>0</v>
      </c>
      <c r="M104" s="45">
        <f>+'IS-PBC'!L47</f>
        <v>0</v>
      </c>
      <c r="N104" s="45">
        <f>+'IS-PBC'!M47</f>
        <v>15330.94</v>
      </c>
      <c r="O104" s="44">
        <f>SUM(C104:N104)</f>
        <v>15330.94</v>
      </c>
      <c r="P104" s="44"/>
      <c r="Q104" s="44">
        <f>O104+P104</f>
        <v>15330.94</v>
      </c>
      <c r="R104" s="423"/>
      <c r="S104" s="45"/>
      <c r="V104" s="421"/>
      <c r="X104" s="421"/>
      <c r="Y104" s="421"/>
      <c r="Z104" s="1098"/>
      <c r="AA104" s="1098"/>
    </row>
    <row r="105" spans="1:29" ht="15" customHeight="1">
      <c r="B105" s="48" t="s">
        <v>35</v>
      </c>
      <c r="C105" s="1100">
        <f>+'IS-PBC'!B48</f>
        <v>664.71</v>
      </c>
      <c r="D105" s="1100">
        <f>+'IS-PBC'!C48</f>
        <v>664.71</v>
      </c>
      <c r="E105" s="1100">
        <f>+'IS-PBC'!D48</f>
        <v>2188.4899999999998</v>
      </c>
      <c r="F105" s="1100">
        <f>+'IS-PBC'!E48</f>
        <v>664.71</v>
      </c>
      <c r="G105" s="1100">
        <f>+'IS-PBC'!F48</f>
        <v>664.71</v>
      </c>
      <c r="H105" s="1100">
        <f>+'IS-PBC'!G48</f>
        <v>1962.48</v>
      </c>
      <c r="I105" s="1100">
        <f>+'IS-PBC'!H48</f>
        <v>664.71</v>
      </c>
      <c r="J105" s="1100">
        <f>+'IS-PBC'!I48</f>
        <v>664.71</v>
      </c>
      <c r="K105" s="1100">
        <f>+'IS-PBC'!J48</f>
        <v>1734.04</v>
      </c>
      <c r="L105" s="1100">
        <f>+'IS-PBC'!K48</f>
        <v>0</v>
      </c>
      <c r="M105" s="1100">
        <f>+'IS-PBC'!L48</f>
        <v>0</v>
      </c>
      <c r="N105" s="1100">
        <f>+'IS-PBC'!M48</f>
        <v>2832.57</v>
      </c>
      <c r="O105" s="44">
        <f>SUM(C105:N105)</f>
        <v>12705.84</v>
      </c>
      <c r="P105" s="424"/>
      <c r="Q105" s="424">
        <f>O105+P105</f>
        <v>12705.84</v>
      </c>
      <c r="R105" s="423"/>
      <c r="S105" s="423"/>
      <c r="V105" s="421"/>
      <c r="X105" s="421"/>
      <c r="Y105" s="421"/>
      <c r="Z105" s="1098"/>
      <c r="AA105" s="1098"/>
    </row>
    <row r="106" spans="1:29" ht="15" customHeight="1">
      <c r="B106" s="42"/>
      <c r="C106" s="45"/>
      <c r="D106" s="45"/>
      <c r="E106" s="45"/>
      <c r="F106" s="45"/>
      <c r="G106" s="45"/>
      <c r="H106" s="45"/>
      <c r="I106" s="45"/>
      <c r="J106" s="45"/>
      <c r="K106" s="45"/>
      <c r="L106" s="44"/>
      <c r="M106" s="44"/>
      <c r="N106" s="44"/>
      <c r="O106" s="1101"/>
      <c r="P106" s="44"/>
      <c r="Q106" s="44"/>
      <c r="R106" s="423"/>
      <c r="S106" s="44"/>
      <c r="V106" s="421"/>
      <c r="W106" s="421"/>
      <c r="X106" s="421"/>
      <c r="Y106" s="421"/>
      <c r="Z106" s="1098"/>
      <c r="AA106" s="1098"/>
    </row>
    <row r="107" spans="1:29" ht="15" customHeight="1" thickBot="1">
      <c r="B107" s="52" t="s">
        <v>154</v>
      </c>
      <c r="C107" s="428">
        <f t="shared" ref="C107:N107" si="11">C105+C104+C100+C96</f>
        <v>109297.83832963473</v>
      </c>
      <c r="D107" s="428">
        <f t="shared" si="11"/>
        <v>19917.273954799668</v>
      </c>
      <c r="E107" s="428">
        <f t="shared" si="11"/>
        <v>-101373.97221830206</v>
      </c>
      <c r="F107" s="428">
        <f t="shared" si="11"/>
        <v>-106549.11183124043</v>
      </c>
      <c r="G107" s="428">
        <f t="shared" si="11"/>
        <v>-4153.782337329837</v>
      </c>
      <c r="H107" s="428">
        <f t="shared" si="11"/>
        <v>138804.05999104076</v>
      </c>
      <c r="I107" s="428">
        <f t="shared" si="11"/>
        <v>-18159.122797253447</v>
      </c>
      <c r="J107" s="428">
        <f t="shared" si="11"/>
        <v>32142.577664652468</v>
      </c>
      <c r="K107" s="428">
        <f t="shared" si="11"/>
        <v>20767.670840341503</v>
      </c>
      <c r="L107" s="428">
        <f t="shared" si="11"/>
        <v>41012.814156912616</v>
      </c>
      <c r="M107" s="428">
        <f t="shared" si="11"/>
        <v>26842.978051103477</v>
      </c>
      <c r="N107" s="428">
        <f t="shared" si="11"/>
        <v>-36254.983804359807</v>
      </c>
      <c r="O107" s="428">
        <f>O105+O104+O100</f>
        <v>122794.23999999996</v>
      </c>
      <c r="P107" s="428">
        <f>P105+P104+P100+P96</f>
        <v>0</v>
      </c>
      <c r="Q107" s="428">
        <f>Q105+Q104+Q100</f>
        <v>122794.23999999903</v>
      </c>
      <c r="R107" s="423"/>
      <c r="S107" s="44"/>
      <c r="W107" s="421"/>
      <c r="X107" s="421"/>
      <c r="Y107" s="421"/>
      <c r="Z107" s="1098"/>
      <c r="AA107" s="1098"/>
    </row>
    <row r="108" spans="1:29" ht="15" customHeight="1" thickTop="1">
      <c r="C108" s="44"/>
      <c r="D108" s="44"/>
      <c r="E108" s="44"/>
      <c r="F108" s="44"/>
      <c r="G108" s="44"/>
      <c r="H108" s="44"/>
      <c r="I108" s="44"/>
      <c r="J108" s="44"/>
      <c r="K108" s="44"/>
      <c r="L108" s="44"/>
      <c r="M108" s="44"/>
      <c r="N108" s="44"/>
      <c r="O108" s="1099"/>
      <c r="P108" s="429"/>
      <c r="Q108" s="44"/>
      <c r="R108" s="423"/>
      <c r="S108" s="44"/>
      <c r="T108" s="421"/>
      <c r="U108" s="1102"/>
      <c r="V108" s="421"/>
      <c r="W108" s="421"/>
      <c r="X108" s="421"/>
      <c r="Y108" s="421"/>
      <c r="Z108" s="1098"/>
      <c r="AA108" s="1098"/>
    </row>
    <row r="109" spans="1:29" ht="15" customHeight="1">
      <c r="C109" s="45"/>
      <c r="D109" s="45"/>
      <c r="E109" s="45"/>
      <c r="F109" s="45"/>
      <c r="G109" s="45"/>
      <c r="H109" s="45"/>
      <c r="I109" s="45"/>
      <c r="J109" s="45"/>
      <c r="K109" s="45"/>
      <c r="L109" s="45"/>
      <c r="M109" s="45"/>
      <c r="N109" s="45"/>
      <c r="O109" s="1103"/>
      <c r="P109" s="435"/>
      <c r="Q109" s="44"/>
      <c r="R109" s="423"/>
      <c r="S109" s="44"/>
    </row>
    <row r="110" spans="1:29" ht="15" customHeight="1">
      <c r="C110" s="45"/>
      <c r="D110" s="45"/>
      <c r="E110" s="45"/>
      <c r="F110" s="45"/>
      <c r="G110" s="45"/>
      <c r="H110" s="45"/>
      <c r="I110" s="45"/>
      <c r="J110" s="45"/>
      <c r="K110" s="45"/>
      <c r="L110" s="45"/>
      <c r="M110" s="45"/>
      <c r="N110" s="45"/>
      <c r="O110" s="45"/>
      <c r="P110" s="435"/>
      <c r="Q110" s="45"/>
      <c r="R110" s="423"/>
      <c r="S110" s="44"/>
    </row>
    <row r="111" spans="1:29" ht="15" customHeight="1">
      <c r="C111" s="45"/>
      <c r="D111" s="45"/>
      <c r="E111" s="45"/>
      <c r="F111" s="45"/>
      <c r="G111" s="45"/>
      <c r="H111" s="45"/>
      <c r="I111" s="45"/>
      <c r="J111" s="45"/>
      <c r="K111" s="45"/>
      <c r="L111" s="45"/>
      <c r="M111" s="45"/>
      <c r="N111" s="45"/>
      <c r="O111" s="45"/>
      <c r="P111" s="45"/>
      <c r="Q111" s="45"/>
      <c r="R111" s="423"/>
      <c r="S111" s="44"/>
    </row>
    <row r="112" spans="1:29" ht="15" customHeight="1">
      <c r="C112" s="45"/>
      <c r="D112" s="45"/>
      <c r="E112" s="45"/>
      <c r="F112" s="45"/>
      <c r="G112" s="45"/>
      <c r="H112" s="45"/>
      <c r="I112" s="45"/>
      <c r="J112" s="45"/>
      <c r="K112" s="45"/>
      <c r="L112" s="45"/>
      <c r="M112" s="45"/>
      <c r="N112" s="45"/>
      <c r="O112" s="45"/>
      <c r="P112" s="45"/>
      <c r="Q112" s="45"/>
      <c r="R112" s="423"/>
      <c r="S112" s="44"/>
    </row>
    <row r="113" spans="3:19" ht="15" customHeight="1">
      <c r="C113" s="45"/>
      <c r="D113" s="45"/>
      <c r="E113" s="45"/>
      <c r="F113" s="45"/>
      <c r="G113" s="45"/>
      <c r="H113" s="45"/>
      <c r="I113" s="45"/>
      <c r="J113" s="45"/>
      <c r="K113" s="45"/>
      <c r="L113" s="45"/>
      <c r="M113" s="45"/>
      <c r="N113" s="45"/>
      <c r="O113" s="45"/>
      <c r="P113" s="45"/>
      <c r="Q113" s="45"/>
      <c r="R113" s="423"/>
      <c r="S113" s="44"/>
    </row>
    <row r="114" spans="3:19" ht="15" customHeight="1">
      <c r="C114" s="45"/>
      <c r="D114" s="45"/>
      <c r="E114" s="45"/>
      <c r="F114" s="45"/>
      <c r="G114" s="45"/>
      <c r="H114" s="45"/>
      <c r="I114" s="45"/>
      <c r="J114" s="45"/>
      <c r="K114" s="45"/>
      <c r="L114" s="45"/>
      <c r="M114" s="45"/>
      <c r="N114" s="45"/>
      <c r="O114" s="45"/>
      <c r="P114" s="45"/>
      <c r="Q114" s="45"/>
      <c r="R114" s="423"/>
      <c r="S114" s="44"/>
    </row>
    <row r="115" spans="3:19" ht="15" customHeight="1">
      <c r="C115" s="45"/>
      <c r="D115" s="45"/>
      <c r="E115" s="45"/>
      <c r="F115" s="45"/>
      <c r="G115" s="45"/>
      <c r="H115" s="45"/>
      <c r="I115" s="45"/>
      <c r="J115" s="45"/>
      <c r="K115" s="45"/>
      <c r="L115" s="45"/>
      <c r="M115" s="45"/>
      <c r="N115" s="45"/>
      <c r="O115" s="45"/>
      <c r="P115" s="45"/>
      <c r="Q115" s="45"/>
      <c r="R115" s="423"/>
      <c r="S115" s="44"/>
    </row>
    <row r="116" spans="3:19" ht="15" customHeight="1">
      <c r="C116" s="45"/>
      <c r="D116" s="45"/>
      <c r="E116" s="45"/>
      <c r="F116" s="45"/>
      <c r="G116" s="45"/>
      <c r="H116" s="45"/>
      <c r="I116" s="45"/>
      <c r="J116" s="45"/>
      <c r="K116" s="45"/>
      <c r="L116" s="45"/>
      <c r="M116" s="45"/>
      <c r="N116" s="45"/>
      <c r="O116" s="45"/>
      <c r="P116" s="45"/>
      <c r="Q116" s="45"/>
      <c r="R116" s="423"/>
      <c r="S116" s="44"/>
    </row>
    <row r="117" spans="3:19" ht="15" customHeight="1">
      <c r="C117" s="45"/>
      <c r="D117" s="45"/>
      <c r="E117" s="45"/>
      <c r="F117" s="45"/>
      <c r="G117" s="45"/>
      <c r="H117" s="45"/>
      <c r="I117" s="45"/>
      <c r="J117" s="45"/>
      <c r="K117" s="45"/>
      <c r="L117" s="45"/>
      <c r="M117" s="45"/>
      <c r="N117" s="45"/>
      <c r="O117" s="45"/>
      <c r="P117" s="45"/>
      <c r="Q117" s="45"/>
      <c r="R117" s="423"/>
      <c r="S117" s="44"/>
    </row>
    <row r="118" spans="3:19" ht="15" customHeight="1">
      <c r="C118" s="45"/>
      <c r="D118" s="45"/>
      <c r="E118" s="45"/>
      <c r="F118" s="45"/>
      <c r="G118" s="45"/>
      <c r="H118" s="45"/>
      <c r="I118" s="45"/>
      <c r="J118" s="45"/>
      <c r="K118" s="45"/>
      <c r="L118" s="45"/>
      <c r="M118" s="45"/>
      <c r="N118" s="45"/>
      <c r="O118" s="45"/>
      <c r="P118" s="45"/>
      <c r="Q118" s="45"/>
      <c r="R118" s="423"/>
      <c r="S118" s="44"/>
    </row>
    <row r="119" spans="3:19" ht="15" customHeight="1">
      <c r="C119" s="45"/>
      <c r="D119" s="45"/>
      <c r="E119" s="45"/>
      <c r="F119" s="45"/>
      <c r="G119" s="45"/>
      <c r="H119" s="45"/>
      <c r="I119" s="45"/>
      <c r="J119" s="45"/>
      <c r="K119" s="45"/>
      <c r="L119" s="45"/>
      <c r="M119" s="45"/>
      <c r="N119" s="45"/>
      <c r="O119" s="45"/>
      <c r="P119" s="45"/>
      <c r="Q119" s="45"/>
      <c r="R119" s="423"/>
      <c r="S119" s="44"/>
    </row>
    <row r="120" spans="3:19" ht="15" customHeight="1">
      <c r="C120" s="45"/>
      <c r="D120" s="45"/>
      <c r="E120" s="45"/>
      <c r="F120" s="45"/>
      <c r="G120" s="45"/>
      <c r="H120" s="45"/>
      <c r="I120" s="45"/>
      <c r="J120" s="45"/>
      <c r="K120" s="45"/>
      <c r="L120" s="45"/>
      <c r="M120" s="45"/>
      <c r="N120" s="45"/>
      <c r="O120" s="45"/>
      <c r="P120" s="45"/>
      <c r="Q120" s="45"/>
      <c r="R120" s="423"/>
      <c r="S120" s="44"/>
    </row>
    <row r="121" spans="3:19" ht="15" customHeight="1">
      <c r="C121" s="45"/>
      <c r="D121" s="45"/>
      <c r="E121" s="45"/>
      <c r="F121" s="45"/>
      <c r="G121" s="45"/>
      <c r="H121" s="45"/>
      <c r="I121" s="45"/>
      <c r="J121" s="45"/>
      <c r="K121" s="45"/>
      <c r="L121" s="45"/>
      <c r="M121" s="45"/>
      <c r="N121" s="45"/>
      <c r="O121" s="45"/>
      <c r="P121" s="45"/>
      <c r="Q121" s="45"/>
      <c r="R121" s="423"/>
      <c r="S121" s="44"/>
    </row>
    <row r="122" spans="3:19" ht="15" customHeight="1">
      <c r="C122" s="45"/>
      <c r="D122" s="45"/>
      <c r="E122" s="45"/>
      <c r="F122" s="45"/>
      <c r="G122" s="45"/>
      <c r="H122" s="45"/>
      <c r="I122" s="45"/>
      <c r="J122" s="45"/>
      <c r="K122" s="45"/>
      <c r="L122" s="45"/>
      <c r="M122" s="45"/>
      <c r="N122" s="45"/>
      <c r="O122" s="45"/>
      <c r="P122" s="45"/>
      <c r="Q122" s="45"/>
      <c r="R122" s="423"/>
      <c r="S122" s="44"/>
    </row>
    <row r="123" spans="3:19" ht="15" customHeight="1">
      <c r="C123" s="45"/>
      <c r="D123" s="45"/>
      <c r="E123" s="45"/>
      <c r="F123" s="45"/>
      <c r="G123" s="45"/>
      <c r="H123" s="45"/>
      <c r="I123" s="45"/>
      <c r="J123" s="45"/>
      <c r="K123" s="45"/>
      <c r="L123" s="45"/>
      <c r="M123" s="45"/>
      <c r="N123" s="45"/>
      <c r="O123" s="45"/>
      <c r="P123" s="45"/>
      <c r="Q123" s="45"/>
      <c r="R123" s="423"/>
      <c r="S123" s="44"/>
    </row>
    <row r="124" spans="3:19" ht="15" customHeight="1">
      <c r="C124" s="45"/>
      <c r="D124" s="45"/>
      <c r="E124" s="45"/>
      <c r="F124" s="45"/>
      <c r="G124" s="45"/>
      <c r="H124" s="45"/>
      <c r="I124" s="45"/>
      <c r="J124" s="45"/>
      <c r="K124" s="45"/>
      <c r="L124" s="45"/>
      <c r="M124" s="45"/>
      <c r="N124" s="45"/>
      <c r="O124" s="45"/>
      <c r="P124" s="45"/>
      <c r="Q124" s="45"/>
      <c r="R124" s="423"/>
      <c r="S124" s="44"/>
    </row>
    <row r="125" spans="3:19" ht="15" customHeight="1">
      <c r="C125" s="45"/>
      <c r="D125" s="45"/>
      <c r="E125" s="45"/>
      <c r="F125" s="45"/>
      <c r="G125" s="45"/>
      <c r="H125" s="45"/>
      <c r="I125" s="45"/>
      <c r="J125" s="45"/>
      <c r="K125" s="45"/>
      <c r="L125" s="45"/>
      <c r="M125" s="45"/>
      <c r="N125" s="45"/>
      <c r="O125" s="45"/>
      <c r="P125" s="45"/>
      <c r="Q125" s="45"/>
      <c r="R125" s="423"/>
      <c r="S125" s="44"/>
    </row>
    <row r="126" spans="3:19" ht="15" customHeight="1">
      <c r="C126" s="45"/>
      <c r="D126" s="45"/>
      <c r="E126" s="45"/>
      <c r="F126" s="45"/>
      <c r="G126" s="45"/>
      <c r="H126" s="45"/>
      <c r="I126" s="45"/>
      <c r="J126" s="45"/>
      <c r="K126" s="45"/>
      <c r="L126" s="45"/>
      <c r="M126" s="45"/>
      <c r="N126" s="45"/>
      <c r="O126" s="45"/>
      <c r="P126" s="45"/>
      <c r="Q126" s="45"/>
      <c r="R126" s="423"/>
      <c r="S126" s="44"/>
    </row>
    <row r="127" spans="3:19" ht="15" customHeight="1">
      <c r="C127" s="45"/>
      <c r="D127" s="45"/>
      <c r="E127" s="45"/>
      <c r="F127" s="45"/>
      <c r="G127" s="45"/>
      <c r="H127" s="45"/>
      <c r="I127" s="45"/>
      <c r="J127" s="45"/>
      <c r="K127" s="45"/>
      <c r="L127" s="45"/>
      <c r="M127" s="45"/>
      <c r="N127" s="45"/>
      <c r="O127" s="45"/>
      <c r="P127" s="45"/>
      <c r="Q127" s="45"/>
      <c r="R127" s="423"/>
      <c r="S127" s="44"/>
    </row>
    <row r="128" spans="3:19" ht="15" customHeight="1">
      <c r="C128" s="45"/>
      <c r="D128" s="45"/>
      <c r="E128" s="45"/>
      <c r="F128" s="45"/>
      <c r="G128" s="45"/>
      <c r="H128" s="45"/>
      <c r="I128" s="45"/>
      <c r="J128" s="45"/>
      <c r="K128" s="45"/>
      <c r="L128" s="45"/>
      <c r="M128" s="45"/>
      <c r="N128" s="45"/>
      <c r="O128" s="45"/>
      <c r="P128" s="45"/>
      <c r="Q128" s="45"/>
      <c r="R128" s="423"/>
      <c r="S128" s="44"/>
    </row>
    <row r="129" spans="3:19" ht="15" customHeight="1">
      <c r="C129" s="45"/>
      <c r="D129" s="45"/>
      <c r="E129" s="45"/>
      <c r="F129" s="45"/>
      <c r="G129" s="45"/>
      <c r="H129" s="45"/>
      <c r="I129" s="45"/>
      <c r="J129" s="45"/>
      <c r="K129" s="45"/>
      <c r="L129" s="45"/>
      <c r="M129" s="45"/>
      <c r="N129" s="45"/>
      <c r="O129" s="45"/>
      <c r="P129" s="45"/>
      <c r="Q129" s="45"/>
      <c r="R129" s="423"/>
      <c r="S129" s="44"/>
    </row>
    <row r="130" spans="3:19" ht="15" customHeight="1">
      <c r="C130" s="45"/>
      <c r="D130" s="45"/>
      <c r="E130" s="45"/>
      <c r="F130" s="45"/>
      <c r="G130" s="45"/>
      <c r="H130" s="45"/>
      <c r="I130" s="45"/>
      <c r="J130" s="45"/>
      <c r="K130" s="45"/>
      <c r="L130" s="45"/>
      <c r="M130" s="45"/>
      <c r="N130" s="45"/>
      <c r="O130" s="45"/>
      <c r="P130" s="45"/>
      <c r="Q130" s="45"/>
      <c r="R130" s="423"/>
      <c r="S130" s="44"/>
    </row>
    <row r="131" spans="3:19" ht="15" customHeight="1">
      <c r="C131" s="45"/>
      <c r="D131" s="45"/>
      <c r="E131" s="45"/>
      <c r="F131" s="45"/>
      <c r="G131" s="45"/>
      <c r="H131" s="45"/>
      <c r="I131" s="45"/>
      <c r="J131" s="45"/>
      <c r="K131" s="45"/>
      <c r="L131" s="45"/>
      <c r="M131" s="45"/>
      <c r="N131" s="45"/>
      <c r="O131" s="45"/>
      <c r="P131" s="45"/>
      <c r="Q131" s="45"/>
      <c r="R131" s="423"/>
      <c r="S131" s="44"/>
    </row>
    <row r="132" spans="3:19" ht="15" customHeight="1">
      <c r="C132" s="45"/>
      <c r="D132" s="45"/>
      <c r="E132" s="45"/>
      <c r="F132" s="45"/>
      <c r="G132" s="45"/>
      <c r="H132" s="45"/>
      <c r="I132" s="45"/>
      <c r="J132" s="45"/>
      <c r="K132" s="45"/>
      <c r="L132" s="45"/>
      <c r="M132" s="45"/>
      <c r="N132" s="45"/>
      <c r="O132" s="45"/>
      <c r="P132" s="45"/>
      <c r="Q132" s="45"/>
      <c r="R132" s="423"/>
      <c r="S132" s="44"/>
    </row>
    <row r="133" spans="3:19" ht="15" customHeight="1">
      <c r="C133" s="45"/>
      <c r="D133" s="45"/>
      <c r="E133" s="45"/>
      <c r="F133" s="45"/>
      <c r="G133" s="45"/>
      <c r="H133" s="45"/>
      <c r="I133" s="45"/>
      <c r="J133" s="45"/>
      <c r="K133" s="45"/>
      <c r="L133" s="45"/>
      <c r="M133" s="45"/>
      <c r="N133" s="45"/>
      <c r="O133" s="45"/>
      <c r="P133" s="45"/>
      <c r="Q133" s="45"/>
      <c r="R133" s="423"/>
      <c r="S133" s="44"/>
    </row>
    <row r="134" spans="3:19" ht="15" customHeight="1">
      <c r="C134" s="45"/>
      <c r="D134" s="45"/>
      <c r="E134" s="45"/>
      <c r="F134" s="45"/>
      <c r="G134" s="45"/>
      <c r="H134" s="45"/>
      <c r="I134" s="45"/>
      <c r="J134" s="45"/>
      <c r="K134" s="45"/>
      <c r="L134" s="45"/>
      <c r="M134" s="45"/>
      <c r="N134" s="45"/>
      <c r="O134" s="45"/>
      <c r="P134" s="45"/>
      <c r="Q134" s="45"/>
      <c r="R134" s="423"/>
      <c r="S134" s="44"/>
    </row>
    <row r="135" spans="3:19" ht="15" customHeight="1">
      <c r="C135" s="45"/>
      <c r="D135" s="45"/>
      <c r="E135" s="45"/>
      <c r="F135" s="45"/>
      <c r="G135" s="45"/>
      <c r="H135" s="45"/>
      <c r="I135" s="45"/>
      <c r="J135" s="45"/>
      <c r="K135" s="45"/>
      <c r="L135" s="45"/>
      <c r="M135" s="45"/>
      <c r="N135" s="45"/>
      <c r="O135" s="45"/>
      <c r="P135" s="45"/>
      <c r="Q135" s="45"/>
      <c r="R135" s="423"/>
      <c r="S135" s="44"/>
    </row>
    <row r="136" spans="3:19" ht="15" customHeight="1">
      <c r="C136" s="45"/>
      <c r="D136" s="45"/>
      <c r="E136" s="45"/>
      <c r="F136" s="45"/>
      <c r="G136" s="45"/>
      <c r="H136" s="45"/>
      <c r="I136" s="45"/>
      <c r="J136" s="45"/>
      <c r="K136" s="45"/>
      <c r="L136" s="45"/>
      <c r="M136" s="45"/>
      <c r="N136" s="45"/>
      <c r="O136" s="45"/>
      <c r="P136" s="45"/>
      <c r="Q136" s="45"/>
      <c r="R136" s="423"/>
      <c r="S136" s="44"/>
    </row>
    <row r="137" spans="3:19" ht="15" customHeight="1">
      <c r="C137" s="45"/>
      <c r="D137" s="45"/>
      <c r="E137" s="45"/>
      <c r="F137" s="45"/>
      <c r="G137" s="45"/>
      <c r="H137" s="45"/>
      <c r="I137" s="45"/>
      <c r="J137" s="45"/>
      <c r="K137" s="45"/>
      <c r="L137" s="45"/>
      <c r="M137" s="45"/>
      <c r="N137" s="45"/>
      <c r="O137" s="45"/>
      <c r="P137" s="45"/>
      <c r="Q137" s="45"/>
      <c r="R137" s="423"/>
      <c r="S137" s="44"/>
    </row>
    <row r="138" spans="3:19" ht="15" customHeight="1">
      <c r="C138" s="45"/>
      <c r="D138" s="45"/>
      <c r="E138" s="45"/>
      <c r="F138" s="45"/>
      <c r="G138" s="45"/>
      <c r="H138" s="45"/>
      <c r="I138" s="45"/>
      <c r="J138" s="45"/>
      <c r="K138" s="45"/>
      <c r="L138" s="45"/>
      <c r="M138" s="45"/>
      <c r="N138" s="45"/>
      <c r="O138" s="45"/>
      <c r="P138" s="45"/>
      <c r="Q138" s="45"/>
      <c r="R138" s="423"/>
      <c r="S138" s="44"/>
    </row>
    <row r="139" spans="3:19" ht="15" customHeight="1">
      <c r="C139" s="45"/>
      <c r="D139" s="45"/>
      <c r="E139" s="45"/>
      <c r="F139" s="45"/>
      <c r="G139" s="45"/>
      <c r="H139" s="45"/>
      <c r="I139" s="45"/>
      <c r="J139" s="45"/>
      <c r="K139" s="45"/>
      <c r="L139" s="45"/>
      <c r="M139" s="45"/>
      <c r="N139" s="45"/>
      <c r="O139" s="45"/>
      <c r="P139" s="45"/>
      <c r="Q139" s="45"/>
      <c r="R139" s="423"/>
      <c r="S139" s="44"/>
    </row>
    <row r="140" spans="3:19" ht="15" customHeight="1">
      <c r="C140" s="45"/>
      <c r="D140" s="45"/>
      <c r="E140" s="45"/>
      <c r="F140" s="45"/>
      <c r="G140" s="45"/>
      <c r="H140" s="45"/>
      <c r="I140" s="45"/>
      <c r="J140" s="45"/>
      <c r="K140" s="45"/>
      <c r="L140" s="45"/>
      <c r="M140" s="45"/>
      <c r="N140" s="45"/>
      <c r="O140" s="45"/>
      <c r="P140" s="45"/>
      <c r="Q140" s="45"/>
      <c r="R140" s="423"/>
      <c r="S140" s="44"/>
    </row>
    <row r="141" spans="3:19" ht="15" customHeight="1">
      <c r="C141" s="45"/>
      <c r="D141" s="45"/>
      <c r="E141" s="45"/>
      <c r="F141" s="45"/>
      <c r="G141" s="45"/>
      <c r="H141" s="45"/>
      <c r="I141" s="45"/>
      <c r="J141" s="45"/>
      <c r="K141" s="45"/>
      <c r="L141" s="45"/>
      <c r="M141" s="45"/>
      <c r="N141" s="45"/>
      <c r="O141" s="45"/>
      <c r="P141" s="45"/>
      <c r="Q141" s="45"/>
      <c r="R141" s="423"/>
      <c r="S141" s="44"/>
    </row>
    <row r="142" spans="3:19" ht="15" customHeight="1">
      <c r="C142" s="45"/>
      <c r="D142" s="45"/>
      <c r="E142" s="45"/>
      <c r="F142" s="45"/>
      <c r="G142" s="45"/>
      <c r="H142" s="45"/>
      <c r="I142" s="45"/>
      <c r="J142" s="45"/>
      <c r="K142" s="45"/>
      <c r="L142" s="45"/>
      <c r="M142" s="45"/>
      <c r="N142" s="45"/>
      <c r="O142" s="45"/>
      <c r="P142" s="45"/>
      <c r="Q142" s="45"/>
      <c r="R142" s="423"/>
      <c r="S142" s="44"/>
    </row>
    <row r="143" spans="3:19" ht="15" customHeight="1">
      <c r="C143" s="45"/>
      <c r="D143" s="45"/>
      <c r="E143" s="45"/>
      <c r="F143" s="45"/>
      <c r="G143" s="45"/>
      <c r="H143" s="45"/>
      <c r="I143" s="45"/>
      <c r="J143" s="45"/>
      <c r="K143" s="45"/>
      <c r="L143" s="45"/>
      <c r="M143" s="45"/>
      <c r="N143" s="45"/>
      <c r="O143" s="45"/>
      <c r="P143" s="45"/>
      <c r="Q143" s="45"/>
      <c r="R143" s="423"/>
      <c r="S143" s="44"/>
    </row>
    <row r="144" spans="3:19" ht="15" customHeight="1">
      <c r="C144" s="45"/>
      <c r="D144" s="45"/>
      <c r="E144" s="45"/>
      <c r="F144" s="45"/>
      <c r="G144" s="45"/>
      <c r="H144" s="45"/>
      <c r="I144" s="45"/>
      <c r="J144" s="45"/>
      <c r="K144" s="45"/>
      <c r="L144" s="45"/>
      <c r="M144" s="45"/>
      <c r="N144" s="45"/>
      <c r="O144" s="45"/>
      <c r="P144" s="45"/>
      <c r="Q144" s="45"/>
      <c r="R144" s="423"/>
      <c r="S144" s="44"/>
    </row>
    <row r="145" spans="3:19" ht="15" customHeight="1">
      <c r="C145" s="45"/>
      <c r="D145" s="45"/>
      <c r="E145" s="45"/>
      <c r="F145" s="45"/>
      <c r="G145" s="45"/>
      <c r="H145" s="45"/>
      <c r="I145" s="45"/>
      <c r="J145" s="45"/>
      <c r="K145" s="45"/>
      <c r="L145" s="45"/>
      <c r="M145" s="45"/>
      <c r="N145" s="45"/>
      <c r="O145" s="45"/>
      <c r="P145" s="45"/>
      <c r="Q145" s="45"/>
      <c r="R145" s="423"/>
      <c r="S145" s="44"/>
    </row>
    <row r="146" spans="3:19" ht="15" customHeight="1">
      <c r="C146" s="45"/>
      <c r="D146" s="45"/>
      <c r="E146" s="45"/>
      <c r="F146" s="45"/>
      <c r="G146" s="45"/>
      <c r="H146" s="45"/>
      <c r="I146" s="45"/>
      <c r="J146" s="45"/>
      <c r="K146" s="45"/>
      <c r="L146" s="45"/>
      <c r="M146" s="45"/>
      <c r="N146" s="45"/>
      <c r="O146" s="45"/>
      <c r="P146" s="45"/>
      <c r="Q146" s="45"/>
      <c r="R146" s="423"/>
      <c r="S146" s="44"/>
    </row>
    <row r="147" spans="3:19" ht="15" customHeight="1">
      <c r="C147" s="45"/>
      <c r="D147" s="45"/>
      <c r="E147" s="45"/>
      <c r="F147" s="45"/>
      <c r="G147" s="45"/>
      <c r="H147" s="45"/>
      <c r="I147" s="45"/>
      <c r="J147" s="45"/>
      <c r="K147" s="45"/>
      <c r="L147" s="45"/>
      <c r="M147" s="45"/>
      <c r="N147" s="45"/>
      <c r="O147" s="45"/>
      <c r="P147" s="45"/>
      <c r="Q147" s="45"/>
      <c r="R147" s="423"/>
      <c r="S147" s="44"/>
    </row>
    <row r="148" spans="3:19" ht="15" customHeight="1">
      <c r="C148" s="45"/>
      <c r="D148" s="45"/>
      <c r="E148" s="45"/>
      <c r="F148" s="45"/>
      <c r="G148" s="45"/>
      <c r="H148" s="45"/>
      <c r="I148" s="45"/>
      <c r="J148" s="45"/>
      <c r="K148" s="45"/>
      <c r="L148" s="45"/>
      <c r="M148" s="45"/>
      <c r="N148" s="45"/>
      <c r="O148" s="45"/>
      <c r="P148" s="45"/>
      <c r="Q148" s="45"/>
      <c r="R148" s="423"/>
      <c r="S148" s="44"/>
    </row>
    <row r="149" spans="3:19" ht="15" customHeight="1">
      <c r="R149" s="420"/>
    </row>
    <row r="150" spans="3:19" ht="15" customHeight="1">
      <c r="R150" s="420"/>
    </row>
    <row r="151" spans="3:19" ht="15" customHeight="1">
      <c r="R151" s="420"/>
    </row>
    <row r="152" spans="3:19" ht="15" customHeight="1">
      <c r="R152" s="420"/>
    </row>
    <row r="153" spans="3:19" ht="15" customHeight="1">
      <c r="R153" s="420"/>
    </row>
    <row r="154" spans="3:19" ht="15" customHeight="1">
      <c r="R154" s="420"/>
    </row>
    <row r="155" spans="3:19" ht="15" customHeight="1">
      <c r="R155" s="420"/>
    </row>
    <row r="156" spans="3:19" ht="15" customHeight="1">
      <c r="R156" s="420"/>
    </row>
    <row r="157" spans="3:19" ht="15" customHeight="1">
      <c r="R157" s="420"/>
    </row>
    <row r="158" spans="3:19" ht="15" customHeight="1">
      <c r="R158" s="420"/>
    </row>
    <row r="159" spans="3:19" ht="15" customHeight="1">
      <c r="R159" s="420"/>
    </row>
    <row r="160" spans="3:19" ht="15" customHeight="1">
      <c r="R160" s="420"/>
    </row>
    <row r="161" spans="18:18" ht="15" customHeight="1">
      <c r="R161" s="420"/>
    </row>
    <row r="162" spans="18:18" ht="15" customHeight="1">
      <c r="R162" s="420"/>
    </row>
    <row r="163" spans="18:18" ht="15" customHeight="1">
      <c r="R163" s="420"/>
    </row>
    <row r="164" spans="18:18" ht="15" customHeight="1">
      <c r="R164" s="420"/>
    </row>
    <row r="165" spans="18:18" ht="15" customHeight="1">
      <c r="R165" s="420"/>
    </row>
    <row r="166" spans="18:18" ht="15" customHeight="1">
      <c r="R166" s="420"/>
    </row>
    <row r="167" spans="18:18" ht="15" customHeight="1">
      <c r="R167" s="420"/>
    </row>
    <row r="168" spans="18:18" ht="15" customHeight="1">
      <c r="R168" s="420"/>
    </row>
    <row r="169" spans="18:18" ht="15" customHeight="1">
      <c r="R169" s="420"/>
    </row>
    <row r="170" spans="18:18" ht="15" customHeight="1">
      <c r="R170" s="420"/>
    </row>
    <row r="171" spans="18:18" ht="15" customHeight="1">
      <c r="R171" s="420"/>
    </row>
    <row r="172" spans="18:18" ht="15" customHeight="1">
      <c r="R172" s="420"/>
    </row>
    <row r="173" spans="18:18" ht="15" customHeight="1">
      <c r="R173" s="420"/>
    </row>
    <row r="174" spans="18:18" ht="15" customHeight="1">
      <c r="R174" s="420"/>
    </row>
    <row r="175" spans="18:18" ht="15" customHeight="1">
      <c r="R175" s="420"/>
    </row>
    <row r="176" spans="18:18" ht="15" customHeight="1">
      <c r="R176" s="420"/>
    </row>
    <row r="177" spans="18:18" ht="15" customHeight="1">
      <c r="R177" s="420"/>
    </row>
    <row r="178" spans="18:18" ht="15" customHeight="1">
      <c r="R178" s="420"/>
    </row>
    <row r="179" spans="18:18" ht="15" customHeight="1">
      <c r="R179" s="420"/>
    </row>
    <row r="180" spans="18:18" ht="15" customHeight="1">
      <c r="R180" s="420"/>
    </row>
    <row r="181" spans="18:18" ht="15" customHeight="1">
      <c r="R181" s="420"/>
    </row>
    <row r="182" spans="18:18" ht="15" customHeight="1">
      <c r="R182" s="420"/>
    </row>
    <row r="183" spans="18:18" ht="15" customHeight="1">
      <c r="R183" s="420"/>
    </row>
    <row r="184" spans="18:18" ht="15" customHeight="1">
      <c r="R184" s="420"/>
    </row>
    <row r="185" spans="18:18" ht="15" customHeight="1">
      <c r="R185" s="420"/>
    </row>
    <row r="186" spans="18:18" ht="15" customHeight="1">
      <c r="R186" s="420"/>
    </row>
    <row r="187" spans="18:18" ht="15" customHeight="1">
      <c r="R187" s="420"/>
    </row>
    <row r="188" spans="18:18" ht="15" customHeight="1">
      <c r="R188" s="420"/>
    </row>
    <row r="189" spans="18:18" ht="15" customHeight="1">
      <c r="R189" s="420"/>
    </row>
    <row r="190" spans="18:18" ht="15" customHeight="1">
      <c r="R190" s="420"/>
    </row>
    <row r="191" spans="18:18" ht="15" customHeight="1">
      <c r="R191" s="420"/>
    </row>
    <row r="192" spans="18:18" ht="15" customHeight="1">
      <c r="R192" s="420"/>
    </row>
    <row r="193" spans="18:18" ht="15" customHeight="1">
      <c r="R193" s="420"/>
    </row>
    <row r="194" spans="18:18" ht="15" customHeight="1">
      <c r="R194" s="420"/>
    </row>
    <row r="195" spans="18:18" ht="15" customHeight="1">
      <c r="R195" s="420"/>
    </row>
    <row r="196" spans="18:18" ht="15" customHeight="1">
      <c r="R196" s="420"/>
    </row>
    <row r="197" spans="18:18" ht="15" customHeight="1">
      <c r="R197" s="420"/>
    </row>
    <row r="198" spans="18:18" ht="15" customHeight="1">
      <c r="R198" s="420"/>
    </row>
    <row r="199" spans="18:18" ht="15" customHeight="1">
      <c r="R199" s="420"/>
    </row>
    <row r="200" spans="18:18" ht="15" customHeight="1">
      <c r="R200" s="420"/>
    </row>
    <row r="201" spans="18:18" ht="15" customHeight="1">
      <c r="R201" s="420"/>
    </row>
    <row r="202" spans="18:18" ht="15" customHeight="1">
      <c r="R202" s="420"/>
    </row>
    <row r="203" spans="18:18" ht="15" customHeight="1">
      <c r="R203" s="420"/>
    </row>
    <row r="204" spans="18:18" ht="15" customHeight="1">
      <c r="R204" s="420"/>
    </row>
    <row r="205" spans="18:18" ht="15" customHeight="1">
      <c r="R205" s="420"/>
    </row>
    <row r="206" spans="18:18" ht="15" customHeight="1">
      <c r="R206" s="420"/>
    </row>
    <row r="207" spans="18:18" ht="15" customHeight="1">
      <c r="R207" s="420"/>
    </row>
    <row r="208" spans="18:18" ht="15" customHeight="1">
      <c r="R208" s="420"/>
    </row>
    <row r="209" spans="18:18" ht="15" customHeight="1">
      <c r="R209" s="420"/>
    </row>
    <row r="210" spans="18:18" ht="15" customHeight="1">
      <c r="R210" s="420"/>
    </row>
    <row r="211" spans="18:18" ht="15" customHeight="1">
      <c r="R211" s="420"/>
    </row>
    <row r="212" spans="18:18" ht="15" customHeight="1">
      <c r="R212" s="420"/>
    </row>
    <row r="213" spans="18:18" ht="15" customHeight="1">
      <c r="R213" s="420"/>
    </row>
    <row r="214" spans="18:18" ht="15" customHeight="1">
      <c r="R214" s="420"/>
    </row>
    <row r="215" spans="18:18" ht="15" customHeight="1">
      <c r="R215" s="420"/>
    </row>
    <row r="216" spans="18:18" ht="15" customHeight="1">
      <c r="R216" s="420"/>
    </row>
    <row r="217" spans="18:18" ht="15" customHeight="1">
      <c r="R217" s="420"/>
    </row>
    <row r="218" spans="18:18" ht="15" customHeight="1">
      <c r="R218" s="420"/>
    </row>
    <row r="219" spans="18:18" ht="15" customHeight="1">
      <c r="R219" s="420"/>
    </row>
    <row r="220" spans="18:18" ht="15" customHeight="1">
      <c r="R220" s="420"/>
    </row>
    <row r="221" spans="18:18" ht="15" customHeight="1">
      <c r="R221" s="420"/>
    </row>
    <row r="222" spans="18:18" ht="15" customHeight="1">
      <c r="R222" s="420"/>
    </row>
    <row r="223" spans="18:18" ht="15" customHeight="1">
      <c r="R223" s="420"/>
    </row>
    <row r="224" spans="18:18" ht="15" customHeight="1">
      <c r="R224" s="420"/>
    </row>
    <row r="225" spans="18:18" ht="15" customHeight="1">
      <c r="R225" s="420"/>
    </row>
    <row r="226" spans="18:18" ht="15" customHeight="1">
      <c r="R226" s="420"/>
    </row>
    <row r="227" spans="18:18" ht="15" customHeight="1">
      <c r="R227" s="420"/>
    </row>
    <row r="228" spans="18:18" ht="15" customHeight="1">
      <c r="R228" s="420"/>
    </row>
    <row r="229" spans="18:18" ht="15" customHeight="1">
      <c r="R229" s="420"/>
    </row>
    <row r="230" spans="18:18" ht="15" customHeight="1">
      <c r="R230" s="420"/>
    </row>
    <row r="231" spans="18:18" ht="15" customHeight="1">
      <c r="R231" s="420"/>
    </row>
    <row r="232" spans="18:18" ht="15" customHeight="1">
      <c r="R232" s="420"/>
    </row>
    <row r="233" spans="18:18" ht="15" customHeight="1">
      <c r="R233" s="420"/>
    </row>
    <row r="234" spans="18:18" ht="15" customHeight="1">
      <c r="R234" s="420"/>
    </row>
    <row r="235" spans="18:18" ht="15" customHeight="1">
      <c r="R235" s="420"/>
    </row>
    <row r="236" spans="18:18" ht="15" customHeight="1">
      <c r="R236" s="420"/>
    </row>
    <row r="237" spans="18:18" ht="15" customHeight="1">
      <c r="R237" s="420"/>
    </row>
    <row r="238" spans="18:18" ht="15" customHeight="1">
      <c r="R238" s="420"/>
    </row>
    <row r="239" spans="18:18" ht="15" customHeight="1">
      <c r="R239" s="420"/>
    </row>
    <row r="240" spans="18:18" ht="15" customHeight="1">
      <c r="R240" s="420"/>
    </row>
    <row r="241" spans="18:18" ht="15" customHeight="1">
      <c r="R241" s="420"/>
    </row>
    <row r="242" spans="18:18" ht="15" customHeight="1">
      <c r="R242" s="420"/>
    </row>
    <row r="243" spans="18:18" ht="15" customHeight="1">
      <c r="R243" s="420"/>
    </row>
    <row r="244" spans="18:18" ht="15" customHeight="1">
      <c r="R244" s="420"/>
    </row>
    <row r="245" spans="18:18" ht="15" customHeight="1">
      <c r="R245" s="420"/>
    </row>
    <row r="246" spans="18:18" ht="15" customHeight="1">
      <c r="R246" s="420"/>
    </row>
    <row r="247" spans="18:18" ht="15" customHeight="1">
      <c r="R247" s="420"/>
    </row>
    <row r="248" spans="18:18">
      <c r="R248" s="420"/>
    </row>
    <row r="249" spans="18:18">
      <c r="R249" s="420"/>
    </row>
    <row r="250" spans="18:18">
      <c r="R250" s="420"/>
    </row>
    <row r="251" spans="18:18">
      <c r="R251" s="420"/>
    </row>
    <row r="252" spans="18:18">
      <c r="R252" s="420"/>
    </row>
    <row r="253" spans="18:18">
      <c r="R253" s="420"/>
    </row>
    <row r="254" spans="18:18">
      <c r="R254" s="420"/>
    </row>
    <row r="255" spans="18:18">
      <c r="R255" s="420"/>
    </row>
    <row r="256" spans="18:18">
      <c r="R256" s="420"/>
    </row>
    <row r="257" spans="18:18">
      <c r="R257" s="420"/>
    </row>
    <row r="258" spans="18:18">
      <c r="R258" s="420"/>
    </row>
    <row r="259" spans="18:18">
      <c r="R259" s="420"/>
    </row>
    <row r="260" spans="18:18">
      <c r="R260" s="420"/>
    </row>
    <row r="261" spans="18:18">
      <c r="R261" s="420"/>
    </row>
    <row r="262" spans="18:18">
      <c r="R262" s="420"/>
    </row>
    <row r="263" spans="18:18">
      <c r="R263" s="420"/>
    </row>
    <row r="264" spans="18:18">
      <c r="R264" s="420"/>
    </row>
    <row r="265" spans="18:18">
      <c r="R265" s="420"/>
    </row>
    <row r="266" spans="18:18">
      <c r="R266" s="420"/>
    </row>
    <row r="267" spans="18:18">
      <c r="R267" s="420"/>
    </row>
    <row r="268" spans="18:18">
      <c r="R268" s="420"/>
    </row>
    <row r="269" spans="18:18">
      <c r="R269" s="420"/>
    </row>
    <row r="270" spans="18:18">
      <c r="R270" s="420"/>
    </row>
    <row r="271" spans="18:18">
      <c r="R271" s="420"/>
    </row>
    <row r="272" spans="18:18">
      <c r="R272" s="420"/>
    </row>
    <row r="273" spans="18:18">
      <c r="R273" s="420"/>
    </row>
    <row r="274" spans="18:18">
      <c r="R274" s="420"/>
    </row>
    <row r="275" spans="18:18">
      <c r="R275" s="420"/>
    </row>
    <row r="276" spans="18:18">
      <c r="R276" s="420"/>
    </row>
    <row r="277" spans="18:18">
      <c r="R277" s="420"/>
    </row>
    <row r="278" spans="18:18">
      <c r="R278" s="420"/>
    </row>
    <row r="279" spans="18:18">
      <c r="R279" s="420"/>
    </row>
    <row r="280" spans="18:18">
      <c r="R280" s="420"/>
    </row>
    <row r="281" spans="18:18">
      <c r="R281" s="420"/>
    </row>
    <row r="282" spans="18:18">
      <c r="R282" s="420"/>
    </row>
    <row r="283" spans="18:18">
      <c r="R283" s="420"/>
    </row>
    <row r="284" spans="18:18">
      <c r="R284" s="420"/>
    </row>
    <row r="285" spans="18:18">
      <c r="R285" s="420"/>
    </row>
    <row r="286" spans="18:18">
      <c r="R286" s="420"/>
    </row>
    <row r="287" spans="18:18">
      <c r="R287" s="420"/>
    </row>
    <row r="288" spans="18:18">
      <c r="R288" s="420"/>
    </row>
    <row r="289" spans="18:18">
      <c r="R289" s="420"/>
    </row>
    <row r="290" spans="18:18">
      <c r="R290" s="420"/>
    </row>
    <row r="291" spans="18:18">
      <c r="R291" s="420"/>
    </row>
    <row r="292" spans="18:18">
      <c r="R292" s="420"/>
    </row>
    <row r="293" spans="18:18">
      <c r="R293" s="420"/>
    </row>
    <row r="294" spans="18:18">
      <c r="R294" s="420"/>
    </row>
    <row r="295" spans="18:18">
      <c r="R295" s="420"/>
    </row>
    <row r="296" spans="18:18">
      <c r="R296" s="420"/>
    </row>
    <row r="297" spans="18:18">
      <c r="R297" s="420"/>
    </row>
    <row r="298" spans="18:18">
      <c r="R298" s="420"/>
    </row>
    <row r="299" spans="18:18">
      <c r="R299" s="420"/>
    </row>
    <row r="300" spans="18:18">
      <c r="R300" s="420"/>
    </row>
    <row r="301" spans="18:18">
      <c r="R301" s="420"/>
    </row>
    <row r="302" spans="18:18">
      <c r="R302" s="420"/>
    </row>
    <row r="303" spans="18:18">
      <c r="R303" s="420"/>
    </row>
    <row r="304" spans="18:18">
      <c r="R304" s="420"/>
    </row>
    <row r="305" spans="18:18">
      <c r="R305" s="420"/>
    </row>
    <row r="306" spans="18:18">
      <c r="R306" s="420"/>
    </row>
    <row r="307" spans="18:18">
      <c r="R307" s="420"/>
    </row>
    <row r="308" spans="18:18">
      <c r="R308" s="420"/>
    </row>
    <row r="309" spans="18:18">
      <c r="R309" s="420"/>
    </row>
    <row r="310" spans="18:18">
      <c r="R310" s="420"/>
    </row>
    <row r="311" spans="18:18">
      <c r="R311" s="420"/>
    </row>
    <row r="312" spans="18:18">
      <c r="R312" s="420"/>
    </row>
    <row r="313" spans="18:18">
      <c r="R313" s="420"/>
    </row>
    <row r="314" spans="18:18">
      <c r="R314" s="420"/>
    </row>
    <row r="315" spans="18:18">
      <c r="R315" s="420"/>
    </row>
    <row r="316" spans="18:18">
      <c r="R316" s="420"/>
    </row>
    <row r="317" spans="18:18">
      <c r="R317" s="420"/>
    </row>
    <row r="318" spans="18:18">
      <c r="R318" s="420"/>
    </row>
    <row r="319" spans="18:18">
      <c r="R319" s="420"/>
    </row>
    <row r="320" spans="18:18">
      <c r="R320" s="420"/>
    </row>
    <row r="321" spans="18:18">
      <c r="R321" s="420"/>
    </row>
    <row r="322" spans="18:18">
      <c r="R322" s="420"/>
    </row>
    <row r="323" spans="18:18">
      <c r="R323" s="420"/>
    </row>
    <row r="324" spans="18:18">
      <c r="R324" s="420"/>
    </row>
    <row r="325" spans="18:18">
      <c r="R325" s="420"/>
    </row>
    <row r="326" spans="18:18">
      <c r="R326" s="420"/>
    </row>
  </sheetData>
  <mergeCells count="4">
    <mergeCell ref="B1:S1"/>
    <mergeCell ref="B3:S3"/>
    <mergeCell ref="B6:S6"/>
    <mergeCell ref="B5:S5"/>
  </mergeCells>
  <phoneticPr fontId="0" type="noConversion"/>
  <printOptions horizontalCentered="1"/>
  <pageMargins left="0.25" right="0.25" top="0.75" bottom="0.5" header="0" footer="0.25"/>
  <pageSetup scale="48" fitToHeight="3" orientation="landscape" horizontalDpi="300" verticalDpi="300" r:id="rId1"/>
  <headerFooter alignWithMargins="0">
    <oddFooter xml:space="preserve">&amp;C&amp;9
&amp;"Times New Roman,Regular"&amp;10See accompanying summary of significant forecast  assumptions.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7"/>
  <sheetViews>
    <sheetView zoomScaleNormal="100" workbookViewId="0"/>
  </sheetViews>
  <sheetFormatPr defaultRowHeight="15"/>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29.25" customHeight="1">
      <c r="A15" s="1021" t="s">
        <v>159</v>
      </c>
      <c r="B15" s="1021"/>
      <c r="C15" s="1021"/>
      <c r="D15" s="1021"/>
      <c r="E15" s="1021"/>
      <c r="F15" s="1021"/>
      <c r="G15" s="1021"/>
      <c r="H15" s="1021"/>
    </row>
    <row r="16" spans="1:8" ht="16.5">
      <c r="C16" s="56"/>
    </row>
    <row r="17" spans="3:3" ht="16.5">
      <c r="C17" s="56"/>
    </row>
  </sheetData>
  <mergeCells count="1">
    <mergeCell ref="A15:H15"/>
  </mergeCells>
  <printOptions horizontalCentered="1"/>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dimension ref="A1:R55"/>
  <sheetViews>
    <sheetView zoomScaleNormal="100" workbookViewId="0">
      <selection activeCell="M27" sqref="M27"/>
    </sheetView>
  </sheetViews>
  <sheetFormatPr defaultColWidth="9.6640625" defaultRowHeight="15.75"/>
  <cols>
    <col min="1" max="1" width="17.109375" style="77" bestFit="1" customWidth="1"/>
    <col min="2" max="2" width="10.77734375" style="77" customWidth="1"/>
    <col min="3" max="3" width="0.88671875" style="78" customWidth="1"/>
    <col min="4" max="4" width="10.77734375" style="77" customWidth="1"/>
    <col min="5" max="5" width="0.88671875" style="78" customWidth="1"/>
    <col min="6" max="6" width="9" style="77" customWidth="1"/>
    <col min="7" max="7" width="0.88671875" style="78" customWidth="1"/>
    <col min="8" max="8" width="9.77734375" style="77" customWidth="1"/>
    <col min="9" max="9" width="0.88671875" style="78" customWidth="1"/>
    <col min="10" max="10" width="7.33203125" style="77" customWidth="1"/>
    <col min="11" max="11" width="0.88671875" style="78" customWidth="1"/>
    <col min="12" max="12" width="10.21875" style="77" bestFit="1" customWidth="1"/>
    <col min="13" max="13" width="0.88671875" style="78" customWidth="1"/>
    <col min="14" max="14" width="10.77734375" style="77" customWidth="1"/>
    <col min="15" max="15" width="0.88671875" style="78" customWidth="1"/>
    <col min="16" max="16" width="10.77734375" style="77" customWidth="1"/>
    <col min="17" max="17" width="0.88671875" style="78" customWidth="1"/>
    <col min="18" max="18" width="10.77734375" style="77" customWidth="1"/>
    <col min="19" max="19" width="9.6640625" style="77" customWidth="1"/>
    <col min="20" max="16384" width="9.6640625" style="77"/>
  </cols>
  <sheetData>
    <row r="1" spans="1:18" ht="16.5" customHeight="1">
      <c r="A1" s="1022" t="str">
        <f>+Assumptions!A1</f>
        <v>Pullman Disposal Services, Inc.</v>
      </c>
      <c r="B1" s="1022"/>
      <c r="C1" s="1022"/>
      <c r="D1" s="1022"/>
      <c r="E1" s="1022"/>
      <c r="F1" s="1022"/>
      <c r="G1" s="1022"/>
      <c r="H1" s="1022"/>
      <c r="I1" s="1022"/>
      <c r="J1" s="1022"/>
      <c r="K1" s="1022"/>
      <c r="L1" s="1022"/>
      <c r="M1" s="1022"/>
      <c r="N1" s="1022"/>
      <c r="O1" s="1022"/>
      <c r="P1" s="1022"/>
      <c r="Q1" s="1022"/>
      <c r="R1" s="1022"/>
    </row>
    <row r="2" spans="1:18" ht="13.5" customHeight="1">
      <c r="A2" s="103"/>
      <c r="B2" s="101"/>
      <c r="C2" s="102"/>
      <c r="D2" s="101"/>
      <c r="E2" s="102"/>
      <c r="F2" s="101"/>
      <c r="G2" s="102"/>
      <c r="H2" s="101"/>
      <c r="I2" s="102"/>
      <c r="J2" s="101"/>
      <c r="K2" s="102"/>
      <c r="L2" s="101"/>
      <c r="M2" s="102"/>
      <c r="N2" s="101"/>
      <c r="O2" s="102"/>
      <c r="P2" s="101"/>
      <c r="Q2" s="102"/>
      <c r="R2" s="101"/>
    </row>
    <row r="3" spans="1:18" ht="16.5" customHeight="1">
      <c r="A3" s="1022" t="s">
        <v>262</v>
      </c>
      <c r="B3" s="1022"/>
      <c r="C3" s="1022"/>
      <c r="D3" s="1022"/>
      <c r="E3" s="1022"/>
      <c r="F3" s="1022"/>
      <c r="G3" s="1022"/>
      <c r="H3" s="1022"/>
      <c r="I3" s="1022"/>
      <c r="J3" s="1022"/>
      <c r="K3" s="1022"/>
      <c r="L3" s="1022"/>
      <c r="M3" s="1022"/>
      <c r="N3" s="1022"/>
      <c r="O3" s="1022"/>
      <c r="P3" s="1022"/>
      <c r="Q3" s="1022"/>
      <c r="R3" s="1022"/>
    </row>
    <row r="4" spans="1:18">
      <c r="A4" s="99"/>
      <c r="B4" s="99"/>
      <c r="C4" s="100"/>
      <c r="D4" s="99"/>
      <c r="E4" s="100"/>
      <c r="F4" t="s">
        <v>1021</v>
      </c>
      <c r="G4" s="100"/>
      <c r="H4" s="99"/>
      <c r="I4" s="100"/>
      <c r="J4" s="99"/>
      <c r="K4" s="100"/>
      <c r="L4" s="99"/>
      <c r="M4" s="100"/>
      <c r="N4" s="99"/>
      <c r="O4" s="100"/>
      <c r="P4" s="99"/>
      <c r="Q4" s="100"/>
      <c r="R4" s="99"/>
    </row>
    <row r="5" spans="1:18">
      <c r="A5" s="1023"/>
      <c r="B5" s="1023"/>
      <c r="C5" s="1023"/>
      <c r="D5" s="1023"/>
      <c r="E5" s="1023"/>
      <c r="F5" s="1023"/>
      <c r="G5" s="1023"/>
      <c r="H5" s="1023"/>
      <c r="I5" s="1023"/>
      <c r="J5" s="1023"/>
      <c r="K5" s="1023"/>
      <c r="L5" s="1023"/>
      <c r="M5" s="1023"/>
      <c r="N5" s="1023"/>
      <c r="O5" s="1023"/>
      <c r="P5" s="1023"/>
      <c r="Q5" s="1023"/>
      <c r="R5" s="1023"/>
    </row>
    <row r="6" spans="1:18">
      <c r="A6" s="104"/>
    </row>
    <row r="7" spans="1:18" s="79" customFormat="1" ht="15" customHeight="1">
      <c r="A7" s="85"/>
      <c r="B7" s="97">
        <v>12</v>
      </c>
      <c r="C7" s="93"/>
      <c r="D7" s="85" t="s">
        <v>210</v>
      </c>
      <c r="E7" s="93"/>
      <c r="F7" s="85"/>
      <c r="G7" s="93"/>
      <c r="H7" s="85"/>
      <c r="I7" s="93"/>
      <c r="J7" s="85"/>
      <c r="K7" s="93"/>
      <c r="L7" s="85"/>
      <c r="M7" s="93"/>
      <c r="N7" s="85"/>
      <c r="O7" s="93"/>
      <c r="P7" s="85"/>
      <c r="Q7" s="93"/>
      <c r="R7" s="85"/>
    </row>
    <row r="8" spans="1:18" s="79" customFormat="1" ht="15" customHeight="1">
      <c r="A8" s="85"/>
      <c r="B8" s="97">
        <v>0</v>
      </c>
      <c r="C8" s="93"/>
      <c r="D8" s="85" t="s">
        <v>209</v>
      </c>
      <c r="E8" s="93"/>
      <c r="F8" s="85"/>
      <c r="G8" s="93"/>
      <c r="H8" s="85"/>
      <c r="I8" s="93"/>
      <c r="J8" s="85"/>
      <c r="K8" s="93"/>
      <c r="L8" s="85"/>
      <c r="M8" s="93"/>
      <c r="N8" s="85"/>
      <c r="O8" s="93"/>
      <c r="P8" s="85"/>
      <c r="Q8" s="93"/>
      <c r="R8" s="85"/>
    </row>
    <row r="9" spans="1:18" s="79" customFormat="1" ht="15" customHeight="1">
      <c r="A9" s="85"/>
      <c r="B9" s="98">
        <v>118</v>
      </c>
      <c r="C9" s="93"/>
      <c r="D9" s="85" t="s">
        <v>208</v>
      </c>
      <c r="E9" s="93"/>
      <c r="F9" s="85"/>
      <c r="G9" s="93"/>
      <c r="H9" s="85"/>
      <c r="I9" s="93"/>
      <c r="J9" s="85"/>
      <c r="K9" s="93"/>
      <c r="L9" s="85"/>
      <c r="M9" s="93"/>
      <c r="N9" s="85"/>
      <c r="O9" s="93"/>
      <c r="P9" s="85"/>
      <c r="Q9" s="93"/>
      <c r="R9" s="85"/>
    </row>
    <row r="10" spans="1:18" s="79" customFormat="1" ht="15" customHeight="1">
      <c r="A10" s="85"/>
      <c r="B10" s="98">
        <v>119</v>
      </c>
      <c r="C10" s="93"/>
      <c r="D10" s="85" t="s">
        <v>205</v>
      </c>
      <c r="E10" s="93"/>
      <c r="F10" s="85"/>
      <c r="G10" s="93"/>
      <c r="H10" s="85"/>
      <c r="I10" s="93"/>
      <c r="J10" s="85"/>
      <c r="K10" s="93"/>
      <c r="L10" s="85"/>
      <c r="M10" s="92"/>
      <c r="N10" s="95" t="s">
        <v>204</v>
      </c>
      <c r="O10" s="92"/>
      <c r="P10" s="95" t="s">
        <v>203</v>
      </c>
      <c r="Q10" s="92"/>
      <c r="R10" s="85"/>
    </row>
    <row r="11" spans="1:18" s="79" customFormat="1" ht="15" customHeight="1">
      <c r="A11" s="96"/>
      <c r="B11" s="97"/>
      <c r="C11" s="93"/>
      <c r="D11" s="85"/>
      <c r="E11" s="93"/>
      <c r="F11" s="85"/>
      <c r="G11" s="93"/>
      <c r="H11" s="85"/>
      <c r="I11" s="93"/>
      <c r="J11" s="95" t="s">
        <v>77</v>
      </c>
      <c r="K11" s="92"/>
      <c r="L11" s="95" t="s">
        <v>0</v>
      </c>
      <c r="M11" s="92"/>
      <c r="N11" s="95" t="s">
        <v>196</v>
      </c>
      <c r="O11" s="92"/>
      <c r="P11" s="95" t="s">
        <v>196</v>
      </c>
      <c r="Q11" s="92"/>
      <c r="R11" s="85"/>
    </row>
    <row r="12" spans="1:18" s="79" customFormat="1" ht="15" customHeight="1">
      <c r="A12" s="96"/>
      <c r="B12" s="96"/>
      <c r="C12" s="92"/>
      <c r="D12" s="96"/>
      <c r="E12" s="92"/>
      <c r="F12" s="95" t="s">
        <v>191</v>
      </c>
      <c r="G12" s="92"/>
      <c r="H12" s="95" t="s">
        <v>189</v>
      </c>
      <c r="I12" s="92"/>
      <c r="J12" s="95" t="s">
        <v>190</v>
      </c>
      <c r="K12" s="92"/>
      <c r="L12" s="95" t="s">
        <v>189</v>
      </c>
      <c r="M12" s="92"/>
      <c r="N12" s="95" t="s">
        <v>57</v>
      </c>
      <c r="O12" s="92"/>
      <c r="P12" s="95" t="s">
        <v>57</v>
      </c>
      <c r="Q12" s="92"/>
      <c r="R12" s="95" t="s">
        <v>164</v>
      </c>
    </row>
    <row r="13" spans="1:18" s="79" customFormat="1" ht="15" customHeight="1">
      <c r="A13" s="94" t="s">
        <v>187</v>
      </c>
      <c r="B13" s="87" t="s">
        <v>184</v>
      </c>
      <c r="C13" s="92"/>
      <c r="D13" s="87" t="s">
        <v>182</v>
      </c>
      <c r="E13" s="92"/>
      <c r="F13" s="87" t="s">
        <v>57</v>
      </c>
      <c r="G13" s="92"/>
      <c r="H13" s="87" t="s">
        <v>57</v>
      </c>
      <c r="I13" s="92"/>
      <c r="J13" s="87" t="s">
        <v>57</v>
      </c>
      <c r="K13" s="92"/>
      <c r="L13" s="87" t="s">
        <v>57</v>
      </c>
      <c r="M13" s="92"/>
      <c r="N13" s="91">
        <v>43101</v>
      </c>
      <c r="O13" s="90"/>
      <c r="P13" s="89">
        <v>43465</v>
      </c>
      <c r="Q13" s="88"/>
      <c r="R13" s="87" t="s">
        <v>171</v>
      </c>
    </row>
    <row r="14" spans="1:18" s="79" customFormat="1" ht="15" customHeight="1">
      <c r="A14" s="94"/>
      <c r="B14" s="87"/>
      <c r="C14" s="92"/>
      <c r="D14" s="87"/>
      <c r="E14" s="92"/>
      <c r="F14" s="87"/>
      <c r="G14" s="92"/>
      <c r="H14" s="87"/>
      <c r="I14" s="92"/>
      <c r="J14" s="87"/>
      <c r="K14" s="92"/>
      <c r="L14" s="87"/>
      <c r="M14" s="92"/>
      <c r="N14" s="91"/>
      <c r="O14" s="90"/>
      <c r="P14" s="89"/>
      <c r="Q14" s="88"/>
      <c r="R14" s="87"/>
    </row>
    <row r="15" spans="1:18" s="79" customFormat="1" ht="15" customHeight="1">
      <c r="A15" s="85" t="s">
        <v>633</v>
      </c>
      <c r="B15" s="345">
        <f>+'WP-1, pg 2 - Depr'!L66</f>
        <v>2806576</v>
      </c>
      <c r="C15" s="347"/>
      <c r="D15" s="345">
        <f>+'WP-1, pg 2 - Depr'!N66</f>
        <v>2389635.06</v>
      </c>
      <c r="E15" s="347"/>
      <c r="F15" s="345">
        <f>+'WP-1, pg 2 - Depr'!O66</f>
        <v>28480.398333333331</v>
      </c>
      <c r="G15" s="347"/>
      <c r="H15" s="345">
        <f>+'WP-1, pg 2 - Depr'!P66</f>
        <v>93371.89428571437</v>
      </c>
      <c r="I15" s="347"/>
      <c r="J15" s="345">
        <f>+'WP-1, pg 2 - Depr'!Q68</f>
        <v>0</v>
      </c>
      <c r="K15" s="347"/>
      <c r="L15" s="345">
        <f>+'WP-1, pg 2 - Depr'!R66</f>
        <v>93371.89428571437</v>
      </c>
      <c r="M15" s="347"/>
      <c r="N15" s="345">
        <f>+'WP-1, pg 2 - Depr'!U66</f>
        <v>1811407.8538095236</v>
      </c>
      <c r="O15" s="347"/>
      <c r="P15" s="345">
        <f>+'WP-1, pg 2 - Depr'!Y66</f>
        <v>1904779.7480952383</v>
      </c>
      <c r="Q15" s="347"/>
      <c r="R15" s="345">
        <f>+'WP-1, pg 2 - Depr'!Z66</f>
        <v>948482.19904761924</v>
      </c>
    </row>
    <row r="16" spans="1:18" s="79" customFormat="1" ht="15" customHeight="1">
      <c r="A16" s="85" t="s">
        <v>677</v>
      </c>
      <c r="B16" s="346">
        <f>+'WP-1, pg 2 - Depr'!L76</f>
        <v>49868</v>
      </c>
      <c r="C16" s="347"/>
      <c r="D16" s="346">
        <f>+'WP-1, pg 2 - Depr'!N76</f>
        <v>49868</v>
      </c>
      <c r="E16" s="347"/>
      <c r="F16" s="346">
        <f>+'WP-1, pg 2 - Depr'!O76</f>
        <v>287.70555555555552</v>
      </c>
      <c r="G16" s="347"/>
      <c r="H16" s="346">
        <f>+'WP-1, pg 2 - Depr'!P76</f>
        <v>2884.6</v>
      </c>
      <c r="I16" s="347"/>
      <c r="J16" s="346">
        <f>+'WP-1, pg 2 - Depr'!Q76</f>
        <v>0</v>
      </c>
      <c r="K16" s="347"/>
      <c r="L16" s="346">
        <f>+'WP-1, pg 2 - Depr'!R76</f>
        <v>2884.6</v>
      </c>
      <c r="M16" s="347"/>
      <c r="N16" s="346">
        <f>+'WP-1, pg 2 - Depr'!U76</f>
        <v>34516.522222222215</v>
      </c>
      <c r="O16" s="347"/>
      <c r="P16" s="346">
        <f>+'WP-1, pg 2 - Depr'!Y76</f>
        <v>37401.122222222213</v>
      </c>
      <c r="Q16" s="347"/>
      <c r="R16" s="346">
        <f>+'WP-1, pg 2 - Depr'!Z76</f>
        <v>13909.177777777786</v>
      </c>
    </row>
    <row r="17" spans="1:18" s="79" customFormat="1" ht="15" customHeight="1">
      <c r="A17" s="85" t="s">
        <v>683</v>
      </c>
      <c r="B17" s="346">
        <f>+'WP-1, pg 2 - Depr'!L103</f>
        <v>76984</v>
      </c>
      <c r="C17" s="347"/>
      <c r="D17" s="346">
        <f>+'WP-1, pg 2 - Depr'!N103</f>
        <v>76984</v>
      </c>
      <c r="E17" s="347"/>
      <c r="F17" s="346">
        <f>+'WP-1, pg 2 - Depr'!O103</f>
        <v>1107.0380952380951</v>
      </c>
      <c r="G17" s="347"/>
      <c r="H17" s="346">
        <f>+'WP-1, pg 2 - Depr'!P103</f>
        <v>2453.2666666666578</v>
      </c>
      <c r="I17" s="347"/>
      <c r="J17" s="346">
        <f>+'WP-1, pg 2 - Depr'!Q103</f>
        <v>0</v>
      </c>
      <c r="K17" s="347"/>
      <c r="L17" s="346">
        <f>+'WP-1, pg 2 - Depr'!R103</f>
        <v>2453.2666666666578</v>
      </c>
      <c r="M17" s="347"/>
      <c r="N17" s="346">
        <f>+'WP-1, pg 2 - Depr'!U103</f>
        <v>70516.866666666669</v>
      </c>
      <c r="O17" s="347"/>
      <c r="P17" s="346">
        <f>+'WP-1, pg 2 - Depr'!Y103</f>
        <v>72970.133333333331</v>
      </c>
      <c r="Q17" s="347"/>
      <c r="R17" s="346">
        <f>+'WP-1, pg 2 - Depr'!Z103</f>
        <v>5240.5000000000018</v>
      </c>
    </row>
    <row r="18" spans="1:18" s="79" customFormat="1" ht="15" customHeight="1">
      <c r="A18" s="85" t="s">
        <v>701</v>
      </c>
      <c r="B18" s="346">
        <f>+'WP-1, pg 2 - Depr'!L203</f>
        <v>1426581</v>
      </c>
      <c r="C18" s="347"/>
      <c r="D18" s="346">
        <f>+'WP-1, pg 2 - Depr'!N203</f>
        <v>1426581</v>
      </c>
      <c r="E18" s="347"/>
      <c r="F18" s="346">
        <f>+'WP-1, pg 2 - Depr'!O203</f>
        <v>15941.906349206349</v>
      </c>
      <c r="G18" s="347"/>
      <c r="H18" s="346">
        <f>+'WP-1, pg 2 - Depr'!P203</f>
        <v>147875.93809523812</v>
      </c>
      <c r="I18" s="347"/>
      <c r="J18" s="346">
        <f>+'WP-1, pg 2 - Depr'!Q203</f>
        <v>0</v>
      </c>
      <c r="K18" s="347"/>
      <c r="L18" s="346">
        <f>+'WP-1, pg 2 - Depr'!R203</f>
        <v>147875.93809523812</v>
      </c>
      <c r="M18" s="347"/>
      <c r="N18" s="346">
        <f>+'WP-1, pg 2 - Depr'!U203</f>
        <v>864894.67738095205</v>
      </c>
      <c r="O18" s="347"/>
      <c r="P18" s="346">
        <f>+'WP-1, pg 2 - Depr'!Y203</f>
        <v>1012770.6154761906</v>
      </c>
      <c r="Q18" s="347"/>
      <c r="R18" s="346">
        <f>+'WP-1, pg 2 - Depr'!Z203</f>
        <v>487748.35357142868</v>
      </c>
    </row>
    <row r="19" spans="1:18" s="79" customFormat="1" ht="15" customHeight="1">
      <c r="A19" s="85" t="s">
        <v>59</v>
      </c>
      <c r="B19" s="740">
        <f>+'WP-1, pg 2 - Depr'!L281</f>
        <v>549498</v>
      </c>
      <c r="C19" s="347"/>
      <c r="D19" s="740">
        <f>+'WP-1, pg 2 - Depr'!N281</f>
        <v>549498</v>
      </c>
      <c r="E19" s="347"/>
      <c r="F19" s="740">
        <f>+'WP-1, pg 2 - Depr'!O281</f>
        <v>5346.0583333333343</v>
      </c>
      <c r="G19" s="347"/>
      <c r="H19" s="740">
        <f>+'WP-1, pg 2 - Depr'!P281</f>
        <v>10106.524999999971</v>
      </c>
      <c r="I19" s="347"/>
      <c r="J19" s="740">
        <f>+'WP-1, pg 2 - Depr'!Q283</f>
        <v>0</v>
      </c>
      <c r="K19" s="347"/>
      <c r="L19" s="740">
        <f>+'WP-1, pg 2 - Depr'!R281</f>
        <v>10106.524999999971</v>
      </c>
      <c r="M19" s="347"/>
      <c r="N19" s="740">
        <f>+'WP-1, pg 2 - Depr'!U281</f>
        <v>478537.9250000001</v>
      </c>
      <c r="O19" s="347"/>
      <c r="P19" s="740">
        <f>+'WP-1, pg 2 - Depr'!Y281</f>
        <v>488644.44999999995</v>
      </c>
      <c r="Q19" s="347"/>
      <c r="R19" s="740">
        <f>+'WP-1, pg 2 - Depr'!Z281</f>
        <v>39937.312499999993</v>
      </c>
    </row>
    <row r="20" spans="1:18" s="79" customFormat="1" ht="15" customHeight="1">
      <c r="A20" s="85"/>
      <c r="B20" s="83"/>
      <c r="C20" s="84"/>
      <c r="D20" s="83"/>
      <c r="E20" s="84"/>
      <c r="F20" s="83"/>
      <c r="G20" s="84"/>
      <c r="H20" s="83"/>
      <c r="I20" s="84"/>
      <c r="J20" s="83"/>
      <c r="K20" s="84"/>
      <c r="L20" s="83"/>
      <c r="M20" s="84"/>
      <c r="N20" s="83"/>
      <c r="O20" s="84"/>
      <c r="P20" s="83"/>
      <c r="Q20" s="84"/>
      <c r="R20" s="83"/>
    </row>
    <row r="21" spans="1:18" s="79" customFormat="1" ht="15" customHeight="1" thickBot="1">
      <c r="A21" s="85"/>
      <c r="B21" s="505">
        <f>SUM(B15:B19)</f>
        <v>4909507</v>
      </c>
      <c r="C21" s="84"/>
      <c r="D21" s="86">
        <f>SUM(D15:D19)</f>
        <v>4492566.0600000005</v>
      </c>
      <c r="E21" s="84"/>
      <c r="F21" s="86">
        <f>SUM(F15:F19)</f>
        <v>51163.106666666667</v>
      </c>
      <c r="G21" s="84"/>
      <c r="H21" s="86">
        <f>SUM(H15:H19)</f>
        <v>256692.22404761912</v>
      </c>
      <c r="I21" s="84"/>
      <c r="J21" s="86">
        <f>SUM(J15:J19)</f>
        <v>0</v>
      </c>
      <c r="K21" s="84"/>
      <c r="L21" s="86">
        <f>SUM(L15:L19)</f>
        <v>256692.22404761912</v>
      </c>
      <c r="M21" s="84"/>
      <c r="N21" s="86">
        <f>SUM(N15:N19)</f>
        <v>3259873.8450793647</v>
      </c>
      <c r="O21" s="84"/>
      <c r="P21" s="86">
        <f>SUM(P15:P19)</f>
        <v>3516566.0691269841</v>
      </c>
      <c r="Q21" s="84"/>
      <c r="R21" s="86">
        <f>SUM(R15:R19)</f>
        <v>1495317.5428968258</v>
      </c>
    </row>
    <row r="22" spans="1:18" s="79" customFormat="1" ht="15" customHeight="1" thickTop="1">
      <c r="A22" s="85"/>
      <c r="B22" s="83"/>
      <c r="C22" s="84"/>
      <c r="D22" s="83"/>
      <c r="E22" s="84"/>
      <c r="F22" s="83"/>
      <c r="G22" s="84"/>
      <c r="H22" s="83"/>
      <c r="I22" s="84"/>
      <c r="J22" s="83"/>
      <c r="K22" s="84"/>
      <c r="L22" s="83"/>
      <c r="M22" s="84"/>
      <c r="N22" s="83"/>
      <c r="O22" s="84"/>
      <c r="P22" s="83"/>
      <c r="Q22" s="84"/>
      <c r="R22" s="83"/>
    </row>
    <row r="23" spans="1:18" s="79" customFormat="1" ht="15" customHeight="1">
      <c r="C23" s="80"/>
      <c r="E23" s="80"/>
      <c r="G23" s="80"/>
      <c r="H23" s="81"/>
      <c r="I23" s="82"/>
      <c r="J23" s="751" t="s">
        <v>150</v>
      </c>
      <c r="K23" s="82"/>
      <c r="L23" s="753">
        <f>+'Sch 4 - 12 Months'!S95</f>
        <v>286105</v>
      </c>
      <c r="M23" s="82"/>
      <c r="N23" s="81"/>
      <c r="O23" s="82"/>
      <c r="P23" s="81"/>
      <c r="Q23" s="82"/>
      <c r="R23" s="81"/>
    </row>
    <row r="24" spans="1:18" s="79" customFormat="1" ht="15" customHeight="1">
      <c r="C24" s="80"/>
      <c r="E24" s="80"/>
      <c r="G24" s="80"/>
      <c r="I24" s="80"/>
      <c r="J24" s="752" t="s">
        <v>834</v>
      </c>
      <c r="K24" s="80"/>
      <c r="L24" s="750">
        <f>+L21-L23</f>
        <v>-29412.775952380878</v>
      </c>
      <c r="M24" s="80"/>
      <c r="N24" s="750"/>
      <c r="O24" s="80"/>
      <c r="Q24" s="80"/>
    </row>
    <row r="25" spans="1:18" s="79" customFormat="1" ht="15" customHeight="1">
      <c r="C25" s="80"/>
      <c r="E25" s="80"/>
      <c r="G25" s="80"/>
      <c r="I25" s="80"/>
      <c r="K25" s="80"/>
      <c r="M25" s="80"/>
      <c r="O25" s="80"/>
      <c r="Q25" s="80"/>
    </row>
    <row r="26" spans="1:18" s="79" customFormat="1" ht="15" customHeight="1">
      <c r="C26" s="80"/>
      <c r="E26" s="80"/>
      <c r="G26" s="80"/>
      <c r="I26" s="80"/>
      <c r="K26" s="80"/>
      <c r="M26" s="80"/>
      <c r="O26" s="80"/>
      <c r="Q26" s="80"/>
    </row>
    <row r="27" spans="1:18" s="79" customFormat="1" ht="15" customHeight="1">
      <c r="C27" s="80"/>
      <c r="E27" s="80"/>
      <c r="G27" s="80"/>
      <c r="I27" s="80"/>
      <c r="K27" s="80"/>
      <c r="M27" s="80"/>
      <c r="O27" s="80"/>
      <c r="Q27" s="80"/>
    </row>
    <row r="28" spans="1:18" s="79" customFormat="1" ht="15" customHeight="1">
      <c r="B28" s="750"/>
      <c r="C28" s="80"/>
      <c r="E28" s="80"/>
      <c r="G28" s="80"/>
      <c r="I28" s="80"/>
      <c r="K28" s="80"/>
      <c r="M28" s="80"/>
      <c r="O28" s="80"/>
      <c r="Q28" s="80"/>
    </row>
    <row r="29" spans="1:18" s="79" customFormat="1" ht="15" customHeight="1">
      <c r="B29" s="750"/>
      <c r="C29" s="80"/>
      <c r="E29" s="80"/>
      <c r="G29" s="80"/>
      <c r="I29" s="80"/>
      <c r="K29" s="80"/>
      <c r="M29" s="80"/>
      <c r="O29" s="80"/>
      <c r="Q29" s="80"/>
    </row>
    <row r="30" spans="1:18" s="79" customFormat="1" ht="15" customHeight="1">
      <c r="B30" s="750"/>
      <c r="C30" s="80"/>
      <c r="E30" s="80"/>
      <c r="G30" s="80"/>
      <c r="I30" s="80"/>
      <c r="K30" s="80"/>
      <c r="M30" s="80"/>
      <c r="O30" s="80"/>
      <c r="Q30" s="80"/>
    </row>
    <row r="31" spans="1:18" s="79" customFormat="1" ht="15" customHeight="1">
      <c r="C31" s="80"/>
      <c r="E31" s="80"/>
      <c r="G31" s="80"/>
      <c r="I31" s="80"/>
      <c r="K31" s="80"/>
      <c r="M31" s="80"/>
      <c r="O31" s="80"/>
      <c r="Q31" s="80"/>
    </row>
    <row r="32" spans="1:18" s="79" customFormat="1" ht="15" customHeight="1">
      <c r="C32" s="80"/>
      <c r="E32" s="80"/>
      <c r="G32" s="80"/>
      <c r="I32" s="80"/>
      <c r="K32" s="80"/>
      <c r="M32" s="80"/>
      <c r="O32" s="80"/>
      <c r="Q32" s="80"/>
    </row>
    <row r="33" spans="3:17" s="79" customFormat="1" ht="15" customHeight="1">
      <c r="C33" s="80"/>
      <c r="E33" s="80"/>
      <c r="G33" s="80"/>
      <c r="I33" s="80"/>
      <c r="K33" s="80"/>
      <c r="M33" s="80"/>
      <c r="O33" s="80"/>
      <c r="Q33" s="80"/>
    </row>
    <row r="34" spans="3:17" s="79" customFormat="1" ht="15" customHeight="1">
      <c r="C34" s="80"/>
      <c r="E34" s="80"/>
      <c r="G34" s="80"/>
      <c r="I34" s="80"/>
      <c r="K34" s="80"/>
      <c r="M34" s="80"/>
      <c r="O34" s="80"/>
      <c r="Q34" s="80"/>
    </row>
    <row r="35" spans="3:17" s="79" customFormat="1" ht="15" customHeight="1">
      <c r="C35" s="80"/>
      <c r="E35" s="80"/>
      <c r="G35" s="80"/>
      <c r="I35" s="80"/>
      <c r="K35" s="80"/>
      <c r="M35" s="80"/>
      <c r="O35" s="80"/>
      <c r="Q35" s="80"/>
    </row>
    <row r="36" spans="3:17" s="79" customFormat="1" ht="15" customHeight="1">
      <c r="C36" s="80"/>
      <c r="E36" s="80"/>
      <c r="G36" s="80"/>
      <c r="I36" s="80"/>
      <c r="K36" s="80"/>
      <c r="M36" s="80"/>
      <c r="O36" s="80"/>
      <c r="Q36" s="80"/>
    </row>
    <row r="37" spans="3:17" s="79" customFormat="1" ht="15" customHeight="1">
      <c r="C37" s="80"/>
      <c r="E37" s="80"/>
      <c r="G37" s="80"/>
      <c r="I37" s="80"/>
      <c r="K37" s="80"/>
      <c r="M37" s="80"/>
      <c r="O37" s="80"/>
      <c r="Q37" s="80"/>
    </row>
    <row r="38" spans="3:17" s="79" customFormat="1" ht="15" customHeight="1">
      <c r="C38" s="80"/>
      <c r="E38" s="80"/>
      <c r="G38" s="80"/>
      <c r="I38" s="80"/>
      <c r="K38" s="80"/>
      <c r="M38" s="80"/>
      <c r="O38" s="80"/>
      <c r="Q38" s="80"/>
    </row>
    <row r="39" spans="3:17" s="79" customFormat="1" ht="15" customHeight="1">
      <c r="C39" s="80"/>
      <c r="E39" s="80"/>
      <c r="G39" s="80"/>
      <c r="I39" s="80"/>
      <c r="K39" s="80"/>
      <c r="M39" s="80"/>
      <c r="O39" s="80"/>
      <c r="Q39" s="80"/>
    </row>
    <row r="40" spans="3:17" s="79" customFormat="1" ht="15" customHeight="1">
      <c r="C40" s="80"/>
      <c r="E40" s="80"/>
      <c r="G40" s="80"/>
      <c r="I40" s="80"/>
      <c r="K40" s="80"/>
      <c r="M40" s="80"/>
      <c r="O40" s="80"/>
      <c r="Q40" s="80"/>
    </row>
    <row r="41" spans="3:17" s="79" customFormat="1" ht="15" customHeight="1">
      <c r="C41" s="80"/>
      <c r="E41" s="80"/>
      <c r="G41" s="80"/>
      <c r="I41" s="80"/>
      <c r="K41" s="80"/>
      <c r="M41" s="80"/>
      <c r="O41" s="80"/>
      <c r="Q41" s="80"/>
    </row>
    <row r="42" spans="3:17" s="79" customFormat="1" ht="15" customHeight="1">
      <c r="C42" s="80"/>
      <c r="E42" s="80"/>
      <c r="G42" s="80"/>
      <c r="I42" s="80"/>
      <c r="K42" s="80"/>
      <c r="M42" s="80"/>
      <c r="O42" s="80"/>
      <c r="Q42" s="80"/>
    </row>
    <row r="43" spans="3:17" s="79" customFormat="1" ht="15" customHeight="1">
      <c r="C43" s="80"/>
      <c r="E43" s="80"/>
      <c r="G43" s="80"/>
      <c r="I43" s="80"/>
      <c r="K43" s="80"/>
      <c r="M43" s="80"/>
      <c r="O43" s="80"/>
      <c r="Q43" s="80"/>
    </row>
    <row r="44" spans="3:17" s="79" customFormat="1" ht="15" customHeight="1">
      <c r="C44" s="80"/>
      <c r="E44" s="80"/>
      <c r="G44" s="80"/>
      <c r="I44" s="80"/>
      <c r="K44" s="80"/>
      <c r="M44" s="80"/>
      <c r="O44" s="80"/>
      <c r="Q44" s="80"/>
    </row>
    <row r="45" spans="3:17" s="79" customFormat="1" ht="15" customHeight="1">
      <c r="C45" s="80"/>
      <c r="E45" s="80"/>
      <c r="G45" s="80"/>
      <c r="I45" s="80"/>
      <c r="K45" s="80"/>
      <c r="M45" s="80"/>
      <c r="O45" s="80"/>
      <c r="Q45" s="80"/>
    </row>
    <row r="46" spans="3:17" s="79" customFormat="1" ht="15" customHeight="1">
      <c r="C46" s="80"/>
      <c r="E46" s="80"/>
      <c r="G46" s="80"/>
      <c r="I46" s="80"/>
      <c r="K46" s="80"/>
      <c r="M46" s="80"/>
      <c r="O46" s="80"/>
      <c r="Q46" s="80"/>
    </row>
    <row r="47" spans="3:17" s="79" customFormat="1" ht="15" customHeight="1">
      <c r="C47" s="80"/>
      <c r="E47" s="80"/>
      <c r="G47" s="80"/>
      <c r="I47" s="80"/>
      <c r="K47" s="80"/>
      <c r="M47" s="80"/>
      <c r="O47" s="80"/>
      <c r="Q47" s="80"/>
    </row>
    <row r="48" spans="3:17" s="79" customFormat="1" ht="15" customHeight="1">
      <c r="C48" s="80"/>
      <c r="E48" s="80"/>
      <c r="G48" s="80"/>
      <c r="I48" s="80"/>
      <c r="K48" s="80"/>
      <c r="M48" s="80"/>
      <c r="O48" s="80"/>
      <c r="Q48" s="80"/>
    </row>
    <row r="49" spans="3:17" s="79" customFormat="1" ht="15" customHeight="1">
      <c r="C49" s="80"/>
      <c r="E49" s="80"/>
      <c r="G49" s="80"/>
      <c r="I49" s="80"/>
      <c r="K49" s="80"/>
      <c r="M49" s="80"/>
      <c r="O49" s="80"/>
      <c r="Q49" s="80"/>
    </row>
    <row r="50" spans="3:17" s="79" customFormat="1" ht="15" customHeight="1">
      <c r="C50" s="80"/>
      <c r="E50" s="80"/>
      <c r="G50" s="80"/>
      <c r="I50" s="80"/>
      <c r="K50" s="80"/>
      <c r="M50" s="80"/>
      <c r="O50" s="80"/>
      <c r="Q50" s="80"/>
    </row>
    <row r="51" spans="3:17" s="79" customFormat="1" ht="15" customHeight="1">
      <c r="C51" s="80"/>
      <c r="E51" s="80"/>
      <c r="G51" s="80"/>
      <c r="I51" s="80"/>
      <c r="K51" s="80"/>
      <c r="M51" s="80"/>
      <c r="O51" s="80"/>
      <c r="Q51" s="80"/>
    </row>
    <row r="52" spans="3:17" s="79" customFormat="1" ht="15" customHeight="1">
      <c r="C52" s="80"/>
      <c r="E52" s="80"/>
      <c r="G52" s="80"/>
      <c r="I52" s="80"/>
      <c r="K52" s="80"/>
      <c r="M52" s="80"/>
      <c r="O52" s="80"/>
      <c r="Q52" s="80"/>
    </row>
    <row r="53" spans="3:17" s="79" customFormat="1" ht="15" customHeight="1">
      <c r="C53" s="80"/>
      <c r="E53" s="80"/>
      <c r="G53" s="80"/>
      <c r="I53" s="80"/>
      <c r="K53" s="80"/>
      <c r="M53" s="80"/>
      <c r="O53" s="80"/>
      <c r="Q53" s="80"/>
    </row>
    <row r="54" spans="3:17" s="79" customFormat="1" ht="15" customHeight="1">
      <c r="C54" s="80"/>
      <c r="E54" s="80"/>
      <c r="G54" s="80"/>
      <c r="I54" s="80"/>
      <c r="K54" s="80"/>
      <c r="M54" s="80"/>
      <c r="O54" s="80"/>
      <c r="Q54" s="80"/>
    </row>
    <row r="55" spans="3:17" s="79" customFormat="1" ht="15" customHeight="1">
      <c r="C55" s="80"/>
      <c r="E55" s="80"/>
      <c r="G55" s="80"/>
      <c r="I55" s="80"/>
      <c r="K55" s="80"/>
      <c r="M55" s="80"/>
      <c r="O55" s="80"/>
      <c r="Q55" s="80"/>
    </row>
  </sheetData>
  <mergeCells count="3">
    <mergeCell ref="A1:R1"/>
    <mergeCell ref="A3:R3"/>
    <mergeCell ref="A5:R5"/>
  </mergeCells>
  <printOptions horizontalCentered="1"/>
  <pageMargins left="0.25" right="0.25" top="0.75" bottom="0.5" header="0" footer="0.25"/>
  <pageSetup scale="98" orientation="landscape" horizontalDpi="300" verticalDpi="300"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dimension ref="B1:BE944"/>
  <sheetViews>
    <sheetView zoomScale="85" zoomScaleNormal="85" zoomScaleSheetLayoutView="10" workbookViewId="0">
      <pane ySplit="14" topLeftCell="A84" activePane="bottomLeft" state="frozen"/>
      <selection activeCell="B1" sqref="B1"/>
      <selection pane="bottomLeft" activeCell="B85" sqref="B85"/>
    </sheetView>
  </sheetViews>
  <sheetFormatPr defaultRowHeight="15.75"/>
  <cols>
    <col min="1" max="1" width="5.77734375" style="104" customWidth="1"/>
    <col min="2" max="2" width="38.109375" style="104" customWidth="1"/>
    <col min="3" max="3" width="10.21875" style="104" customWidth="1"/>
    <col min="4" max="4" width="7.109375" style="104" bestFit="1" customWidth="1"/>
    <col min="5" max="5" width="4" style="104" bestFit="1" customWidth="1"/>
    <col min="6" max="6" width="7.21875" style="104" bestFit="1" customWidth="1"/>
    <col min="7" max="7" width="5.21875" style="104" bestFit="1" customWidth="1"/>
    <col min="8" max="8" width="6" style="104" customWidth="1"/>
    <col min="9" max="9" width="5.77734375" style="104" bestFit="1" customWidth="1"/>
    <col min="10" max="10" width="5.44140625" style="104" bestFit="1" customWidth="1"/>
    <col min="11" max="11" width="3.77734375" style="104" bestFit="1" customWidth="1"/>
    <col min="12" max="12" width="14.109375" style="104" customWidth="1"/>
    <col min="13" max="13" width="5.77734375" style="104" customWidth="1"/>
    <col min="14" max="14" width="14.109375" style="104" customWidth="1"/>
    <col min="15" max="15" width="11.77734375" style="104" customWidth="1"/>
    <col min="16" max="16" width="12.6640625" style="104" customWidth="1"/>
    <col min="17" max="17" width="5.44140625" style="104" customWidth="1"/>
    <col min="18" max="18" width="14.21875" style="104" customWidth="1"/>
    <col min="19" max="19" width="9.109375" style="104" bestFit="1" customWidth="1"/>
    <col min="20" max="20" width="14.77734375" style="104" customWidth="1"/>
    <col min="21" max="22" width="13.44140625" style="104" bestFit="1" customWidth="1"/>
    <col min="23" max="23" width="9.33203125" style="104" bestFit="1" customWidth="1"/>
    <col min="24" max="24" width="13.44140625" style="104" bestFit="1" customWidth="1"/>
    <col min="25" max="25" width="13.88671875" style="104" customWidth="1"/>
    <col min="26" max="26" width="13.21875" style="104" bestFit="1" customWidth="1"/>
    <col min="27" max="28" width="9.77734375" style="104" bestFit="1" customWidth="1"/>
    <col min="29" max="29" width="9" style="104" customWidth="1"/>
    <col min="30" max="30" width="9.77734375" style="104" bestFit="1" customWidth="1"/>
    <col min="31" max="31" width="8.88671875" style="104" bestFit="1" customWidth="1"/>
    <col min="32" max="32" width="12.33203125" style="104" bestFit="1" customWidth="1"/>
    <col min="33" max="16384" width="8.88671875" style="104"/>
  </cols>
  <sheetData>
    <row r="1" spans="2:57">
      <c r="B1" s="1024" t="str">
        <f>+'WP-1 - Summary Depr'!A1</f>
        <v>Pullman Disposal Services, Inc.</v>
      </c>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row>
    <row r="2" spans="2:57" ht="9.75" customHeight="1">
      <c r="B2" s="130"/>
      <c r="C2" s="130"/>
    </row>
    <row r="3" spans="2:57">
      <c r="B3" s="1024" t="s">
        <v>263</v>
      </c>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row>
    <row r="4" spans="2:57">
      <c r="C4" s="971"/>
      <c r="D4" s="971"/>
      <c r="E4" s="971"/>
      <c r="F4" s="971"/>
      <c r="G4" s="971"/>
      <c r="H4" s="971"/>
      <c r="I4" s="971"/>
      <c r="J4" s="971"/>
      <c r="K4" s="971"/>
      <c r="L4" s="971"/>
      <c r="M4" s="971"/>
      <c r="N4" s="515" t="s">
        <v>1021</v>
      </c>
      <c r="O4" s="971"/>
      <c r="P4" s="971"/>
      <c r="Q4" s="971"/>
      <c r="R4" s="971"/>
      <c r="S4" s="971"/>
      <c r="T4" s="971"/>
      <c r="U4" s="971"/>
      <c r="V4" s="971"/>
      <c r="W4" s="971"/>
      <c r="X4" s="971"/>
      <c r="Y4" s="971"/>
      <c r="Z4" s="971"/>
    </row>
    <row r="5" spans="2:57">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row>
    <row r="6" spans="2:57">
      <c r="B6" s="129"/>
      <c r="C6" s="129"/>
    </row>
    <row r="7" spans="2:57">
      <c r="B7" s="104">
        <v>12</v>
      </c>
      <c r="C7" s="104" t="s">
        <v>210</v>
      </c>
      <c r="AB7" s="1067" t="s">
        <v>179</v>
      </c>
      <c r="AC7" s="1068" t="s">
        <v>213</v>
      </c>
      <c r="AD7" s="1069"/>
    </row>
    <row r="8" spans="2:57">
      <c r="B8" s="104">
        <v>0</v>
      </c>
      <c r="C8" s="104" t="s">
        <v>209</v>
      </c>
      <c r="L8" s="971"/>
      <c r="N8" s="493"/>
      <c r="AB8" s="1070" t="s">
        <v>212</v>
      </c>
      <c r="AC8" s="1071" t="s">
        <v>211</v>
      </c>
      <c r="AD8" s="1072"/>
    </row>
    <row r="9" spans="2:57">
      <c r="B9" s="104">
        <v>118</v>
      </c>
      <c r="C9" s="104" t="s">
        <v>208</v>
      </c>
      <c r="L9" s="971"/>
      <c r="N9" s="493"/>
      <c r="AB9" s="1070" t="s">
        <v>207</v>
      </c>
      <c r="AC9" s="1071" t="s">
        <v>206</v>
      </c>
      <c r="AD9" s="1072"/>
    </row>
    <row r="10" spans="2:57">
      <c r="B10" s="104">
        <v>119</v>
      </c>
      <c r="C10" s="104" t="s">
        <v>205</v>
      </c>
      <c r="AB10" s="1070" t="s">
        <v>176</v>
      </c>
      <c r="AC10" s="1071" t="s">
        <v>221</v>
      </c>
      <c r="AD10" s="1072"/>
    </row>
    <row r="11" spans="2:57">
      <c r="T11" s="112" t="s">
        <v>0</v>
      </c>
      <c r="U11" s="112" t="s">
        <v>204</v>
      </c>
      <c r="V11" s="112" t="s">
        <v>199</v>
      </c>
      <c r="X11" s="112" t="s">
        <v>199</v>
      </c>
      <c r="Y11" s="112" t="s">
        <v>199</v>
      </c>
      <c r="AB11" s="1073" t="s">
        <v>175</v>
      </c>
      <c r="AC11" s="1074" t="s">
        <v>202</v>
      </c>
      <c r="AD11" s="1075"/>
    </row>
    <row r="12" spans="2:57">
      <c r="B12" s="463" t="s">
        <v>983</v>
      </c>
      <c r="C12" s="112" t="s">
        <v>201</v>
      </c>
      <c r="D12" s="112" t="s">
        <v>201</v>
      </c>
      <c r="F12" s="112" t="s">
        <v>200</v>
      </c>
      <c r="I12" s="112" t="s">
        <v>190</v>
      </c>
      <c r="J12" s="112" t="s">
        <v>192</v>
      </c>
      <c r="Q12" s="112" t="s">
        <v>183</v>
      </c>
      <c r="R12" s="112" t="s">
        <v>0</v>
      </c>
      <c r="T12" s="112" t="s">
        <v>199</v>
      </c>
      <c r="U12" s="112" t="s">
        <v>196</v>
      </c>
      <c r="V12" s="112" t="s">
        <v>196</v>
      </c>
      <c r="W12" s="112" t="s">
        <v>198</v>
      </c>
      <c r="X12" s="112" t="s">
        <v>197</v>
      </c>
      <c r="Y12" s="112" t="s">
        <v>197</v>
      </c>
    </row>
    <row r="13" spans="2:57">
      <c r="B13" s="112"/>
      <c r="C13" s="112" t="s">
        <v>56</v>
      </c>
      <c r="D13" s="112" t="s">
        <v>56</v>
      </c>
      <c r="F13" s="112" t="s">
        <v>195</v>
      </c>
      <c r="G13" s="112"/>
      <c r="H13" s="112"/>
      <c r="I13" s="112" t="s">
        <v>193</v>
      </c>
      <c r="J13" s="112" t="s">
        <v>183</v>
      </c>
      <c r="L13" s="112" t="s">
        <v>192</v>
      </c>
      <c r="M13" s="112" t="s">
        <v>192</v>
      </c>
      <c r="N13" s="112" t="s">
        <v>220</v>
      </c>
      <c r="O13" s="112" t="s">
        <v>219</v>
      </c>
      <c r="P13" s="112" t="s">
        <v>188</v>
      </c>
      <c r="Q13" s="112" t="s">
        <v>190</v>
      </c>
      <c r="R13" s="112" t="s">
        <v>218</v>
      </c>
      <c r="S13" s="112" t="s">
        <v>53</v>
      </c>
      <c r="T13" s="112" t="s">
        <v>188</v>
      </c>
      <c r="U13" s="112" t="s">
        <v>57</v>
      </c>
      <c r="V13" s="112" t="s">
        <v>57</v>
      </c>
      <c r="W13" s="112" t="s">
        <v>181</v>
      </c>
      <c r="X13" s="112" t="s">
        <v>180</v>
      </c>
      <c r="Y13" s="112" t="s">
        <v>180</v>
      </c>
      <c r="Z13" s="112" t="s">
        <v>164</v>
      </c>
    </row>
    <row r="14" spans="2:57">
      <c r="B14" s="128" t="s">
        <v>187</v>
      </c>
      <c r="C14" s="127" t="s">
        <v>186</v>
      </c>
      <c r="D14" s="127" t="s">
        <v>186</v>
      </c>
      <c r="E14" s="127" t="s">
        <v>185</v>
      </c>
      <c r="F14" s="127" t="s">
        <v>53</v>
      </c>
      <c r="G14" s="112" t="s">
        <v>194</v>
      </c>
      <c r="H14" s="112" t="s">
        <v>50</v>
      </c>
      <c r="I14" s="127" t="s">
        <v>180</v>
      </c>
      <c r="J14" s="127" t="s">
        <v>217</v>
      </c>
      <c r="K14" s="127" t="s">
        <v>185</v>
      </c>
      <c r="L14" s="127" t="s">
        <v>41</v>
      </c>
      <c r="M14" s="127" t="s">
        <v>183</v>
      </c>
      <c r="N14" s="127" t="s">
        <v>41</v>
      </c>
      <c r="O14" s="127" t="s">
        <v>180</v>
      </c>
      <c r="P14" s="127" t="s">
        <v>180</v>
      </c>
      <c r="Q14" s="127" t="s">
        <v>170</v>
      </c>
      <c r="R14" s="127" t="s">
        <v>216</v>
      </c>
      <c r="S14" s="127" t="s">
        <v>181</v>
      </c>
      <c r="T14" s="127" t="s">
        <v>180</v>
      </c>
      <c r="U14" s="125">
        <v>43101</v>
      </c>
      <c r="V14" s="126">
        <v>43465</v>
      </c>
      <c r="W14" s="127" t="s">
        <v>53</v>
      </c>
      <c r="X14" s="125">
        <v>43101</v>
      </c>
      <c r="Y14" s="126">
        <v>43465</v>
      </c>
      <c r="Z14" s="127" t="s">
        <v>171</v>
      </c>
      <c r="AA14" s="127" t="s">
        <v>179</v>
      </c>
      <c r="AB14" s="127" t="s">
        <v>178</v>
      </c>
      <c r="AC14" s="127" t="s">
        <v>177</v>
      </c>
      <c r="AD14" s="127" t="s">
        <v>176</v>
      </c>
      <c r="AE14" s="127" t="s">
        <v>175</v>
      </c>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row>
    <row r="15" spans="2:57">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2:57">
      <c r="B16" s="109" t="s">
        <v>633</v>
      </c>
      <c r="C16" s="210"/>
      <c r="T16" s="107"/>
      <c r="U16" s="107"/>
      <c r="V16" s="107"/>
    </row>
    <row r="17" spans="2:32">
      <c r="B17" s="104" t="s">
        <v>634</v>
      </c>
      <c r="C17" s="210">
        <v>1988</v>
      </c>
      <c r="D17" s="104">
        <f>+C17-1900</f>
        <v>88</v>
      </c>
      <c r="E17" s="104">
        <v>1</v>
      </c>
      <c r="F17" s="113">
        <v>0</v>
      </c>
      <c r="G17" s="112" t="s">
        <v>214</v>
      </c>
      <c r="H17" s="104">
        <v>7</v>
      </c>
      <c r="I17" s="104">
        <f t="shared" ref="I17:I26" si="0">D17+H17</f>
        <v>95</v>
      </c>
      <c r="L17" s="110">
        <v>5500</v>
      </c>
      <c r="M17" s="110">
        <v>0</v>
      </c>
      <c r="N17" s="110">
        <f t="shared" ref="N17:N27" si="1">L17-(+L17*F17)</f>
        <v>5500</v>
      </c>
      <c r="O17" s="110">
        <f t="shared" ref="O17:O27" si="2">N17/H17/12</f>
        <v>65.476190476190467</v>
      </c>
      <c r="P17" s="110">
        <f>IF(Q17&gt;0,0,IF(OR(AA17&gt;AB17,AC17&lt;AD17),0,IF(AND(AC17&gt;=AD17,AC17&lt;=AB17),O17*((AC17-AD17)*12),IF(AND(AD17&lt;=AA17,AB17&gt;=AA17),((AB17-AA17)*12)*O17,IF(AC17&gt;AB17,12*O17,0)))))</f>
        <v>0</v>
      </c>
      <c r="Q17" s="110">
        <f t="shared" ref="Q17:Q27" si="3">IF(M17=0,0,IF(AND(AE17&gt;=AD17,AE17&lt;=AC17),((AE17-AD17)*12)*O17,0))</f>
        <v>0</v>
      </c>
      <c r="R17" s="110">
        <f t="shared" ref="R17:R27" si="4">IF(Q17&gt;0,Q17,P17)</f>
        <v>0</v>
      </c>
      <c r="S17" s="111">
        <v>1</v>
      </c>
      <c r="T17" s="110">
        <f t="shared" ref="T17:T27" si="5">S17*SUM(P17:Q17)</f>
        <v>0</v>
      </c>
      <c r="U17" s="110">
        <f>IF(AA17&gt;AB17,0,IF(AC17&lt;AD17,N17,IF(AND(AC17&gt;=AD17,AC17&lt;=AB17),(N17-R17),IF(AND(AD17&lt;=AA17,AB17&gt;=AA17),0,IF(AC17&gt;AB17,((AD17-AA17)*12)*O17,0)))))</f>
        <v>5500</v>
      </c>
      <c r="V17" s="110">
        <f t="shared" ref="V17:V27" si="6">U17*S17</f>
        <v>5500</v>
      </c>
      <c r="W17" s="111">
        <v>1</v>
      </c>
      <c r="X17" s="110">
        <f t="shared" ref="X17:X27" si="7">V17*W17</f>
        <v>5500</v>
      </c>
      <c r="Y17" s="110">
        <f t="shared" ref="Y17:Y27" si="8">IF(M17&gt;0,0,X17+T17*W17)*W17</f>
        <v>5500</v>
      </c>
      <c r="Z17" s="110">
        <f t="shared" ref="Z17:Z31" si="9">IF(M17&gt;0,(L17-X17)/2,IF(AA17&gt;=AD17,(((L17*S17)*W17)-Y17)/2,((((L17*S17)*W17)-X17)+(((L17*S17)*W17)-Y17))/2))</f>
        <v>0</v>
      </c>
      <c r="AA17" s="110">
        <f t="shared" ref="AA17:AA66" si="10">$D17+(($E17-1)/12)</f>
        <v>88</v>
      </c>
      <c r="AB17" s="110">
        <f t="shared" ref="AB17:AB66" si="11">($B$10+1)-($B$7/12)</f>
        <v>119</v>
      </c>
      <c r="AC17" s="110">
        <f t="shared" ref="AC17:AC66" si="12">$I17+(($E17-1)/12)</f>
        <v>95</v>
      </c>
      <c r="AD17" s="110">
        <f t="shared" ref="AD17:AD66" si="13">$B$9+($B$8/12)</f>
        <v>118</v>
      </c>
      <c r="AE17" s="110">
        <f t="shared" ref="AE17:AE66" si="14">$J17+(($K17-1)/12)</f>
        <v>-8.3333333333333329E-2</v>
      </c>
      <c r="AF17" s="110">
        <f t="shared" ref="AF17:AF63" si="15">L17-((X17+Y17)/2)-Z17</f>
        <v>0</v>
      </c>
    </row>
    <row r="18" spans="2:32">
      <c r="B18" s="104" t="s">
        <v>635</v>
      </c>
      <c r="C18" s="210">
        <v>2001</v>
      </c>
      <c r="D18" s="104">
        <f t="shared" ref="D18:D64" si="16">+C18-1900</f>
        <v>101</v>
      </c>
      <c r="E18" s="104">
        <v>9</v>
      </c>
      <c r="F18" s="113">
        <v>0</v>
      </c>
      <c r="G18" s="112" t="s">
        <v>214</v>
      </c>
      <c r="H18" s="104">
        <v>7</v>
      </c>
      <c r="I18" s="104">
        <f t="shared" si="0"/>
        <v>108</v>
      </c>
      <c r="L18" s="110">
        <v>31476</v>
      </c>
      <c r="M18" s="110">
        <v>0</v>
      </c>
      <c r="N18" s="110">
        <f t="shared" si="1"/>
        <v>31476</v>
      </c>
      <c r="O18" s="110">
        <f t="shared" si="2"/>
        <v>374.71428571428572</v>
      </c>
      <c r="P18" s="110">
        <f>IF(Q18&gt;0,0,IF(OR(AA18&gt;AB18,AC18&lt;AD18),0,IF(AND(AC18&gt;=AD18,AC18&lt;=AB18),O18*((AC18-AD18)*12),IF(AND(AD18&lt;=AA18,AB18&gt;=AA18),((AB18-AA18)*12)*O18,IF(AC18&gt;AB18,12*O18,0)))))</f>
        <v>0</v>
      </c>
      <c r="Q18" s="110">
        <f t="shared" si="3"/>
        <v>0</v>
      </c>
      <c r="R18" s="110">
        <f t="shared" si="4"/>
        <v>0</v>
      </c>
      <c r="S18" s="111">
        <v>1</v>
      </c>
      <c r="T18" s="110">
        <f t="shared" si="5"/>
        <v>0</v>
      </c>
      <c r="U18" s="110">
        <f>IF(AA18&gt;AB18,0,IF(AC18&lt;AD18,N18,IF(AND(AC18&gt;=AD18,AC18&lt;=AB18),(N18-R18),IF(AND(AD18&lt;=AA18,AB18&gt;=AA18),0,IF(AC18&gt;AB18,((AD18-AA18)*12)*O18,0)))))</f>
        <v>31476</v>
      </c>
      <c r="V18" s="110">
        <f t="shared" si="6"/>
        <v>31476</v>
      </c>
      <c r="W18" s="111">
        <v>1</v>
      </c>
      <c r="X18" s="110">
        <f t="shared" si="7"/>
        <v>31476</v>
      </c>
      <c r="Y18" s="110">
        <f t="shared" si="8"/>
        <v>31476</v>
      </c>
      <c r="Z18" s="110">
        <f t="shared" si="9"/>
        <v>0</v>
      </c>
      <c r="AA18" s="110">
        <f t="shared" si="10"/>
        <v>101.66666666666667</v>
      </c>
      <c r="AB18" s="110">
        <f t="shared" si="11"/>
        <v>119</v>
      </c>
      <c r="AC18" s="110">
        <f t="shared" si="12"/>
        <v>108.66666666666667</v>
      </c>
      <c r="AD18" s="110">
        <f t="shared" si="13"/>
        <v>118</v>
      </c>
      <c r="AE18" s="110">
        <f t="shared" si="14"/>
        <v>-8.3333333333333329E-2</v>
      </c>
      <c r="AF18" s="110">
        <f t="shared" si="15"/>
        <v>0</v>
      </c>
    </row>
    <row r="19" spans="2:32">
      <c r="B19" s="104" t="s">
        <v>636</v>
      </c>
      <c r="C19" s="210">
        <v>1988</v>
      </c>
      <c r="D19" s="104">
        <f t="shared" si="16"/>
        <v>88</v>
      </c>
      <c r="E19" s="104">
        <v>1</v>
      </c>
      <c r="F19" s="113">
        <v>0.2</v>
      </c>
      <c r="G19" s="112" t="s">
        <v>214</v>
      </c>
      <c r="H19" s="104">
        <v>7</v>
      </c>
      <c r="I19" s="104">
        <f t="shared" si="0"/>
        <v>95</v>
      </c>
      <c r="L19" s="110">
        <v>106753</v>
      </c>
      <c r="M19" s="110">
        <v>0</v>
      </c>
      <c r="N19" s="110">
        <f t="shared" si="1"/>
        <v>85402.4</v>
      </c>
      <c r="O19" s="110">
        <f t="shared" si="2"/>
        <v>1016.695238095238</v>
      </c>
      <c r="P19" s="110">
        <f>IF(Q19&gt;0,0,IF(OR(AA19&gt;AB19,AC19&lt;AD19),0,IF(AND(AC19&gt;=AD19,AC19&lt;=AB19),O19*((AC19-AD19)*12),IF(AND(AD19&lt;=AA19,AB19&gt;=AA19),((AB19-AA19)*12)*O19,IF(AC19&gt;AB19,12*O19,0)))))</f>
        <v>0</v>
      </c>
      <c r="Q19" s="110">
        <f t="shared" si="3"/>
        <v>0</v>
      </c>
      <c r="R19" s="110">
        <f t="shared" si="4"/>
        <v>0</v>
      </c>
      <c r="S19" s="111">
        <v>1</v>
      </c>
      <c r="T19" s="110">
        <f t="shared" si="5"/>
        <v>0</v>
      </c>
      <c r="U19" s="110">
        <f>IF(AA19&gt;AB19,0,IF(AC19&lt;AD19,N19,IF(AND(AC19&gt;=AD19,AC19&lt;=AB19),(N19-R19),IF(AND(AD19&lt;=AA19,AB19&gt;=AA19),0,IF(AC19&gt;AB19,((AD19-AA19)*12)*O19,0)))))</f>
        <v>85402.4</v>
      </c>
      <c r="V19" s="110">
        <f t="shared" si="6"/>
        <v>85402.4</v>
      </c>
      <c r="W19" s="111">
        <v>1</v>
      </c>
      <c r="X19" s="110">
        <f t="shared" si="7"/>
        <v>85402.4</v>
      </c>
      <c r="Y19" s="110">
        <f t="shared" si="8"/>
        <v>85402.4</v>
      </c>
      <c r="Z19" s="110">
        <f t="shared" si="9"/>
        <v>21350.600000000006</v>
      </c>
      <c r="AA19" s="110">
        <f t="shared" si="10"/>
        <v>88</v>
      </c>
      <c r="AB19" s="110">
        <f t="shared" si="11"/>
        <v>119</v>
      </c>
      <c r="AC19" s="110">
        <f t="shared" si="12"/>
        <v>95</v>
      </c>
      <c r="AD19" s="110">
        <f t="shared" si="13"/>
        <v>118</v>
      </c>
      <c r="AE19" s="110">
        <f t="shared" si="14"/>
        <v>-8.3333333333333329E-2</v>
      </c>
      <c r="AF19" s="110">
        <f t="shared" si="15"/>
        <v>0</v>
      </c>
    </row>
    <row r="20" spans="2:32">
      <c r="B20" s="104" t="s">
        <v>637</v>
      </c>
      <c r="C20" s="210">
        <v>1991</v>
      </c>
      <c r="D20" s="104">
        <f t="shared" si="16"/>
        <v>91</v>
      </c>
      <c r="E20" s="104">
        <v>10</v>
      </c>
      <c r="F20" s="113">
        <v>0</v>
      </c>
      <c r="G20" s="112" t="s">
        <v>214</v>
      </c>
      <c r="H20" s="104">
        <v>7</v>
      </c>
      <c r="I20" s="104">
        <f t="shared" si="0"/>
        <v>98</v>
      </c>
      <c r="L20" s="110">
        <v>23290</v>
      </c>
      <c r="M20" s="110">
        <v>0</v>
      </c>
      <c r="N20" s="110">
        <f t="shared" si="1"/>
        <v>23290</v>
      </c>
      <c r="O20" s="110">
        <f t="shared" si="2"/>
        <v>277.26190476190476</v>
      </c>
      <c r="P20" s="110">
        <f t="shared" ref="P20:P27" si="17">IF(Q20&gt;0,0,IF(OR(AA20&gt;AB20,AC20&lt;AD20),0,IF(AND(AC20&gt;=AD20,AC20&lt;=AB20),O20*((AC20-AD20)*12),IF(AND(AD20&lt;=AA20,AB20&gt;=AA20),((AB20-AA20)*12)*O20,IF(AC20&gt;AB20,12*O20,0)))))</f>
        <v>0</v>
      </c>
      <c r="Q20" s="110">
        <f t="shared" si="3"/>
        <v>0</v>
      </c>
      <c r="R20" s="110">
        <f t="shared" si="4"/>
        <v>0</v>
      </c>
      <c r="S20" s="111">
        <v>1</v>
      </c>
      <c r="T20" s="110">
        <f t="shared" si="5"/>
        <v>0</v>
      </c>
      <c r="U20" s="110">
        <f>IF(AA20&gt;AB20,0,IF(AC20&lt;AD20,N20,IF(AND(AC20&gt;=AD20,AC20&lt;=AB20),(N20-R20),IF(AND(AD20&lt;=AA20,AB20&gt;=AA20),0,IF(AC20&gt;AB20,((AD20-AA20)*12)*O20,0)))))</f>
        <v>23290</v>
      </c>
      <c r="V20" s="110">
        <f t="shared" si="6"/>
        <v>23290</v>
      </c>
      <c r="W20" s="111">
        <v>1</v>
      </c>
      <c r="X20" s="110">
        <f t="shared" si="7"/>
        <v>23290</v>
      </c>
      <c r="Y20" s="110">
        <f t="shared" si="8"/>
        <v>23290</v>
      </c>
      <c r="Z20" s="110">
        <f t="shared" si="9"/>
        <v>0</v>
      </c>
      <c r="AA20" s="110">
        <f t="shared" si="10"/>
        <v>91.75</v>
      </c>
      <c r="AB20" s="110">
        <f t="shared" si="11"/>
        <v>119</v>
      </c>
      <c r="AC20" s="110">
        <f t="shared" si="12"/>
        <v>98.75</v>
      </c>
      <c r="AD20" s="110">
        <f t="shared" si="13"/>
        <v>118</v>
      </c>
      <c r="AE20" s="110">
        <f t="shared" si="14"/>
        <v>-8.3333333333333329E-2</v>
      </c>
      <c r="AF20" s="110">
        <f t="shared" si="15"/>
        <v>0</v>
      </c>
    </row>
    <row r="21" spans="2:32">
      <c r="B21" s="104" t="s">
        <v>638</v>
      </c>
      <c r="C21" s="210">
        <v>1993</v>
      </c>
      <c r="D21" s="104">
        <f t="shared" si="16"/>
        <v>93</v>
      </c>
      <c r="E21" s="104">
        <v>7</v>
      </c>
      <c r="F21" s="113">
        <v>0</v>
      </c>
      <c r="G21" s="112" t="s">
        <v>214</v>
      </c>
      <c r="H21" s="104">
        <v>7</v>
      </c>
      <c r="I21" s="104">
        <f t="shared" si="0"/>
        <v>100</v>
      </c>
      <c r="L21" s="110">
        <v>4854</v>
      </c>
      <c r="M21" s="110">
        <v>0</v>
      </c>
      <c r="N21" s="110">
        <f t="shared" si="1"/>
        <v>4854</v>
      </c>
      <c r="O21" s="110">
        <f t="shared" si="2"/>
        <v>57.785714285714285</v>
      </c>
      <c r="P21" s="110">
        <f t="shared" si="17"/>
        <v>0</v>
      </c>
      <c r="Q21" s="110">
        <f t="shared" si="3"/>
        <v>0</v>
      </c>
      <c r="R21" s="110">
        <f t="shared" si="4"/>
        <v>0</v>
      </c>
      <c r="S21" s="111">
        <v>1</v>
      </c>
      <c r="T21" s="110">
        <f t="shared" si="5"/>
        <v>0</v>
      </c>
      <c r="U21" s="110">
        <f t="shared" ref="U21:U27" si="18">IF(AA21&gt;AB21,0,IF(AC21&lt;AD21,N21,IF(AND(AC21&gt;=AD21,AC21&lt;=AB21),(N21-R21),IF(AND(AD21&lt;=AA21,AB21&gt;=AA21),0,IF(AC21&gt;AB21,((AD21-AA21)*12)*O21,0)))))</f>
        <v>4854</v>
      </c>
      <c r="V21" s="110">
        <f t="shared" si="6"/>
        <v>4854</v>
      </c>
      <c r="W21" s="111">
        <v>1</v>
      </c>
      <c r="X21" s="110">
        <f t="shared" si="7"/>
        <v>4854</v>
      </c>
      <c r="Y21" s="110">
        <f t="shared" si="8"/>
        <v>4854</v>
      </c>
      <c r="Z21" s="110">
        <f t="shared" si="9"/>
        <v>0</v>
      </c>
      <c r="AA21" s="110">
        <f t="shared" si="10"/>
        <v>93.5</v>
      </c>
      <c r="AB21" s="110">
        <f t="shared" si="11"/>
        <v>119</v>
      </c>
      <c r="AC21" s="110">
        <f t="shared" si="12"/>
        <v>100.5</v>
      </c>
      <c r="AD21" s="110">
        <f t="shared" si="13"/>
        <v>118</v>
      </c>
      <c r="AE21" s="110">
        <f t="shared" si="14"/>
        <v>-8.3333333333333329E-2</v>
      </c>
      <c r="AF21" s="110">
        <f t="shared" si="15"/>
        <v>0</v>
      </c>
    </row>
    <row r="22" spans="2:32">
      <c r="B22" s="104" t="s">
        <v>639</v>
      </c>
      <c r="C22" s="210">
        <v>1993</v>
      </c>
      <c r="D22" s="104">
        <f t="shared" si="16"/>
        <v>93</v>
      </c>
      <c r="E22" s="104">
        <v>7</v>
      </c>
      <c r="F22" s="113">
        <v>0</v>
      </c>
      <c r="G22" s="112" t="s">
        <v>214</v>
      </c>
      <c r="H22" s="104">
        <v>7</v>
      </c>
      <c r="I22" s="104">
        <f t="shared" si="0"/>
        <v>100</v>
      </c>
      <c r="L22" s="110">
        <v>2685</v>
      </c>
      <c r="M22" s="110">
        <v>0</v>
      </c>
      <c r="N22" s="110">
        <f t="shared" si="1"/>
        <v>2685</v>
      </c>
      <c r="O22" s="110">
        <f t="shared" si="2"/>
        <v>31.964285714285712</v>
      </c>
      <c r="P22" s="110">
        <f t="shared" si="17"/>
        <v>0</v>
      </c>
      <c r="Q22" s="110">
        <f t="shared" si="3"/>
        <v>0</v>
      </c>
      <c r="R22" s="110">
        <f t="shared" si="4"/>
        <v>0</v>
      </c>
      <c r="S22" s="111">
        <v>1</v>
      </c>
      <c r="T22" s="110">
        <f t="shared" si="5"/>
        <v>0</v>
      </c>
      <c r="U22" s="110">
        <f t="shared" si="18"/>
        <v>2685</v>
      </c>
      <c r="V22" s="110">
        <f t="shared" si="6"/>
        <v>2685</v>
      </c>
      <c r="W22" s="111">
        <v>1</v>
      </c>
      <c r="X22" s="110">
        <f t="shared" si="7"/>
        <v>2685</v>
      </c>
      <c r="Y22" s="110">
        <f t="shared" si="8"/>
        <v>2685</v>
      </c>
      <c r="Z22" s="110">
        <f t="shared" si="9"/>
        <v>0</v>
      </c>
      <c r="AA22" s="110">
        <f t="shared" si="10"/>
        <v>93.5</v>
      </c>
      <c r="AB22" s="110">
        <f t="shared" si="11"/>
        <v>119</v>
      </c>
      <c r="AC22" s="110">
        <f t="shared" si="12"/>
        <v>100.5</v>
      </c>
      <c r="AD22" s="110">
        <f t="shared" si="13"/>
        <v>118</v>
      </c>
      <c r="AE22" s="110">
        <f t="shared" si="14"/>
        <v>-8.3333333333333329E-2</v>
      </c>
      <c r="AF22" s="110">
        <f t="shared" si="15"/>
        <v>0</v>
      </c>
    </row>
    <row r="23" spans="2:32">
      <c r="B23" s="104" t="s">
        <v>640</v>
      </c>
      <c r="C23" s="210">
        <v>1994</v>
      </c>
      <c r="D23" s="104">
        <f t="shared" si="16"/>
        <v>94</v>
      </c>
      <c r="E23" s="104">
        <v>11</v>
      </c>
      <c r="F23" s="113">
        <v>0</v>
      </c>
      <c r="G23" s="112" t="s">
        <v>214</v>
      </c>
      <c r="H23" s="104">
        <v>7</v>
      </c>
      <c r="I23" s="104">
        <f t="shared" si="0"/>
        <v>101</v>
      </c>
      <c r="L23" s="110">
        <v>1030</v>
      </c>
      <c r="M23" s="110">
        <v>0</v>
      </c>
      <c r="N23" s="110">
        <f t="shared" si="1"/>
        <v>1030</v>
      </c>
      <c r="O23" s="110">
        <f t="shared" si="2"/>
        <v>12.261904761904761</v>
      </c>
      <c r="P23" s="110">
        <f t="shared" si="17"/>
        <v>0</v>
      </c>
      <c r="Q23" s="110">
        <f t="shared" si="3"/>
        <v>0</v>
      </c>
      <c r="R23" s="110">
        <f t="shared" si="4"/>
        <v>0</v>
      </c>
      <c r="S23" s="111">
        <v>1</v>
      </c>
      <c r="T23" s="110">
        <f t="shared" si="5"/>
        <v>0</v>
      </c>
      <c r="U23" s="110">
        <f t="shared" si="18"/>
        <v>1030</v>
      </c>
      <c r="V23" s="110">
        <f t="shared" si="6"/>
        <v>1030</v>
      </c>
      <c r="W23" s="111">
        <v>1</v>
      </c>
      <c r="X23" s="110">
        <f t="shared" si="7"/>
        <v>1030</v>
      </c>
      <c r="Y23" s="110">
        <f t="shared" si="8"/>
        <v>1030</v>
      </c>
      <c r="Z23" s="110">
        <f t="shared" si="9"/>
        <v>0</v>
      </c>
      <c r="AA23" s="110">
        <f t="shared" si="10"/>
        <v>94.833333333333329</v>
      </c>
      <c r="AB23" s="110">
        <f t="shared" si="11"/>
        <v>119</v>
      </c>
      <c r="AC23" s="110">
        <f t="shared" si="12"/>
        <v>101.83333333333333</v>
      </c>
      <c r="AD23" s="110">
        <f t="shared" si="13"/>
        <v>118</v>
      </c>
      <c r="AE23" s="110">
        <f t="shared" si="14"/>
        <v>-8.3333333333333329E-2</v>
      </c>
      <c r="AF23" s="110">
        <f t="shared" si="15"/>
        <v>0</v>
      </c>
    </row>
    <row r="24" spans="2:32">
      <c r="B24" s="104" t="s">
        <v>641</v>
      </c>
      <c r="C24" s="210">
        <v>1995</v>
      </c>
      <c r="D24" s="104">
        <f t="shared" si="16"/>
        <v>95</v>
      </c>
      <c r="E24" s="104">
        <v>8</v>
      </c>
      <c r="F24" s="113">
        <v>0.2</v>
      </c>
      <c r="G24" s="112" t="s">
        <v>214</v>
      </c>
      <c r="H24" s="104">
        <v>7</v>
      </c>
      <c r="I24" s="104">
        <f t="shared" si="0"/>
        <v>102</v>
      </c>
      <c r="L24" s="110">
        <v>5356</v>
      </c>
      <c r="M24" s="110">
        <v>0</v>
      </c>
      <c r="N24" s="110">
        <f t="shared" si="1"/>
        <v>4284.8</v>
      </c>
      <c r="O24" s="110">
        <f t="shared" si="2"/>
        <v>51.009523809523813</v>
      </c>
      <c r="P24" s="110">
        <f t="shared" si="17"/>
        <v>0</v>
      </c>
      <c r="Q24" s="110">
        <f t="shared" si="3"/>
        <v>0</v>
      </c>
      <c r="R24" s="110">
        <f t="shared" si="4"/>
        <v>0</v>
      </c>
      <c r="S24" s="111">
        <v>1</v>
      </c>
      <c r="T24" s="110">
        <f t="shared" si="5"/>
        <v>0</v>
      </c>
      <c r="U24" s="110">
        <f t="shared" si="18"/>
        <v>4284.8</v>
      </c>
      <c r="V24" s="110">
        <f t="shared" si="6"/>
        <v>4284.8</v>
      </c>
      <c r="W24" s="111">
        <v>1</v>
      </c>
      <c r="X24" s="110">
        <f t="shared" si="7"/>
        <v>4284.8</v>
      </c>
      <c r="Y24" s="110">
        <f t="shared" si="8"/>
        <v>4284.8</v>
      </c>
      <c r="Z24" s="110">
        <f t="shared" si="9"/>
        <v>1071.1999999999998</v>
      </c>
      <c r="AA24" s="110">
        <f t="shared" si="10"/>
        <v>95.583333333333329</v>
      </c>
      <c r="AB24" s="110">
        <f t="shared" si="11"/>
        <v>119</v>
      </c>
      <c r="AC24" s="110">
        <f t="shared" si="12"/>
        <v>102.58333333333333</v>
      </c>
      <c r="AD24" s="110">
        <f t="shared" si="13"/>
        <v>118</v>
      </c>
      <c r="AE24" s="110">
        <f t="shared" si="14"/>
        <v>-8.3333333333333329E-2</v>
      </c>
      <c r="AF24" s="110">
        <f t="shared" si="15"/>
        <v>0</v>
      </c>
    </row>
    <row r="25" spans="2:32">
      <c r="B25" s="104" t="s">
        <v>644</v>
      </c>
      <c r="C25" s="210">
        <v>1995</v>
      </c>
      <c r="D25" s="104">
        <f t="shared" si="16"/>
        <v>95</v>
      </c>
      <c r="E25" s="104">
        <v>10</v>
      </c>
      <c r="F25" s="113">
        <v>0.2</v>
      </c>
      <c r="G25" s="112" t="s">
        <v>214</v>
      </c>
      <c r="H25" s="104">
        <v>7</v>
      </c>
      <c r="I25" s="104">
        <f t="shared" si="0"/>
        <v>102</v>
      </c>
      <c r="L25" s="110">
        <v>1431</v>
      </c>
      <c r="M25" s="110">
        <v>0</v>
      </c>
      <c r="N25" s="110">
        <f t="shared" si="1"/>
        <v>1144.8</v>
      </c>
      <c r="O25" s="110">
        <f t="shared" si="2"/>
        <v>13.628571428571428</v>
      </c>
      <c r="P25" s="110">
        <f t="shared" si="17"/>
        <v>0</v>
      </c>
      <c r="Q25" s="110">
        <f t="shared" si="3"/>
        <v>0</v>
      </c>
      <c r="R25" s="110">
        <f t="shared" si="4"/>
        <v>0</v>
      </c>
      <c r="S25" s="111">
        <v>1</v>
      </c>
      <c r="T25" s="110">
        <f t="shared" si="5"/>
        <v>0</v>
      </c>
      <c r="U25" s="110">
        <f t="shared" si="18"/>
        <v>1144.8</v>
      </c>
      <c r="V25" s="110">
        <f t="shared" si="6"/>
        <v>1144.8</v>
      </c>
      <c r="W25" s="111">
        <v>1</v>
      </c>
      <c r="X25" s="110">
        <f t="shared" si="7"/>
        <v>1144.8</v>
      </c>
      <c r="Y25" s="110">
        <f t="shared" si="8"/>
        <v>1144.8</v>
      </c>
      <c r="Z25" s="110">
        <f t="shared" si="9"/>
        <v>286.20000000000005</v>
      </c>
      <c r="AA25" s="110">
        <f t="shared" si="10"/>
        <v>95.75</v>
      </c>
      <c r="AB25" s="110">
        <f t="shared" si="11"/>
        <v>119</v>
      </c>
      <c r="AC25" s="110">
        <f t="shared" si="12"/>
        <v>102.75</v>
      </c>
      <c r="AD25" s="110">
        <f t="shared" si="13"/>
        <v>118</v>
      </c>
      <c r="AE25" s="110">
        <f t="shared" si="14"/>
        <v>-8.3333333333333329E-2</v>
      </c>
      <c r="AF25" s="110">
        <f t="shared" si="15"/>
        <v>0</v>
      </c>
    </row>
    <row r="26" spans="2:32">
      <c r="B26" s="104" t="s">
        <v>642</v>
      </c>
      <c r="C26" s="104">
        <v>1995</v>
      </c>
      <c r="D26" s="104">
        <f t="shared" si="16"/>
        <v>95</v>
      </c>
      <c r="E26" s="104">
        <v>11</v>
      </c>
      <c r="F26" s="113">
        <v>0</v>
      </c>
      <c r="G26" s="112" t="s">
        <v>214</v>
      </c>
      <c r="H26" s="104">
        <v>7</v>
      </c>
      <c r="I26" s="104">
        <f t="shared" si="0"/>
        <v>102</v>
      </c>
      <c r="L26" s="110">
        <v>1678</v>
      </c>
      <c r="M26" s="110">
        <v>0</v>
      </c>
      <c r="N26" s="110">
        <f t="shared" si="1"/>
        <v>1678</v>
      </c>
      <c r="O26" s="110">
        <f t="shared" si="2"/>
        <v>19.976190476190478</v>
      </c>
      <c r="P26" s="110">
        <f t="shared" si="17"/>
        <v>0</v>
      </c>
      <c r="Q26" s="110">
        <f t="shared" si="3"/>
        <v>0</v>
      </c>
      <c r="R26" s="110">
        <f t="shared" si="4"/>
        <v>0</v>
      </c>
      <c r="S26" s="111">
        <v>1</v>
      </c>
      <c r="T26" s="110">
        <f t="shared" si="5"/>
        <v>0</v>
      </c>
      <c r="U26" s="110">
        <f t="shared" si="18"/>
        <v>1678</v>
      </c>
      <c r="V26" s="110">
        <f t="shared" si="6"/>
        <v>1678</v>
      </c>
      <c r="W26" s="111">
        <v>1</v>
      </c>
      <c r="X26" s="110">
        <f t="shared" si="7"/>
        <v>1678</v>
      </c>
      <c r="Y26" s="110">
        <f t="shared" si="8"/>
        <v>1678</v>
      </c>
      <c r="Z26" s="110">
        <f t="shared" si="9"/>
        <v>0</v>
      </c>
      <c r="AA26" s="110">
        <f t="shared" si="10"/>
        <v>95.833333333333329</v>
      </c>
      <c r="AB26" s="110">
        <f t="shared" si="11"/>
        <v>119</v>
      </c>
      <c r="AC26" s="110">
        <f t="shared" si="12"/>
        <v>102.83333333333333</v>
      </c>
      <c r="AD26" s="110">
        <f t="shared" si="13"/>
        <v>118</v>
      </c>
      <c r="AE26" s="110">
        <f t="shared" si="14"/>
        <v>-8.3333333333333329E-2</v>
      </c>
      <c r="AF26" s="110">
        <f t="shared" si="15"/>
        <v>0</v>
      </c>
    </row>
    <row r="27" spans="2:32">
      <c r="B27" s="104" t="s">
        <v>639</v>
      </c>
      <c r="C27" s="210">
        <v>1996</v>
      </c>
      <c r="D27" s="104">
        <f t="shared" si="16"/>
        <v>96</v>
      </c>
      <c r="E27" s="104">
        <v>2</v>
      </c>
      <c r="F27" s="113">
        <v>0</v>
      </c>
      <c r="G27" s="112" t="s">
        <v>214</v>
      </c>
      <c r="H27" s="104">
        <v>7</v>
      </c>
      <c r="I27" s="104">
        <f>D27+H27</f>
        <v>103</v>
      </c>
      <c r="L27" s="110">
        <v>5297</v>
      </c>
      <c r="M27" s="110">
        <v>0</v>
      </c>
      <c r="N27" s="110">
        <f t="shared" si="1"/>
        <v>5297</v>
      </c>
      <c r="O27" s="110">
        <f t="shared" si="2"/>
        <v>63.059523809523803</v>
      </c>
      <c r="P27" s="110">
        <f t="shared" si="17"/>
        <v>0</v>
      </c>
      <c r="Q27" s="110">
        <f t="shared" si="3"/>
        <v>0</v>
      </c>
      <c r="R27" s="110">
        <f t="shared" si="4"/>
        <v>0</v>
      </c>
      <c r="S27" s="111">
        <v>1</v>
      </c>
      <c r="T27" s="110">
        <f t="shared" si="5"/>
        <v>0</v>
      </c>
      <c r="U27" s="110">
        <f t="shared" si="18"/>
        <v>5297</v>
      </c>
      <c r="V27" s="110">
        <f t="shared" si="6"/>
        <v>5297</v>
      </c>
      <c r="W27" s="111">
        <v>1</v>
      </c>
      <c r="X27" s="110">
        <f t="shared" si="7"/>
        <v>5297</v>
      </c>
      <c r="Y27" s="110">
        <f t="shared" si="8"/>
        <v>5297</v>
      </c>
      <c r="Z27" s="110">
        <f t="shared" si="9"/>
        <v>0</v>
      </c>
      <c r="AA27" s="110">
        <f t="shared" si="10"/>
        <v>96.083333333333329</v>
      </c>
      <c r="AB27" s="110">
        <f t="shared" si="11"/>
        <v>119</v>
      </c>
      <c r="AC27" s="110">
        <f t="shared" si="12"/>
        <v>103.08333333333333</v>
      </c>
      <c r="AD27" s="110">
        <f t="shared" si="13"/>
        <v>118</v>
      </c>
      <c r="AE27" s="110">
        <f t="shared" si="14"/>
        <v>-8.3333333333333329E-2</v>
      </c>
      <c r="AF27" s="110">
        <f t="shared" si="15"/>
        <v>0</v>
      </c>
    </row>
    <row r="28" spans="2:32">
      <c r="B28" s="104" t="s">
        <v>643</v>
      </c>
      <c r="C28" s="210">
        <v>1998</v>
      </c>
      <c r="D28" s="104">
        <f t="shared" si="16"/>
        <v>98</v>
      </c>
      <c r="E28" s="104">
        <v>3</v>
      </c>
      <c r="F28" s="113">
        <v>0</v>
      </c>
      <c r="G28" s="112" t="s">
        <v>214</v>
      </c>
      <c r="H28" s="104">
        <v>7</v>
      </c>
      <c r="I28" s="104">
        <f t="shared" ref="I28:I64" si="19">D28+H28</f>
        <v>105</v>
      </c>
      <c r="L28" s="110">
        <v>7628</v>
      </c>
      <c r="M28" s="110">
        <v>0</v>
      </c>
      <c r="N28" s="110">
        <f t="shared" ref="N28:N64" si="20">L28-(+L28*F28)</f>
        <v>7628</v>
      </c>
      <c r="O28" s="110">
        <f t="shared" ref="O28:O64" si="21">N28/H28/12</f>
        <v>90.80952380952381</v>
      </c>
      <c r="P28" s="110">
        <f t="shared" ref="P28:P36" si="22">IF(Q28&gt;0,0,IF(OR(AA28&gt;AB28,AC28&lt;AD28),0,IF(AND(AC28&gt;=AD28,AC28&lt;=AB28),O28*((AC28-AD28)*12),IF(AND(AD28&lt;=AA28,AB28&gt;=AA28),((AB28-AA28)*12)*O28,IF(AC28&gt;AB28,12*O28,0)))))</f>
        <v>0</v>
      </c>
      <c r="Q28" s="110">
        <f t="shared" ref="Q28:Q36" si="23">IF(M28=0,0,IF(AND(AE28&gt;=AD28,AE28&lt;=AC28),((AE28-AD28)*12)*O28,0))</f>
        <v>0</v>
      </c>
      <c r="R28" s="110">
        <f t="shared" ref="R28:R36" si="24">IF(Q28&gt;0,Q28,P28)</f>
        <v>0</v>
      </c>
      <c r="S28" s="111">
        <v>1</v>
      </c>
      <c r="T28" s="110">
        <f t="shared" ref="T28:T36" si="25">S28*SUM(P28:Q28)</f>
        <v>0</v>
      </c>
      <c r="U28" s="110">
        <f t="shared" ref="U28:U36" si="26">IF(AA28&gt;AB28,0,IF(AC28&lt;AD28,N28,IF(AND(AC28&gt;=AD28,AC28&lt;=AB28),(N28-R28),IF(AND(AD28&lt;=AA28,AB28&gt;=AA28),0,IF(AC28&gt;AB28,((AD28-AA28)*12)*O28,0)))))</f>
        <v>7628</v>
      </c>
      <c r="V28" s="110">
        <f t="shared" ref="V28:V36" si="27">U28*S28</f>
        <v>7628</v>
      </c>
      <c r="W28" s="111">
        <v>1</v>
      </c>
      <c r="X28" s="110">
        <f t="shared" ref="X28:X36" si="28">V28*W28</f>
        <v>7628</v>
      </c>
      <c r="Y28" s="110">
        <f t="shared" ref="Y28:Y36" si="29">IF(M28&gt;0,0,X28+T28*W28)*W28</f>
        <v>7628</v>
      </c>
      <c r="Z28" s="110">
        <f t="shared" si="9"/>
        <v>0</v>
      </c>
      <c r="AA28" s="110">
        <f t="shared" si="10"/>
        <v>98.166666666666671</v>
      </c>
      <c r="AB28" s="110">
        <f t="shared" si="11"/>
        <v>119</v>
      </c>
      <c r="AC28" s="110">
        <f t="shared" si="12"/>
        <v>105.16666666666667</v>
      </c>
      <c r="AD28" s="110">
        <f t="shared" si="13"/>
        <v>118</v>
      </c>
      <c r="AE28" s="110">
        <f t="shared" si="14"/>
        <v>-8.3333333333333329E-2</v>
      </c>
      <c r="AF28" s="110">
        <f t="shared" si="15"/>
        <v>0</v>
      </c>
    </row>
    <row r="29" spans="2:32">
      <c r="B29" s="104" t="s">
        <v>639</v>
      </c>
      <c r="C29" s="210">
        <v>1998</v>
      </c>
      <c r="D29" s="104">
        <f t="shared" si="16"/>
        <v>98</v>
      </c>
      <c r="E29" s="104">
        <v>6</v>
      </c>
      <c r="F29" s="113">
        <v>0</v>
      </c>
      <c r="G29" s="112" t="s">
        <v>214</v>
      </c>
      <c r="H29" s="104">
        <v>7</v>
      </c>
      <c r="I29" s="104">
        <f t="shared" si="19"/>
        <v>105</v>
      </c>
      <c r="L29" s="110">
        <v>4164</v>
      </c>
      <c r="M29" s="110">
        <v>0</v>
      </c>
      <c r="N29" s="110">
        <f t="shared" si="20"/>
        <v>4164</v>
      </c>
      <c r="O29" s="110">
        <f t="shared" si="21"/>
        <v>49.571428571428577</v>
      </c>
      <c r="P29" s="110">
        <f t="shared" si="22"/>
        <v>0</v>
      </c>
      <c r="Q29" s="110">
        <f t="shared" si="23"/>
        <v>0</v>
      </c>
      <c r="R29" s="110">
        <f t="shared" si="24"/>
        <v>0</v>
      </c>
      <c r="S29" s="111">
        <v>1</v>
      </c>
      <c r="T29" s="110">
        <f t="shared" si="25"/>
        <v>0</v>
      </c>
      <c r="U29" s="110">
        <f t="shared" si="26"/>
        <v>4164</v>
      </c>
      <c r="V29" s="110">
        <f t="shared" si="27"/>
        <v>4164</v>
      </c>
      <c r="W29" s="111">
        <v>1</v>
      </c>
      <c r="X29" s="110">
        <f t="shared" si="28"/>
        <v>4164</v>
      </c>
      <c r="Y29" s="110">
        <f t="shared" si="29"/>
        <v>4164</v>
      </c>
      <c r="Z29" s="110">
        <f t="shared" si="9"/>
        <v>0</v>
      </c>
      <c r="AA29" s="110">
        <f t="shared" si="10"/>
        <v>98.416666666666671</v>
      </c>
      <c r="AB29" s="110">
        <f t="shared" si="11"/>
        <v>119</v>
      </c>
      <c r="AC29" s="110">
        <f t="shared" si="12"/>
        <v>105.41666666666667</v>
      </c>
      <c r="AD29" s="110">
        <f t="shared" si="13"/>
        <v>118</v>
      </c>
      <c r="AE29" s="110">
        <f t="shared" si="14"/>
        <v>-8.3333333333333329E-2</v>
      </c>
      <c r="AF29" s="110">
        <f t="shared" si="15"/>
        <v>0</v>
      </c>
    </row>
    <row r="30" spans="2:32">
      <c r="B30" s="104" t="s">
        <v>639</v>
      </c>
      <c r="C30" s="210">
        <v>1998</v>
      </c>
      <c r="D30" s="104">
        <f t="shared" si="16"/>
        <v>98</v>
      </c>
      <c r="E30" s="104">
        <v>12</v>
      </c>
      <c r="F30" s="113">
        <v>0</v>
      </c>
      <c r="G30" s="112" t="s">
        <v>214</v>
      </c>
      <c r="H30" s="104">
        <v>7</v>
      </c>
      <c r="I30" s="104">
        <f t="shared" si="19"/>
        <v>105</v>
      </c>
      <c r="L30" s="110">
        <v>7328</v>
      </c>
      <c r="M30" s="110">
        <v>0</v>
      </c>
      <c r="N30" s="110">
        <f t="shared" si="20"/>
        <v>7328</v>
      </c>
      <c r="O30" s="110">
        <f t="shared" si="21"/>
        <v>87.238095238095241</v>
      </c>
      <c r="P30" s="110">
        <f t="shared" si="22"/>
        <v>0</v>
      </c>
      <c r="Q30" s="110">
        <f t="shared" si="23"/>
        <v>0</v>
      </c>
      <c r="R30" s="110">
        <f t="shared" si="24"/>
        <v>0</v>
      </c>
      <c r="S30" s="111">
        <v>1</v>
      </c>
      <c r="T30" s="110">
        <f t="shared" si="25"/>
        <v>0</v>
      </c>
      <c r="U30" s="110">
        <f t="shared" si="26"/>
        <v>7328</v>
      </c>
      <c r="V30" s="110">
        <f t="shared" si="27"/>
        <v>7328</v>
      </c>
      <c r="W30" s="111">
        <v>1</v>
      </c>
      <c r="X30" s="110">
        <f t="shared" si="28"/>
        <v>7328</v>
      </c>
      <c r="Y30" s="110">
        <f t="shared" si="29"/>
        <v>7328</v>
      </c>
      <c r="Z30" s="110">
        <f t="shared" si="9"/>
        <v>0</v>
      </c>
      <c r="AA30" s="110">
        <f t="shared" si="10"/>
        <v>98.916666666666671</v>
      </c>
      <c r="AB30" s="110">
        <f t="shared" si="11"/>
        <v>119</v>
      </c>
      <c r="AC30" s="110">
        <f t="shared" si="12"/>
        <v>105.91666666666667</v>
      </c>
      <c r="AD30" s="110">
        <f t="shared" si="13"/>
        <v>118</v>
      </c>
      <c r="AE30" s="110">
        <f t="shared" si="14"/>
        <v>-8.3333333333333329E-2</v>
      </c>
      <c r="AF30" s="110">
        <f t="shared" si="15"/>
        <v>0</v>
      </c>
    </row>
    <row r="31" spans="2:32">
      <c r="B31" s="104" t="s">
        <v>645</v>
      </c>
      <c r="C31" s="210">
        <v>2000</v>
      </c>
      <c r="D31" s="104">
        <f t="shared" si="16"/>
        <v>100</v>
      </c>
      <c r="E31" s="104">
        <v>7</v>
      </c>
      <c r="F31" s="113">
        <v>0</v>
      </c>
      <c r="G31" s="112" t="s">
        <v>214</v>
      </c>
      <c r="H31" s="104">
        <v>7</v>
      </c>
      <c r="I31" s="104">
        <f t="shared" si="19"/>
        <v>107</v>
      </c>
      <c r="L31" s="110">
        <v>1614</v>
      </c>
      <c r="M31" s="110">
        <v>0</v>
      </c>
      <c r="N31" s="110">
        <f t="shared" si="20"/>
        <v>1614</v>
      </c>
      <c r="O31" s="110">
        <f t="shared" si="21"/>
        <v>19.214285714285715</v>
      </c>
      <c r="P31" s="110">
        <f t="shared" si="22"/>
        <v>0</v>
      </c>
      <c r="Q31" s="110">
        <f t="shared" si="23"/>
        <v>0</v>
      </c>
      <c r="R31" s="110">
        <f t="shared" si="24"/>
        <v>0</v>
      </c>
      <c r="S31" s="111">
        <v>1</v>
      </c>
      <c r="T31" s="110">
        <f t="shared" si="25"/>
        <v>0</v>
      </c>
      <c r="U31" s="110">
        <f t="shared" si="26"/>
        <v>1614</v>
      </c>
      <c r="V31" s="110">
        <f t="shared" si="27"/>
        <v>1614</v>
      </c>
      <c r="W31" s="111">
        <v>1</v>
      </c>
      <c r="X31" s="110">
        <f t="shared" si="28"/>
        <v>1614</v>
      </c>
      <c r="Y31" s="110">
        <f t="shared" si="29"/>
        <v>1614</v>
      </c>
      <c r="Z31" s="110">
        <f t="shared" si="9"/>
        <v>0</v>
      </c>
      <c r="AA31" s="110">
        <f t="shared" si="10"/>
        <v>100.5</v>
      </c>
      <c r="AB31" s="110">
        <f t="shared" si="11"/>
        <v>119</v>
      </c>
      <c r="AC31" s="110">
        <f t="shared" si="12"/>
        <v>107.5</v>
      </c>
      <c r="AD31" s="110">
        <f t="shared" si="13"/>
        <v>118</v>
      </c>
      <c r="AE31" s="110">
        <f t="shared" si="14"/>
        <v>-8.3333333333333329E-2</v>
      </c>
      <c r="AF31" s="110">
        <f t="shared" si="15"/>
        <v>0</v>
      </c>
    </row>
    <row r="32" spans="2:32">
      <c r="B32" s="104" t="s">
        <v>646</v>
      </c>
      <c r="C32" s="210">
        <v>2000</v>
      </c>
      <c r="D32" s="104">
        <f t="shared" si="16"/>
        <v>100</v>
      </c>
      <c r="E32" s="104">
        <v>8</v>
      </c>
      <c r="F32" s="113">
        <v>0.2</v>
      </c>
      <c r="G32" s="112" t="s">
        <v>214</v>
      </c>
      <c r="H32" s="104">
        <v>7</v>
      </c>
      <c r="I32" s="104">
        <f t="shared" si="19"/>
        <v>107</v>
      </c>
      <c r="L32" s="110">
        <v>204375</v>
      </c>
      <c r="M32" s="110">
        <v>0</v>
      </c>
      <c r="N32" s="110">
        <f t="shared" si="20"/>
        <v>163500</v>
      </c>
      <c r="O32" s="110">
        <f t="shared" si="21"/>
        <v>1946.4285714285716</v>
      </c>
      <c r="P32" s="110">
        <f t="shared" si="22"/>
        <v>0</v>
      </c>
      <c r="Q32" s="110">
        <f t="shared" si="23"/>
        <v>0</v>
      </c>
      <c r="R32" s="110">
        <f t="shared" si="24"/>
        <v>0</v>
      </c>
      <c r="S32" s="111">
        <v>1</v>
      </c>
      <c r="T32" s="110">
        <f t="shared" si="25"/>
        <v>0</v>
      </c>
      <c r="U32" s="110">
        <f t="shared" si="26"/>
        <v>163500</v>
      </c>
      <c r="V32" s="110">
        <f t="shared" si="27"/>
        <v>163500</v>
      </c>
      <c r="W32" s="111">
        <v>1</v>
      </c>
      <c r="X32" s="110">
        <f t="shared" si="28"/>
        <v>163500</v>
      </c>
      <c r="Y32" s="110">
        <f t="shared" si="29"/>
        <v>163500</v>
      </c>
      <c r="Z32" s="110">
        <f t="shared" ref="Z32:Z38" si="30">L32-((+X32+Y32)/2)</f>
        <v>40875</v>
      </c>
      <c r="AA32" s="110">
        <f t="shared" si="10"/>
        <v>100.58333333333333</v>
      </c>
      <c r="AB32" s="110">
        <f t="shared" si="11"/>
        <v>119</v>
      </c>
      <c r="AC32" s="110">
        <f t="shared" si="12"/>
        <v>107.58333333333333</v>
      </c>
      <c r="AD32" s="110">
        <f t="shared" si="13"/>
        <v>118</v>
      </c>
      <c r="AE32" s="110">
        <f t="shared" si="14"/>
        <v>-8.3333333333333329E-2</v>
      </c>
      <c r="AF32" s="110">
        <f t="shared" si="15"/>
        <v>0</v>
      </c>
    </row>
    <row r="33" spans="2:32">
      <c r="B33" s="104" t="s">
        <v>647</v>
      </c>
      <c r="C33" s="210">
        <v>2001</v>
      </c>
      <c r="D33" s="104">
        <f t="shared" si="16"/>
        <v>101</v>
      </c>
      <c r="E33" s="104">
        <v>4</v>
      </c>
      <c r="F33" s="113">
        <v>0</v>
      </c>
      <c r="G33" s="112" t="s">
        <v>214</v>
      </c>
      <c r="H33" s="104">
        <v>7</v>
      </c>
      <c r="I33" s="104">
        <f t="shared" si="19"/>
        <v>108</v>
      </c>
      <c r="L33" s="110">
        <v>865</v>
      </c>
      <c r="M33" s="110">
        <v>0</v>
      </c>
      <c r="N33" s="110">
        <f t="shared" si="20"/>
        <v>865</v>
      </c>
      <c r="O33" s="110">
        <f t="shared" si="21"/>
        <v>10.297619047619047</v>
      </c>
      <c r="P33" s="110">
        <f t="shared" si="22"/>
        <v>0</v>
      </c>
      <c r="Q33" s="110">
        <f t="shared" si="23"/>
        <v>0</v>
      </c>
      <c r="R33" s="110">
        <f t="shared" si="24"/>
        <v>0</v>
      </c>
      <c r="S33" s="111">
        <v>1</v>
      </c>
      <c r="T33" s="110">
        <f t="shared" si="25"/>
        <v>0</v>
      </c>
      <c r="U33" s="110">
        <f t="shared" si="26"/>
        <v>865</v>
      </c>
      <c r="V33" s="110">
        <f t="shared" si="27"/>
        <v>865</v>
      </c>
      <c r="W33" s="111">
        <v>1</v>
      </c>
      <c r="X33" s="110">
        <f t="shared" si="28"/>
        <v>865</v>
      </c>
      <c r="Y33" s="110">
        <f t="shared" si="29"/>
        <v>865</v>
      </c>
      <c r="Z33" s="110">
        <f t="shared" si="30"/>
        <v>0</v>
      </c>
      <c r="AA33" s="110">
        <f t="shared" si="10"/>
        <v>101.25</v>
      </c>
      <c r="AB33" s="110">
        <f t="shared" si="11"/>
        <v>119</v>
      </c>
      <c r="AC33" s="110">
        <f t="shared" si="12"/>
        <v>108.25</v>
      </c>
      <c r="AD33" s="110">
        <f t="shared" si="13"/>
        <v>118</v>
      </c>
      <c r="AE33" s="110">
        <f t="shared" si="14"/>
        <v>-8.3333333333333329E-2</v>
      </c>
      <c r="AF33" s="110">
        <f t="shared" si="15"/>
        <v>0</v>
      </c>
    </row>
    <row r="34" spans="2:32">
      <c r="B34" s="104" t="s">
        <v>647</v>
      </c>
      <c r="C34" s="210">
        <v>2001</v>
      </c>
      <c r="D34" s="104">
        <f t="shared" si="16"/>
        <v>101</v>
      </c>
      <c r="E34" s="104">
        <v>6</v>
      </c>
      <c r="F34" s="113">
        <v>0</v>
      </c>
      <c r="G34" s="112" t="s">
        <v>214</v>
      </c>
      <c r="H34" s="104">
        <v>7</v>
      </c>
      <c r="I34" s="104">
        <f t="shared" si="19"/>
        <v>108</v>
      </c>
      <c r="L34" s="110">
        <v>1276</v>
      </c>
      <c r="M34" s="110">
        <v>0</v>
      </c>
      <c r="N34" s="110">
        <f t="shared" si="20"/>
        <v>1276</v>
      </c>
      <c r="O34" s="110">
        <f t="shared" si="21"/>
        <v>15.19047619047619</v>
      </c>
      <c r="P34" s="110">
        <f t="shared" si="22"/>
        <v>0</v>
      </c>
      <c r="Q34" s="110">
        <f t="shared" si="23"/>
        <v>0</v>
      </c>
      <c r="R34" s="110">
        <f t="shared" si="24"/>
        <v>0</v>
      </c>
      <c r="S34" s="111">
        <v>1</v>
      </c>
      <c r="T34" s="110">
        <f t="shared" si="25"/>
        <v>0</v>
      </c>
      <c r="U34" s="110">
        <f t="shared" si="26"/>
        <v>1276</v>
      </c>
      <c r="V34" s="110">
        <f t="shared" si="27"/>
        <v>1276</v>
      </c>
      <c r="W34" s="111">
        <v>1</v>
      </c>
      <c r="X34" s="110">
        <f t="shared" si="28"/>
        <v>1276</v>
      </c>
      <c r="Y34" s="110">
        <f t="shared" si="29"/>
        <v>1276</v>
      </c>
      <c r="Z34" s="110">
        <f t="shared" si="30"/>
        <v>0</v>
      </c>
      <c r="AA34" s="110">
        <f t="shared" si="10"/>
        <v>101.41666666666667</v>
      </c>
      <c r="AB34" s="110">
        <f t="shared" si="11"/>
        <v>119</v>
      </c>
      <c r="AC34" s="110">
        <f t="shared" si="12"/>
        <v>108.41666666666667</v>
      </c>
      <c r="AD34" s="110">
        <f t="shared" si="13"/>
        <v>118</v>
      </c>
      <c r="AE34" s="110">
        <f t="shared" si="14"/>
        <v>-8.3333333333333329E-2</v>
      </c>
      <c r="AF34" s="110">
        <f t="shared" si="15"/>
        <v>0</v>
      </c>
    </row>
    <row r="35" spans="2:32">
      <c r="B35" s="104" t="s">
        <v>648</v>
      </c>
      <c r="C35" s="210">
        <v>2001</v>
      </c>
      <c r="D35" s="104">
        <f t="shared" si="16"/>
        <v>101</v>
      </c>
      <c r="E35" s="104">
        <v>8</v>
      </c>
      <c r="F35" s="113">
        <v>0.2</v>
      </c>
      <c r="G35" s="112" t="s">
        <v>214</v>
      </c>
      <c r="H35" s="104">
        <v>7</v>
      </c>
      <c r="I35" s="104">
        <f t="shared" si="19"/>
        <v>108</v>
      </c>
      <c r="L35" s="110">
        <v>63860</v>
      </c>
      <c r="M35" s="110">
        <v>0</v>
      </c>
      <c r="N35" s="110">
        <f t="shared" si="20"/>
        <v>51088</v>
      </c>
      <c r="O35" s="110">
        <f t="shared" si="21"/>
        <v>608.19047619047626</v>
      </c>
      <c r="P35" s="110">
        <f t="shared" si="22"/>
        <v>0</v>
      </c>
      <c r="Q35" s="110">
        <f t="shared" si="23"/>
        <v>0</v>
      </c>
      <c r="R35" s="110">
        <f t="shared" si="24"/>
        <v>0</v>
      </c>
      <c r="S35" s="111">
        <v>1</v>
      </c>
      <c r="T35" s="110">
        <f t="shared" si="25"/>
        <v>0</v>
      </c>
      <c r="U35" s="110">
        <f t="shared" si="26"/>
        <v>51088</v>
      </c>
      <c r="V35" s="110">
        <f t="shared" si="27"/>
        <v>51088</v>
      </c>
      <c r="W35" s="111">
        <v>1</v>
      </c>
      <c r="X35" s="110">
        <f t="shared" si="28"/>
        <v>51088</v>
      </c>
      <c r="Y35" s="110">
        <f t="shared" si="29"/>
        <v>51088</v>
      </c>
      <c r="Z35" s="110">
        <f t="shared" si="30"/>
        <v>12772</v>
      </c>
      <c r="AA35" s="110">
        <f t="shared" si="10"/>
        <v>101.58333333333333</v>
      </c>
      <c r="AB35" s="110">
        <f t="shared" si="11"/>
        <v>119</v>
      </c>
      <c r="AC35" s="110">
        <f t="shared" si="12"/>
        <v>108.58333333333333</v>
      </c>
      <c r="AD35" s="110">
        <f t="shared" si="13"/>
        <v>118</v>
      </c>
      <c r="AE35" s="110">
        <f t="shared" si="14"/>
        <v>-8.3333333333333329E-2</v>
      </c>
      <c r="AF35" s="110">
        <f t="shared" si="15"/>
        <v>0</v>
      </c>
    </row>
    <row r="36" spans="2:32">
      <c r="B36" s="104" t="s">
        <v>649</v>
      </c>
      <c r="C36" s="210">
        <v>2001</v>
      </c>
      <c r="D36" s="104">
        <f t="shared" si="16"/>
        <v>101</v>
      </c>
      <c r="E36" s="104">
        <v>8</v>
      </c>
      <c r="F36" s="113">
        <v>0</v>
      </c>
      <c r="G36" s="112" t="s">
        <v>214</v>
      </c>
      <c r="H36" s="104">
        <v>7</v>
      </c>
      <c r="I36" s="104">
        <f t="shared" si="19"/>
        <v>108</v>
      </c>
      <c r="L36" s="110">
        <v>41503</v>
      </c>
      <c r="M36" s="110">
        <v>0</v>
      </c>
      <c r="N36" s="110">
        <f t="shared" si="20"/>
        <v>41503</v>
      </c>
      <c r="O36" s="110">
        <f t="shared" si="21"/>
        <v>494.08333333333331</v>
      </c>
      <c r="P36" s="110">
        <f t="shared" si="22"/>
        <v>0</v>
      </c>
      <c r="Q36" s="110">
        <f t="shared" si="23"/>
        <v>0</v>
      </c>
      <c r="R36" s="110">
        <f t="shared" si="24"/>
        <v>0</v>
      </c>
      <c r="S36" s="111">
        <v>1</v>
      </c>
      <c r="T36" s="110">
        <f t="shared" si="25"/>
        <v>0</v>
      </c>
      <c r="U36" s="110">
        <f t="shared" si="26"/>
        <v>41503</v>
      </c>
      <c r="V36" s="110">
        <f t="shared" si="27"/>
        <v>41503</v>
      </c>
      <c r="W36" s="111">
        <v>1</v>
      </c>
      <c r="X36" s="110">
        <f t="shared" si="28"/>
        <v>41503</v>
      </c>
      <c r="Y36" s="110">
        <f t="shared" si="29"/>
        <v>41503</v>
      </c>
      <c r="Z36" s="110">
        <f t="shared" si="30"/>
        <v>0</v>
      </c>
      <c r="AA36" s="110">
        <f t="shared" si="10"/>
        <v>101.58333333333333</v>
      </c>
      <c r="AB36" s="110">
        <f t="shared" si="11"/>
        <v>119</v>
      </c>
      <c r="AC36" s="110">
        <f t="shared" si="12"/>
        <v>108.58333333333333</v>
      </c>
      <c r="AD36" s="110">
        <f t="shared" si="13"/>
        <v>118</v>
      </c>
      <c r="AE36" s="110">
        <f t="shared" si="14"/>
        <v>-8.3333333333333329E-2</v>
      </c>
      <c r="AF36" s="110">
        <f t="shared" si="15"/>
        <v>0</v>
      </c>
    </row>
    <row r="37" spans="2:32">
      <c r="B37" s="104" t="s">
        <v>650</v>
      </c>
      <c r="C37" s="210">
        <v>2002</v>
      </c>
      <c r="D37" s="104">
        <f t="shared" si="16"/>
        <v>102</v>
      </c>
      <c r="E37" s="104">
        <v>6</v>
      </c>
      <c r="F37" s="113">
        <v>0</v>
      </c>
      <c r="G37" s="112" t="s">
        <v>214</v>
      </c>
      <c r="H37" s="104">
        <v>7</v>
      </c>
      <c r="I37" s="104">
        <f t="shared" si="19"/>
        <v>109</v>
      </c>
      <c r="L37" s="110">
        <v>12251</v>
      </c>
      <c r="M37" s="110">
        <v>0</v>
      </c>
      <c r="N37" s="110">
        <f t="shared" si="20"/>
        <v>12251</v>
      </c>
      <c r="O37" s="110">
        <f t="shared" si="21"/>
        <v>145.8452380952381</v>
      </c>
      <c r="P37" s="110">
        <f>IF(Q37&gt;0,0,IF(OR(AA37&gt;AB37,AC37&lt;AD37),0,IF(AND(AC37&gt;=AD37,AC37&lt;=AB37),O37*((AC37-AD37)*12),IF(AND(AD37&lt;=AA37,AB37&gt;=AA37),((AB37-AA37)*12)*O37,IF(AC37&gt;AB37,12*O37,0)))))</f>
        <v>0</v>
      </c>
      <c r="Q37" s="110">
        <f>IF(M37=0,0,IF(AND(AE37&gt;=AD37,AE37&lt;=AC37),((AE37-AD37)*12)*O37,0))</f>
        <v>0</v>
      </c>
      <c r="R37" s="110">
        <f>IF(Q37&gt;0,Q37,P37)</f>
        <v>0</v>
      </c>
      <c r="S37" s="111">
        <v>1</v>
      </c>
      <c r="T37" s="110">
        <f>S37*SUM(P37:Q37)</f>
        <v>0</v>
      </c>
      <c r="U37" s="110">
        <f>IF(AA37&gt;AB37,0,IF(AC37&lt;AD37,N37,IF(AND(AC37&gt;=AD37,AC37&lt;=AB37),(N37-R37),IF(AND(AD37&lt;=AA37,AB37&gt;=AA37),0,IF(AC37&gt;AB37,((AD37-AA37)*12)*O37,0)))))</f>
        <v>12251</v>
      </c>
      <c r="V37" s="110">
        <f>U37*S37</f>
        <v>12251</v>
      </c>
      <c r="W37" s="111">
        <v>1</v>
      </c>
      <c r="X37" s="110">
        <f>V37*W37</f>
        <v>12251</v>
      </c>
      <c r="Y37" s="110">
        <f>IF(M37&gt;0,0,X37+T37*W37)*W37</f>
        <v>12251</v>
      </c>
      <c r="Z37" s="110">
        <f t="shared" si="30"/>
        <v>0</v>
      </c>
      <c r="AA37" s="110">
        <f t="shared" si="10"/>
        <v>102.41666666666667</v>
      </c>
      <c r="AB37" s="110">
        <f t="shared" si="11"/>
        <v>119</v>
      </c>
      <c r="AC37" s="110">
        <f t="shared" si="12"/>
        <v>109.41666666666667</v>
      </c>
      <c r="AD37" s="110">
        <f t="shared" si="13"/>
        <v>118</v>
      </c>
      <c r="AE37" s="110">
        <f t="shared" si="14"/>
        <v>-8.3333333333333329E-2</v>
      </c>
      <c r="AF37" s="110">
        <f t="shared" si="15"/>
        <v>0</v>
      </c>
    </row>
    <row r="38" spans="2:32">
      <c r="B38" s="104" t="s">
        <v>644</v>
      </c>
      <c r="C38" s="210">
        <v>2004</v>
      </c>
      <c r="D38" s="104">
        <f t="shared" si="16"/>
        <v>104</v>
      </c>
      <c r="E38" s="104">
        <v>8</v>
      </c>
      <c r="F38" s="113">
        <v>0</v>
      </c>
      <c r="G38" s="112" t="s">
        <v>214</v>
      </c>
      <c r="H38" s="104">
        <v>7</v>
      </c>
      <c r="I38" s="104">
        <f t="shared" si="19"/>
        <v>111</v>
      </c>
      <c r="L38" s="110">
        <v>9308</v>
      </c>
      <c r="M38" s="110">
        <v>0</v>
      </c>
      <c r="N38" s="110">
        <f t="shared" si="20"/>
        <v>9308</v>
      </c>
      <c r="O38" s="110">
        <f t="shared" si="21"/>
        <v>110.80952380952381</v>
      </c>
      <c r="P38" s="110">
        <f>IF(Q38&gt;0,0,IF(OR(AA38&gt;AB38,AC38&lt;AD38),0,IF(AND(AC38&gt;=AD38,AC38&lt;=AB38),O38*((AC38-AD38)*12),IF(AND(AD38&lt;=AA38,AB38&gt;=AA38),((AB38-AA38)*12)*O38,IF(AC38&gt;AB38,12*O38,0)))))</f>
        <v>0</v>
      </c>
      <c r="Q38" s="110">
        <f>IF(M38=0,0,IF(AND(AE38&gt;=AD38,AE38&lt;=AC38),((AE38-AD38)*12)*O38,0))</f>
        <v>0</v>
      </c>
      <c r="R38" s="110">
        <f>IF(Q38&gt;0,Q38,P38)</f>
        <v>0</v>
      </c>
      <c r="S38" s="111">
        <v>1</v>
      </c>
      <c r="T38" s="110">
        <f>S38*SUM(P38:Q38)</f>
        <v>0</v>
      </c>
      <c r="U38" s="110">
        <f>IF(AA38&gt;AB38,0,IF(AC38&lt;AD38,N38,IF(AND(AC38&gt;=AD38,AC38&lt;=AB38),(N38-R38),IF(AND(AD38&lt;=AA38,AB38&gt;=AA38),0,IF(AC38&gt;AB38,((AD38-AA38)*12)*O38,0)))))</f>
        <v>9308</v>
      </c>
      <c r="V38" s="110">
        <f>U38*S38</f>
        <v>9308</v>
      </c>
      <c r="W38" s="111">
        <v>1</v>
      </c>
      <c r="X38" s="110">
        <f>V38*W38</f>
        <v>9308</v>
      </c>
      <c r="Y38" s="110">
        <f>IF(M38&gt;0,0,X38+T38*W38)*W38</f>
        <v>9308</v>
      </c>
      <c r="Z38" s="110">
        <f t="shared" si="30"/>
        <v>0</v>
      </c>
      <c r="AA38" s="110">
        <f t="shared" si="10"/>
        <v>104.58333333333333</v>
      </c>
      <c r="AB38" s="110">
        <f t="shared" si="11"/>
        <v>119</v>
      </c>
      <c r="AC38" s="110">
        <f t="shared" si="12"/>
        <v>111.58333333333333</v>
      </c>
      <c r="AD38" s="110">
        <f t="shared" si="13"/>
        <v>118</v>
      </c>
      <c r="AE38" s="110">
        <f t="shared" si="14"/>
        <v>-8.3333333333333329E-2</v>
      </c>
      <c r="AF38" s="110">
        <f t="shared" si="15"/>
        <v>0</v>
      </c>
    </row>
    <row r="39" spans="2:32">
      <c r="B39" s="104" t="s">
        <v>651</v>
      </c>
      <c r="C39" s="210">
        <v>2004</v>
      </c>
      <c r="D39" s="104">
        <f t="shared" si="16"/>
        <v>104</v>
      </c>
      <c r="E39" s="104">
        <v>12</v>
      </c>
      <c r="F39" s="113">
        <v>0</v>
      </c>
      <c r="G39" s="112" t="s">
        <v>214</v>
      </c>
      <c r="H39" s="104">
        <v>7</v>
      </c>
      <c r="I39" s="104">
        <f t="shared" si="19"/>
        <v>111</v>
      </c>
      <c r="L39" s="110">
        <v>108330</v>
      </c>
      <c r="M39" s="110">
        <v>0</v>
      </c>
      <c r="N39" s="110">
        <f t="shared" si="20"/>
        <v>108330</v>
      </c>
      <c r="O39" s="110">
        <f t="shared" si="21"/>
        <v>1289.6428571428571</v>
      </c>
      <c r="P39" s="110">
        <f t="shared" ref="P39:P63" si="31">IF(Q39&gt;0,0,IF(OR(AA39&gt;AB39,AC39&lt;AD39),0,IF(AND(AC39&gt;=AD39,AC39&lt;=AB39),O39*((AC39-AD39)*12),IF(AND(AD39&lt;=AA39,AB39&gt;=AA39),((AB39-AA39)*12)*O39,IF(AC39&gt;AB39,12*O39,0)))))</f>
        <v>0</v>
      </c>
      <c r="Q39" s="110">
        <f t="shared" ref="Q39:Q63" si="32">IF(M39=0,0,IF(AND(AE39&gt;=AD39,AE39&lt;=AC39),((AE39-AD39)*12)*O39,0))</f>
        <v>0</v>
      </c>
      <c r="R39" s="110">
        <f t="shared" ref="R39:R63" si="33">IF(Q39&gt;0,Q39,P39)</f>
        <v>0</v>
      </c>
      <c r="S39" s="111">
        <v>1</v>
      </c>
      <c r="T39" s="110">
        <f t="shared" ref="T39:T63" si="34">S39*SUM(P39:Q39)</f>
        <v>0</v>
      </c>
      <c r="U39" s="110">
        <f t="shared" ref="U39:U63" si="35">IF(AA39&gt;AB39,0,IF(AC39&lt;AD39,N39,IF(AND(AC39&gt;=AD39,AC39&lt;=AB39),(N39-R39),IF(AND(AD39&lt;=AA39,AB39&gt;=AA39),0,IF(AC39&gt;AB39,((AD39-AA39)*12)*O39,0)))))</f>
        <v>108330</v>
      </c>
      <c r="V39" s="110">
        <f t="shared" ref="V39:V63" si="36">U39*S39</f>
        <v>108330</v>
      </c>
      <c r="W39" s="111">
        <v>1</v>
      </c>
      <c r="X39" s="110">
        <f t="shared" ref="X39:X63" si="37">V39*W39</f>
        <v>108330</v>
      </c>
      <c r="Y39" s="110">
        <f t="shared" ref="Y39:Y63" si="38">IF(M39&gt;0,0,X39+T39*W39)*W39</f>
        <v>108330</v>
      </c>
      <c r="Z39" s="110">
        <f t="shared" ref="Z39:Z63" si="39">L39-((+X39+Y39)/2)</f>
        <v>0</v>
      </c>
      <c r="AA39" s="110">
        <f t="shared" si="10"/>
        <v>104.91666666666667</v>
      </c>
      <c r="AB39" s="110">
        <f t="shared" si="11"/>
        <v>119</v>
      </c>
      <c r="AC39" s="110">
        <f t="shared" si="12"/>
        <v>111.91666666666667</v>
      </c>
      <c r="AD39" s="110">
        <f t="shared" si="13"/>
        <v>118</v>
      </c>
      <c r="AE39" s="110">
        <f t="shared" si="14"/>
        <v>-8.3333333333333329E-2</v>
      </c>
      <c r="AF39" s="110">
        <f t="shared" si="15"/>
        <v>0</v>
      </c>
    </row>
    <row r="40" spans="2:32">
      <c r="B40" s="104" t="s">
        <v>675</v>
      </c>
      <c r="C40" s="210">
        <v>2005</v>
      </c>
      <c r="D40" s="104">
        <f t="shared" si="16"/>
        <v>105</v>
      </c>
      <c r="E40" s="104">
        <v>1</v>
      </c>
      <c r="F40" s="113">
        <v>0</v>
      </c>
      <c r="G40" s="112" t="s">
        <v>214</v>
      </c>
      <c r="H40" s="104">
        <v>7</v>
      </c>
      <c r="I40" s="104">
        <f t="shared" si="19"/>
        <v>112</v>
      </c>
      <c r="L40" s="110">
        <v>738</v>
      </c>
      <c r="M40" s="110">
        <v>0</v>
      </c>
      <c r="N40" s="110">
        <f t="shared" si="20"/>
        <v>738</v>
      </c>
      <c r="O40" s="110">
        <f t="shared" si="21"/>
        <v>8.7857142857142865</v>
      </c>
      <c r="P40" s="110">
        <f t="shared" si="31"/>
        <v>0</v>
      </c>
      <c r="Q40" s="110">
        <f t="shared" si="32"/>
        <v>0</v>
      </c>
      <c r="R40" s="110">
        <f t="shared" si="33"/>
        <v>0</v>
      </c>
      <c r="S40" s="111">
        <v>1</v>
      </c>
      <c r="T40" s="110">
        <f t="shared" si="34"/>
        <v>0</v>
      </c>
      <c r="U40" s="110">
        <f t="shared" si="35"/>
        <v>738</v>
      </c>
      <c r="V40" s="110">
        <f t="shared" si="36"/>
        <v>738</v>
      </c>
      <c r="W40" s="111">
        <v>1</v>
      </c>
      <c r="X40" s="110">
        <f t="shared" si="37"/>
        <v>738</v>
      </c>
      <c r="Y40" s="110">
        <f t="shared" si="38"/>
        <v>738</v>
      </c>
      <c r="Z40" s="110">
        <f t="shared" si="39"/>
        <v>0</v>
      </c>
      <c r="AA40" s="110">
        <f t="shared" si="10"/>
        <v>105</v>
      </c>
      <c r="AB40" s="110">
        <f t="shared" si="11"/>
        <v>119</v>
      </c>
      <c r="AC40" s="110">
        <f t="shared" si="12"/>
        <v>112</v>
      </c>
      <c r="AD40" s="110">
        <f t="shared" si="13"/>
        <v>118</v>
      </c>
      <c r="AE40" s="110">
        <f t="shared" si="14"/>
        <v>-8.3333333333333329E-2</v>
      </c>
      <c r="AF40" s="110">
        <f t="shared" si="15"/>
        <v>0</v>
      </c>
    </row>
    <row r="41" spans="2:32">
      <c r="B41" s="104" t="s">
        <v>652</v>
      </c>
      <c r="C41" s="210">
        <v>2005</v>
      </c>
      <c r="D41" s="104">
        <f t="shared" si="16"/>
        <v>105</v>
      </c>
      <c r="E41" s="104">
        <v>12</v>
      </c>
      <c r="F41" s="113">
        <v>0.2</v>
      </c>
      <c r="G41" s="112" t="s">
        <v>214</v>
      </c>
      <c r="H41" s="104">
        <v>7</v>
      </c>
      <c r="I41" s="104">
        <f t="shared" si="19"/>
        <v>112</v>
      </c>
      <c r="L41" s="110">
        <v>125951</v>
      </c>
      <c r="M41" s="110">
        <v>0</v>
      </c>
      <c r="N41" s="110">
        <f t="shared" si="20"/>
        <v>100760.8</v>
      </c>
      <c r="O41" s="110">
        <f t="shared" si="21"/>
        <v>1199.5333333333333</v>
      </c>
      <c r="P41" s="110">
        <f t="shared" si="31"/>
        <v>0</v>
      </c>
      <c r="Q41" s="110">
        <f t="shared" si="32"/>
        <v>0</v>
      </c>
      <c r="R41" s="110">
        <f t="shared" si="33"/>
        <v>0</v>
      </c>
      <c r="S41" s="111">
        <v>1</v>
      </c>
      <c r="T41" s="110">
        <f t="shared" si="34"/>
        <v>0</v>
      </c>
      <c r="U41" s="110">
        <f t="shared" si="35"/>
        <v>100760.8</v>
      </c>
      <c r="V41" s="110">
        <f t="shared" si="36"/>
        <v>100760.8</v>
      </c>
      <c r="W41" s="111">
        <v>1</v>
      </c>
      <c r="X41" s="110">
        <f t="shared" si="37"/>
        <v>100760.8</v>
      </c>
      <c r="Y41" s="110">
        <f t="shared" si="38"/>
        <v>100760.8</v>
      </c>
      <c r="Z41" s="110">
        <f t="shared" si="39"/>
        <v>25190.199999999997</v>
      </c>
      <c r="AA41" s="110">
        <f t="shared" si="10"/>
        <v>105.91666666666667</v>
      </c>
      <c r="AB41" s="110">
        <f t="shared" si="11"/>
        <v>119</v>
      </c>
      <c r="AC41" s="110">
        <f t="shared" si="12"/>
        <v>112.91666666666667</v>
      </c>
      <c r="AD41" s="110">
        <f t="shared" si="13"/>
        <v>118</v>
      </c>
      <c r="AE41" s="110">
        <f t="shared" si="14"/>
        <v>-8.3333333333333329E-2</v>
      </c>
      <c r="AF41" s="110">
        <f t="shared" si="15"/>
        <v>0</v>
      </c>
    </row>
    <row r="42" spans="2:32">
      <c r="B42" s="104" t="s">
        <v>653</v>
      </c>
      <c r="C42" s="210">
        <v>2005</v>
      </c>
      <c r="D42" s="104">
        <f t="shared" si="16"/>
        <v>105</v>
      </c>
      <c r="E42" s="104">
        <v>9</v>
      </c>
      <c r="F42" s="113">
        <v>0</v>
      </c>
      <c r="G42" s="112" t="s">
        <v>214</v>
      </c>
      <c r="H42" s="104">
        <v>7</v>
      </c>
      <c r="I42" s="104">
        <f t="shared" si="19"/>
        <v>112</v>
      </c>
      <c r="L42" s="110">
        <v>22988</v>
      </c>
      <c r="M42" s="110">
        <v>0</v>
      </c>
      <c r="N42" s="110">
        <f t="shared" si="20"/>
        <v>22988</v>
      </c>
      <c r="O42" s="110">
        <f t="shared" si="21"/>
        <v>273.66666666666669</v>
      </c>
      <c r="P42" s="110">
        <f t="shared" si="31"/>
        <v>0</v>
      </c>
      <c r="Q42" s="110">
        <f t="shared" si="32"/>
        <v>0</v>
      </c>
      <c r="R42" s="110">
        <f t="shared" si="33"/>
        <v>0</v>
      </c>
      <c r="S42" s="111">
        <v>1</v>
      </c>
      <c r="T42" s="110">
        <f t="shared" si="34"/>
        <v>0</v>
      </c>
      <c r="U42" s="110">
        <f t="shared" si="35"/>
        <v>22988</v>
      </c>
      <c r="V42" s="110">
        <f t="shared" si="36"/>
        <v>22988</v>
      </c>
      <c r="W42" s="111">
        <v>1</v>
      </c>
      <c r="X42" s="110">
        <f t="shared" si="37"/>
        <v>22988</v>
      </c>
      <c r="Y42" s="110">
        <f t="shared" si="38"/>
        <v>22988</v>
      </c>
      <c r="Z42" s="110">
        <f t="shared" si="39"/>
        <v>0</v>
      </c>
      <c r="AA42" s="110">
        <f t="shared" si="10"/>
        <v>105.66666666666667</v>
      </c>
      <c r="AB42" s="110">
        <f t="shared" si="11"/>
        <v>119</v>
      </c>
      <c r="AC42" s="110">
        <f t="shared" si="12"/>
        <v>112.66666666666667</v>
      </c>
      <c r="AD42" s="110">
        <f t="shared" si="13"/>
        <v>118</v>
      </c>
      <c r="AE42" s="110">
        <f t="shared" si="14"/>
        <v>-8.3333333333333329E-2</v>
      </c>
      <c r="AF42" s="110">
        <f t="shared" si="15"/>
        <v>0</v>
      </c>
    </row>
    <row r="43" spans="2:32">
      <c r="B43" s="104" t="s">
        <v>654</v>
      </c>
      <c r="C43" s="210">
        <v>2006</v>
      </c>
      <c r="D43" s="104">
        <f t="shared" si="16"/>
        <v>106</v>
      </c>
      <c r="E43" s="104">
        <v>4</v>
      </c>
      <c r="F43" s="113">
        <v>0</v>
      </c>
      <c r="G43" s="112" t="s">
        <v>214</v>
      </c>
      <c r="H43" s="104">
        <v>7</v>
      </c>
      <c r="I43" s="104">
        <f t="shared" si="19"/>
        <v>113</v>
      </c>
      <c r="L43" s="110">
        <v>60000</v>
      </c>
      <c r="M43" s="110">
        <v>0</v>
      </c>
      <c r="N43" s="110">
        <f t="shared" si="20"/>
        <v>60000</v>
      </c>
      <c r="O43" s="110">
        <f t="shared" si="21"/>
        <v>714.28571428571422</v>
      </c>
      <c r="P43" s="110">
        <f t="shared" si="31"/>
        <v>0</v>
      </c>
      <c r="Q43" s="110">
        <f t="shared" si="32"/>
        <v>0</v>
      </c>
      <c r="R43" s="110">
        <f t="shared" si="33"/>
        <v>0</v>
      </c>
      <c r="S43" s="111">
        <v>1</v>
      </c>
      <c r="T43" s="110">
        <f t="shared" si="34"/>
        <v>0</v>
      </c>
      <c r="U43" s="110">
        <f t="shared" si="35"/>
        <v>60000</v>
      </c>
      <c r="V43" s="110">
        <f t="shared" si="36"/>
        <v>60000</v>
      </c>
      <c r="W43" s="111">
        <v>1</v>
      </c>
      <c r="X43" s="110">
        <f t="shared" si="37"/>
        <v>60000</v>
      </c>
      <c r="Y43" s="110">
        <f t="shared" si="38"/>
        <v>60000</v>
      </c>
      <c r="Z43" s="110">
        <f t="shared" si="39"/>
        <v>0</v>
      </c>
      <c r="AA43" s="110">
        <f t="shared" si="10"/>
        <v>106.25</v>
      </c>
      <c r="AB43" s="110">
        <f t="shared" si="11"/>
        <v>119</v>
      </c>
      <c r="AC43" s="110">
        <f t="shared" si="12"/>
        <v>113.25</v>
      </c>
      <c r="AD43" s="110">
        <f t="shared" si="13"/>
        <v>118</v>
      </c>
      <c r="AE43" s="110">
        <f t="shared" si="14"/>
        <v>-8.3333333333333329E-2</v>
      </c>
      <c r="AF43" s="110">
        <f t="shared" si="15"/>
        <v>0</v>
      </c>
    </row>
    <row r="44" spans="2:32">
      <c r="B44" s="104" t="s">
        <v>655</v>
      </c>
      <c r="C44" s="210">
        <v>2006</v>
      </c>
      <c r="D44" s="104">
        <f t="shared" si="16"/>
        <v>106</v>
      </c>
      <c r="E44" s="104">
        <v>6</v>
      </c>
      <c r="F44" s="113">
        <v>0</v>
      </c>
      <c r="G44" s="112" t="s">
        <v>214</v>
      </c>
      <c r="H44" s="104">
        <v>7</v>
      </c>
      <c r="I44" s="104">
        <f t="shared" si="19"/>
        <v>113</v>
      </c>
      <c r="L44" s="110">
        <v>7472</v>
      </c>
      <c r="M44" s="110">
        <v>0</v>
      </c>
      <c r="N44" s="110">
        <f t="shared" si="20"/>
        <v>7472</v>
      </c>
      <c r="O44" s="110">
        <f t="shared" si="21"/>
        <v>88.952380952380949</v>
      </c>
      <c r="P44" s="110">
        <f t="shared" si="31"/>
        <v>0</v>
      </c>
      <c r="Q44" s="110">
        <f t="shared" si="32"/>
        <v>0</v>
      </c>
      <c r="R44" s="110">
        <f t="shared" si="33"/>
        <v>0</v>
      </c>
      <c r="S44" s="111">
        <v>1</v>
      </c>
      <c r="T44" s="110">
        <f t="shared" si="34"/>
        <v>0</v>
      </c>
      <c r="U44" s="110">
        <f t="shared" si="35"/>
        <v>7472</v>
      </c>
      <c r="V44" s="110">
        <f t="shared" si="36"/>
        <v>7472</v>
      </c>
      <c r="W44" s="111">
        <v>1</v>
      </c>
      <c r="X44" s="110">
        <f t="shared" si="37"/>
        <v>7472</v>
      </c>
      <c r="Y44" s="110">
        <f t="shared" si="38"/>
        <v>7472</v>
      </c>
      <c r="Z44" s="110">
        <f t="shared" si="39"/>
        <v>0</v>
      </c>
      <c r="AA44" s="110">
        <f t="shared" si="10"/>
        <v>106.41666666666667</v>
      </c>
      <c r="AB44" s="110">
        <f t="shared" si="11"/>
        <v>119</v>
      </c>
      <c r="AC44" s="110">
        <f t="shared" si="12"/>
        <v>113.41666666666667</v>
      </c>
      <c r="AD44" s="110">
        <f t="shared" si="13"/>
        <v>118</v>
      </c>
      <c r="AE44" s="110">
        <f t="shared" si="14"/>
        <v>-8.3333333333333329E-2</v>
      </c>
      <c r="AF44" s="110">
        <f t="shared" si="15"/>
        <v>0</v>
      </c>
    </row>
    <row r="45" spans="2:32">
      <c r="B45" s="104" t="s">
        <v>656</v>
      </c>
      <c r="C45" s="210">
        <v>2006</v>
      </c>
      <c r="D45" s="104">
        <f t="shared" si="16"/>
        <v>106</v>
      </c>
      <c r="E45" s="104">
        <v>1</v>
      </c>
      <c r="F45" s="113">
        <v>0.2</v>
      </c>
      <c r="G45" s="112" t="s">
        <v>214</v>
      </c>
      <c r="H45" s="104">
        <v>7</v>
      </c>
      <c r="I45" s="104">
        <f t="shared" si="19"/>
        <v>113</v>
      </c>
      <c r="L45" s="110">
        <v>28971</v>
      </c>
      <c r="M45" s="110">
        <v>0</v>
      </c>
      <c r="N45" s="110">
        <f t="shared" si="20"/>
        <v>23176.799999999999</v>
      </c>
      <c r="O45" s="110">
        <f t="shared" si="21"/>
        <v>275.91428571428571</v>
      </c>
      <c r="P45" s="110">
        <f t="shared" si="31"/>
        <v>0</v>
      </c>
      <c r="Q45" s="110">
        <f t="shared" si="32"/>
        <v>0</v>
      </c>
      <c r="R45" s="110">
        <f t="shared" si="33"/>
        <v>0</v>
      </c>
      <c r="S45" s="111">
        <v>1</v>
      </c>
      <c r="T45" s="110">
        <f t="shared" si="34"/>
        <v>0</v>
      </c>
      <c r="U45" s="110">
        <f t="shared" si="35"/>
        <v>23176.799999999999</v>
      </c>
      <c r="V45" s="110">
        <f t="shared" si="36"/>
        <v>23176.799999999999</v>
      </c>
      <c r="W45" s="111">
        <v>1</v>
      </c>
      <c r="X45" s="110">
        <f t="shared" si="37"/>
        <v>23176.799999999999</v>
      </c>
      <c r="Y45" s="110">
        <f t="shared" si="38"/>
        <v>23176.799999999999</v>
      </c>
      <c r="Z45" s="110">
        <f t="shared" si="39"/>
        <v>5794.2000000000007</v>
      </c>
      <c r="AA45" s="110">
        <f t="shared" si="10"/>
        <v>106</v>
      </c>
      <c r="AB45" s="110">
        <f t="shared" si="11"/>
        <v>119</v>
      </c>
      <c r="AC45" s="110">
        <f t="shared" si="12"/>
        <v>113</v>
      </c>
      <c r="AD45" s="110">
        <f t="shared" si="13"/>
        <v>118</v>
      </c>
      <c r="AE45" s="110">
        <f t="shared" si="14"/>
        <v>-8.3333333333333329E-2</v>
      </c>
      <c r="AF45" s="110">
        <f t="shared" si="15"/>
        <v>0</v>
      </c>
    </row>
    <row r="46" spans="2:32">
      <c r="B46" s="104" t="s">
        <v>657</v>
      </c>
      <c r="C46" s="210">
        <v>2006</v>
      </c>
      <c r="D46" s="104">
        <f t="shared" si="16"/>
        <v>106</v>
      </c>
      <c r="E46" s="104">
        <v>5</v>
      </c>
      <c r="F46" s="113">
        <v>0.2</v>
      </c>
      <c r="G46" s="112" t="s">
        <v>214</v>
      </c>
      <c r="H46" s="104">
        <v>7</v>
      </c>
      <c r="I46" s="104">
        <f t="shared" si="19"/>
        <v>113</v>
      </c>
      <c r="L46" s="110">
        <v>35093</v>
      </c>
      <c r="M46" s="110">
        <v>0</v>
      </c>
      <c r="N46" s="110">
        <f t="shared" si="20"/>
        <v>28074.400000000001</v>
      </c>
      <c r="O46" s="110">
        <f t="shared" si="21"/>
        <v>334.21904761904767</v>
      </c>
      <c r="P46" s="110">
        <f t="shared" si="31"/>
        <v>0</v>
      </c>
      <c r="Q46" s="110">
        <f t="shared" si="32"/>
        <v>0</v>
      </c>
      <c r="R46" s="110">
        <f t="shared" si="33"/>
        <v>0</v>
      </c>
      <c r="S46" s="111">
        <v>1</v>
      </c>
      <c r="T46" s="110">
        <f t="shared" si="34"/>
        <v>0</v>
      </c>
      <c r="U46" s="110">
        <f t="shared" si="35"/>
        <v>28074.400000000001</v>
      </c>
      <c r="V46" s="110">
        <f t="shared" si="36"/>
        <v>28074.400000000001</v>
      </c>
      <c r="W46" s="111">
        <v>1</v>
      </c>
      <c r="X46" s="110">
        <f t="shared" si="37"/>
        <v>28074.400000000001</v>
      </c>
      <c r="Y46" s="110">
        <f t="shared" si="38"/>
        <v>28074.400000000001</v>
      </c>
      <c r="Z46" s="110">
        <f t="shared" si="39"/>
        <v>7018.5999999999985</v>
      </c>
      <c r="AA46" s="110">
        <f t="shared" si="10"/>
        <v>106.33333333333333</v>
      </c>
      <c r="AB46" s="110">
        <f t="shared" si="11"/>
        <v>119</v>
      </c>
      <c r="AC46" s="110">
        <f t="shared" si="12"/>
        <v>113.33333333333333</v>
      </c>
      <c r="AD46" s="110">
        <f t="shared" si="13"/>
        <v>118</v>
      </c>
      <c r="AE46" s="110">
        <f t="shared" si="14"/>
        <v>-8.3333333333333329E-2</v>
      </c>
      <c r="AF46" s="110">
        <f t="shared" si="15"/>
        <v>0</v>
      </c>
    </row>
    <row r="47" spans="2:32">
      <c r="B47" s="104" t="s">
        <v>658</v>
      </c>
      <c r="C47" s="210">
        <v>2006</v>
      </c>
      <c r="D47" s="104">
        <f t="shared" si="16"/>
        <v>106</v>
      </c>
      <c r="E47" s="104">
        <v>1</v>
      </c>
      <c r="F47" s="113">
        <v>0</v>
      </c>
      <c r="G47" s="112" t="s">
        <v>214</v>
      </c>
      <c r="H47" s="104">
        <v>5</v>
      </c>
      <c r="I47" s="104">
        <f t="shared" si="19"/>
        <v>111</v>
      </c>
      <c r="L47" s="110">
        <v>6796</v>
      </c>
      <c r="M47" s="110">
        <v>0</v>
      </c>
      <c r="N47" s="110">
        <f t="shared" si="20"/>
        <v>6796</v>
      </c>
      <c r="O47" s="110">
        <f t="shared" si="21"/>
        <v>113.26666666666667</v>
      </c>
      <c r="P47" s="110">
        <f t="shared" si="31"/>
        <v>0</v>
      </c>
      <c r="Q47" s="110">
        <f t="shared" si="32"/>
        <v>0</v>
      </c>
      <c r="R47" s="110">
        <f t="shared" si="33"/>
        <v>0</v>
      </c>
      <c r="S47" s="111">
        <v>1</v>
      </c>
      <c r="T47" s="110">
        <f t="shared" si="34"/>
        <v>0</v>
      </c>
      <c r="U47" s="110">
        <f t="shared" si="35"/>
        <v>6796</v>
      </c>
      <c r="V47" s="110">
        <f t="shared" si="36"/>
        <v>6796</v>
      </c>
      <c r="W47" s="111">
        <v>1</v>
      </c>
      <c r="X47" s="110">
        <f t="shared" si="37"/>
        <v>6796</v>
      </c>
      <c r="Y47" s="110">
        <f t="shared" si="38"/>
        <v>6796</v>
      </c>
      <c r="Z47" s="110">
        <f t="shared" si="39"/>
        <v>0</v>
      </c>
      <c r="AA47" s="110">
        <f t="shared" si="10"/>
        <v>106</v>
      </c>
      <c r="AB47" s="110">
        <f t="shared" si="11"/>
        <v>119</v>
      </c>
      <c r="AC47" s="110">
        <f t="shared" si="12"/>
        <v>111</v>
      </c>
      <c r="AD47" s="110">
        <f t="shared" si="13"/>
        <v>118</v>
      </c>
      <c r="AE47" s="110">
        <f t="shared" si="14"/>
        <v>-8.3333333333333329E-2</v>
      </c>
      <c r="AF47" s="110">
        <f t="shared" si="15"/>
        <v>0</v>
      </c>
    </row>
    <row r="48" spans="2:32">
      <c r="B48" s="104" t="s">
        <v>659</v>
      </c>
      <c r="C48" s="210">
        <v>1994</v>
      </c>
      <c r="D48" s="104">
        <f t="shared" si="16"/>
        <v>94</v>
      </c>
      <c r="E48" s="104">
        <v>6</v>
      </c>
      <c r="F48" s="113">
        <v>0.2</v>
      </c>
      <c r="G48" s="112" t="s">
        <v>214</v>
      </c>
      <c r="H48" s="104">
        <v>7</v>
      </c>
      <c r="I48" s="104">
        <f t="shared" si="19"/>
        <v>101</v>
      </c>
      <c r="L48" s="110">
        <v>64790</v>
      </c>
      <c r="M48" s="110">
        <v>0</v>
      </c>
      <c r="N48" s="110">
        <f t="shared" si="20"/>
        <v>51832</v>
      </c>
      <c r="O48" s="110">
        <f t="shared" si="21"/>
        <v>617.04761904761904</v>
      </c>
      <c r="P48" s="110">
        <f t="shared" si="31"/>
        <v>0</v>
      </c>
      <c r="Q48" s="110">
        <f t="shared" si="32"/>
        <v>0</v>
      </c>
      <c r="R48" s="110">
        <f t="shared" si="33"/>
        <v>0</v>
      </c>
      <c r="S48" s="111">
        <v>1</v>
      </c>
      <c r="T48" s="110">
        <f t="shared" si="34"/>
        <v>0</v>
      </c>
      <c r="U48" s="110">
        <f t="shared" si="35"/>
        <v>51832</v>
      </c>
      <c r="V48" s="110">
        <f t="shared" si="36"/>
        <v>51832</v>
      </c>
      <c r="W48" s="111">
        <v>1</v>
      </c>
      <c r="X48" s="110">
        <f t="shared" si="37"/>
        <v>51832</v>
      </c>
      <c r="Y48" s="110">
        <f t="shared" si="38"/>
        <v>51832</v>
      </c>
      <c r="Z48" s="110">
        <f t="shared" si="39"/>
        <v>12958</v>
      </c>
      <c r="AA48" s="110">
        <f t="shared" si="10"/>
        <v>94.416666666666671</v>
      </c>
      <c r="AB48" s="110">
        <f t="shared" si="11"/>
        <v>119</v>
      </c>
      <c r="AC48" s="110">
        <f t="shared" si="12"/>
        <v>101.41666666666667</v>
      </c>
      <c r="AD48" s="110">
        <f t="shared" si="13"/>
        <v>118</v>
      </c>
      <c r="AE48" s="110">
        <f t="shared" si="14"/>
        <v>-8.3333333333333329E-2</v>
      </c>
      <c r="AF48" s="110">
        <f t="shared" si="15"/>
        <v>0</v>
      </c>
    </row>
    <row r="49" spans="2:32">
      <c r="B49" s="104" t="s">
        <v>660</v>
      </c>
      <c r="C49" s="210">
        <v>1996</v>
      </c>
      <c r="D49" s="104">
        <f t="shared" si="16"/>
        <v>96</v>
      </c>
      <c r="E49" s="104">
        <v>3</v>
      </c>
      <c r="F49" s="113">
        <v>0</v>
      </c>
      <c r="G49" s="112" t="s">
        <v>214</v>
      </c>
      <c r="H49" s="104">
        <v>7</v>
      </c>
      <c r="I49" s="104">
        <f t="shared" si="19"/>
        <v>103</v>
      </c>
      <c r="L49" s="110">
        <v>52948</v>
      </c>
      <c r="M49" s="110">
        <v>0</v>
      </c>
      <c r="N49" s="110">
        <f t="shared" si="20"/>
        <v>52948</v>
      </c>
      <c r="O49" s="110">
        <f t="shared" si="21"/>
        <v>630.33333333333337</v>
      </c>
      <c r="P49" s="110">
        <f t="shared" si="31"/>
        <v>0</v>
      </c>
      <c r="Q49" s="110">
        <f t="shared" si="32"/>
        <v>0</v>
      </c>
      <c r="R49" s="110">
        <f t="shared" si="33"/>
        <v>0</v>
      </c>
      <c r="S49" s="111">
        <v>1</v>
      </c>
      <c r="T49" s="110">
        <f t="shared" si="34"/>
        <v>0</v>
      </c>
      <c r="U49" s="110">
        <f t="shared" si="35"/>
        <v>52948</v>
      </c>
      <c r="V49" s="110">
        <f t="shared" si="36"/>
        <v>52948</v>
      </c>
      <c r="W49" s="111">
        <v>1</v>
      </c>
      <c r="X49" s="110">
        <f t="shared" si="37"/>
        <v>52948</v>
      </c>
      <c r="Y49" s="110">
        <f t="shared" si="38"/>
        <v>52948</v>
      </c>
      <c r="Z49" s="110">
        <f t="shared" si="39"/>
        <v>0</v>
      </c>
      <c r="AA49" s="110">
        <f t="shared" si="10"/>
        <v>96.166666666666671</v>
      </c>
      <c r="AB49" s="110">
        <f t="shared" si="11"/>
        <v>119</v>
      </c>
      <c r="AC49" s="110">
        <f t="shared" si="12"/>
        <v>103.16666666666667</v>
      </c>
      <c r="AD49" s="110">
        <f t="shared" si="13"/>
        <v>118</v>
      </c>
      <c r="AE49" s="110">
        <f t="shared" si="14"/>
        <v>-8.3333333333333329E-2</v>
      </c>
      <c r="AF49" s="110">
        <f t="shared" si="15"/>
        <v>0</v>
      </c>
    </row>
    <row r="50" spans="2:32">
      <c r="B50" s="104" t="s">
        <v>661</v>
      </c>
      <c r="C50" s="210">
        <v>2007</v>
      </c>
      <c r="D50" s="104">
        <f t="shared" si="16"/>
        <v>107</v>
      </c>
      <c r="E50" s="104">
        <v>6</v>
      </c>
      <c r="F50" s="113">
        <v>0.2</v>
      </c>
      <c r="G50" s="112" t="s">
        <v>214</v>
      </c>
      <c r="H50" s="104">
        <v>7</v>
      </c>
      <c r="I50" s="104">
        <f t="shared" si="19"/>
        <v>114</v>
      </c>
      <c r="L50" s="110">
        <v>169120</v>
      </c>
      <c r="M50" s="110">
        <v>0</v>
      </c>
      <c r="N50" s="110">
        <f t="shared" si="20"/>
        <v>135296</v>
      </c>
      <c r="O50" s="110">
        <f t="shared" si="21"/>
        <v>1610.6666666666667</v>
      </c>
      <c r="P50" s="110">
        <f t="shared" si="31"/>
        <v>0</v>
      </c>
      <c r="Q50" s="110">
        <f t="shared" si="32"/>
        <v>0</v>
      </c>
      <c r="R50" s="110">
        <f t="shared" si="33"/>
        <v>0</v>
      </c>
      <c r="S50" s="111">
        <v>1</v>
      </c>
      <c r="T50" s="110">
        <f t="shared" si="34"/>
        <v>0</v>
      </c>
      <c r="U50" s="110">
        <f t="shared" si="35"/>
        <v>135296</v>
      </c>
      <c r="V50" s="110">
        <f t="shared" si="36"/>
        <v>135296</v>
      </c>
      <c r="W50" s="111">
        <v>1</v>
      </c>
      <c r="X50" s="110">
        <f t="shared" si="37"/>
        <v>135296</v>
      </c>
      <c r="Y50" s="110">
        <f t="shared" si="38"/>
        <v>135296</v>
      </c>
      <c r="Z50" s="110">
        <f t="shared" si="39"/>
        <v>33824</v>
      </c>
      <c r="AA50" s="110">
        <f t="shared" si="10"/>
        <v>107.41666666666667</v>
      </c>
      <c r="AB50" s="110">
        <f t="shared" si="11"/>
        <v>119</v>
      </c>
      <c r="AC50" s="110">
        <f t="shared" si="12"/>
        <v>114.41666666666667</v>
      </c>
      <c r="AD50" s="110">
        <f t="shared" si="13"/>
        <v>118</v>
      </c>
      <c r="AE50" s="110">
        <f t="shared" si="14"/>
        <v>-8.3333333333333329E-2</v>
      </c>
      <c r="AF50" s="110">
        <f t="shared" si="15"/>
        <v>0</v>
      </c>
    </row>
    <row r="51" spans="2:32">
      <c r="B51" s="104" t="s">
        <v>662</v>
      </c>
      <c r="C51" s="210">
        <v>2008</v>
      </c>
      <c r="D51" s="104">
        <f t="shared" si="16"/>
        <v>108</v>
      </c>
      <c r="E51" s="104">
        <v>12</v>
      </c>
      <c r="F51" s="113">
        <v>0</v>
      </c>
      <c r="G51" s="112" t="s">
        <v>214</v>
      </c>
      <c r="H51" s="104">
        <v>7</v>
      </c>
      <c r="I51" s="104">
        <f t="shared" si="19"/>
        <v>115</v>
      </c>
      <c r="L51" s="110">
        <v>36020</v>
      </c>
      <c r="M51" s="110">
        <v>0</v>
      </c>
      <c r="N51" s="110">
        <f t="shared" si="20"/>
        <v>36020</v>
      </c>
      <c r="O51" s="110">
        <f t="shared" si="21"/>
        <v>428.8095238095238</v>
      </c>
      <c r="P51" s="110">
        <f t="shared" si="31"/>
        <v>0</v>
      </c>
      <c r="Q51" s="110">
        <f t="shared" si="32"/>
        <v>0</v>
      </c>
      <c r="R51" s="110">
        <f t="shared" si="33"/>
        <v>0</v>
      </c>
      <c r="S51" s="111">
        <v>1</v>
      </c>
      <c r="T51" s="110">
        <f t="shared" si="34"/>
        <v>0</v>
      </c>
      <c r="U51" s="110">
        <f t="shared" si="35"/>
        <v>36020</v>
      </c>
      <c r="V51" s="110">
        <f t="shared" si="36"/>
        <v>36020</v>
      </c>
      <c r="W51" s="111">
        <v>1</v>
      </c>
      <c r="X51" s="110">
        <f t="shared" si="37"/>
        <v>36020</v>
      </c>
      <c r="Y51" s="110">
        <f t="shared" si="38"/>
        <v>36020</v>
      </c>
      <c r="Z51" s="110">
        <f t="shared" si="39"/>
        <v>0</v>
      </c>
      <c r="AA51" s="110">
        <f t="shared" si="10"/>
        <v>108.91666666666667</v>
      </c>
      <c r="AB51" s="110">
        <f t="shared" si="11"/>
        <v>119</v>
      </c>
      <c r="AC51" s="110">
        <f t="shared" si="12"/>
        <v>115.91666666666667</v>
      </c>
      <c r="AD51" s="110">
        <f t="shared" si="13"/>
        <v>118</v>
      </c>
      <c r="AE51" s="110">
        <f t="shared" si="14"/>
        <v>-8.3333333333333329E-2</v>
      </c>
      <c r="AF51" s="110">
        <f t="shared" si="15"/>
        <v>0</v>
      </c>
    </row>
    <row r="52" spans="2:32">
      <c r="B52" s="104" t="s">
        <v>664</v>
      </c>
      <c r="C52" s="210">
        <v>2009</v>
      </c>
      <c r="D52" s="104">
        <f t="shared" si="16"/>
        <v>109</v>
      </c>
      <c r="E52" s="104">
        <v>2</v>
      </c>
      <c r="F52" s="113">
        <v>0.2</v>
      </c>
      <c r="G52" s="112" t="s">
        <v>214</v>
      </c>
      <c r="H52" s="104">
        <v>7</v>
      </c>
      <c r="I52" s="104">
        <f t="shared" si="19"/>
        <v>116</v>
      </c>
      <c r="L52" s="110">
        <v>146384</v>
      </c>
      <c r="M52" s="110">
        <v>0</v>
      </c>
      <c r="N52" s="110">
        <f t="shared" si="20"/>
        <v>117107.2</v>
      </c>
      <c r="O52" s="110">
        <f t="shared" si="21"/>
        <v>1394.1333333333332</v>
      </c>
      <c r="P52" s="110">
        <f t="shared" si="31"/>
        <v>0</v>
      </c>
      <c r="Q52" s="110">
        <f t="shared" si="32"/>
        <v>0</v>
      </c>
      <c r="R52" s="110">
        <f t="shared" si="33"/>
        <v>0</v>
      </c>
      <c r="S52" s="111">
        <v>1</v>
      </c>
      <c r="T52" s="110">
        <f t="shared" si="34"/>
        <v>0</v>
      </c>
      <c r="U52" s="110">
        <f t="shared" si="35"/>
        <v>117107.2</v>
      </c>
      <c r="V52" s="110">
        <f t="shared" si="36"/>
        <v>117107.2</v>
      </c>
      <c r="W52" s="111">
        <v>1</v>
      </c>
      <c r="X52" s="110">
        <f t="shared" si="37"/>
        <v>117107.2</v>
      </c>
      <c r="Y52" s="110">
        <f t="shared" si="38"/>
        <v>117107.2</v>
      </c>
      <c r="Z52" s="110">
        <f t="shared" si="39"/>
        <v>29276.800000000003</v>
      </c>
      <c r="AA52" s="110">
        <f t="shared" si="10"/>
        <v>109.08333333333333</v>
      </c>
      <c r="AB52" s="110">
        <f t="shared" si="11"/>
        <v>119</v>
      </c>
      <c r="AC52" s="110">
        <f t="shared" si="12"/>
        <v>116.08333333333333</v>
      </c>
      <c r="AD52" s="110">
        <f t="shared" si="13"/>
        <v>118</v>
      </c>
      <c r="AE52" s="110">
        <f t="shared" si="14"/>
        <v>-8.3333333333333329E-2</v>
      </c>
      <c r="AF52" s="110">
        <f t="shared" si="15"/>
        <v>0</v>
      </c>
    </row>
    <row r="53" spans="2:32">
      <c r="B53" s="104" t="s">
        <v>663</v>
      </c>
      <c r="C53" s="210">
        <v>2009</v>
      </c>
      <c r="D53" s="104">
        <f t="shared" si="16"/>
        <v>109</v>
      </c>
      <c r="E53" s="104">
        <v>5</v>
      </c>
      <c r="F53" s="113">
        <v>0.2</v>
      </c>
      <c r="G53" s="112" t="s">
        <v>214</v>
      </c>
      <c r="H53" s="104">
        <v>7</v>
      </c>
      <c r="I53" s="104">
        <f t="shared" si="19"/>
        <v>116</v>
      </c>
      <c r="L53" s="110">
        <v>153532</v>
      </c>
      <c r="M53" s="110">
        <v>0</v>
      </c>
      <c r="N53" s="110">
        <f t="shared" si="20"/>
        <v>122825.60000000001</v>
      </c>
      <c r="O53" s="110">
        <f t="shared" si="21"/>
        <v>1462.2095238095237</v>
      </c>
      <c r="P53" s="110">
        <f t="shared" si="31"/>
        <v>0</v>
      </c>
      <c r="Q53" s="110">
        <f t="shared" si="32"/>
        <v>0</v>
      </c>
      <c r="R53" s="110">
        <f t="shared" si="33"/>
        <v>0</v>
      </c>
      <c r="S53" s="111">
        <v>1</v>
      </c>
      <c r="T53" s="110">
        <f t="shared" si="34"/>
        <v>0</v>
      </c>
      <c r="U53" s="110">
        <f t="shared" si="35"/>
        <v>122825.60000000001</v>
      </c>
      <c r="V53" s="110">
        <f t="shared" si="36"/>
        <v>122825.60000000001</v>
      </c>
      <c r="W53" s="111">
        <v>1</v>
      </c>
      <c r="X53" s="110">
        <f t="shared" si="37"/>
        <v>122825.60000000001</v>
      </c>
      <c r="Y53" s="110">
        <f t="shared" si="38"/>
        <v>122825.60000000001</v>
      </c>
      <c r="Z53" s="110">
        <f t="shared" si="39"/>
        <v>30706.399999999994</v>
      </c>
      <c r="AA53" s="110">
        <f t="shared" si="10"/>
        <v>109.33333333333333</v>
      </c>
      <c r="AB53" s="110">
        <f t="shared" si="11"/>
        <v>119</v>
      </c>
      <c r="AC53" s="110">
        <f t="shared" si="12"/>
        <v>116.33333333333333</v>
      </c>
      <c r="AD53" s="110">
        <f t="shared" si="13"/>
        <v>118</v>
      </c>
      <c r="AE53" s="110">
        <f t="shared" si="14"/>
        <v>-8.3333333333333329E-2</v>
      </c>
      <c r="AF53" s="110">
        <f t="shared" si="15"/>
        <v>0</v>
      </c>
    </row>
    <row r="54" spans="2:32">
      <c r="B54" s="104" t="s">
        <v>665</v>
      </c>
      <c r="C54" s="210">
        <v>2010</v>
      </c>
      <c r="D54" s="104">
        <f t="shared" si="16"/>
        <v>110</v>
      </c>
      <c r="E54" s="104">
        <v>12</v>
      </c>
      <c r="F54" s="113">
        <v>0</v>
      </c>
      <c r="G54" s="112" t="s">
        <v>214</v>
      </c>
      <c r="H54" s="104">
        <v>7</v>
      </c>
      <c r="I54" s="104">
        <f t="shared" si="19"/>
        <v>117</v>
      </c>
      <c r="L54" s="110">
        <v>54411</v>
      </c>
      <c r="M54" s="110">
        <v>0</v>
      </c>
      <c r="N54" s="110">
        <f t="shared" si="20"/>
        <v>54411</v>
      </c>
      <c r="O54" s="110">
        <f t="shared" si="21"/>
        <v>647.75</v>
      </c>
      <c r="P54" s="110">
        <f t="shared" si="31"/>
        <v>0</v>
      </c>
      <c r="Q54" s="110">
        <f t="shared" si="32"/>
        <v>0</v>
      </c>
      <c r="R54" s="110">
        <f t="shared" si="33"/>
        <v>0</v>
      </c>
      <c r="S54" s="111">
        <v>1</v>
      </c>
      <c r="T54" s="110">
        <f t="shared" si="34"/>
        <v>0</v>
      </c>
      <c r="U54" s="110">
        <f t="shared" si="35"/>
        <v>54411</v>
      </c>
      <c r="V54" s="110">
        <f t="shared" si="36"/>
        <v>54411</v>
      </c>
      <c r="W54" s="111">
        <v>1</v>
      </c>
      <c r="X54" s="110">
        <f t="shared" si="37"/>
        <v>54411</v>
      </c>
      <c r="Y54" s="110">
        <f t="shared" si="38"/>
        <v>54411</v>
      </c>
      <c r="Z54" s="110">
        <f t="shared" si="39"/>
        <v>0</v>
      </c>
      <c r="AA54" s="110">
        <f t="shared" si="10"/>
        <v>110.91666666666667</v>
      </c>
      <c r="AB54" s="110">
        <f t="shared" si="11"/>
        <v>119</v>
      </c>
      <c r="AC54" s="110">
        <f t="shared" si="12"/>
        <v>117.91666666666667</v>
      </c>
      <c r="AD54" s="110">
        <f t="shared" si="13"/>
        <v>118</v>
      </c>
      <c r="AE54" s="110">
        <f t="shared" si="14"/>
        <v>-8.3333333333333329E-2</v>
      </c>
      <c r="AF54" s="110">
        <f t="shared" si="15"/>
        <v>0</v>
      </c>
    </row>
    <row r="55" spans="2:32">
      <c r="B55" s="104" t="s">
        <v>666</v>
      </c>
      <c r="C55" s="210">
        <v>2011</v>
      </c>
      <c r="D55" s="104">
        <f t="shared" si="16"/>
        <v>111</v>
      </c>
      <c r="E55" s="104">
        <v>1</v>
      </c>
      <c r="F55" s="113">
        <v>0</v>
      </c>
      <c r="G55" s="112" t="s">
        <v>214</v>
      </c>
      <c r="H55" s="104">
        <v>7</v>
      </c>
      <c r="I55" s="104">
        <f t="shared" si="19"/>
        <v>118</v>
      </c>
      <c r="L55" s="110">
        <v>223443</v>
      </c>
      <c r="M55" s="110">
        <v>0</v>
      </c>
      <c r="N55" s="110">
        <f t="shared" si="20"/>
        <v>223443</v>
      </c>
      <c r="O55" s="110">
        <f t="shared" si="21"/>
        <v>2660.0357142857142</v>
      </c>
      <c r="P55" s="110">
        <f t="shared" si="31"/>
        <v>0</v>
      </c>
      <c r="Q55" s="110">
        <f t="shared" si="32"/>
        <v>0</v>
      </c>
      <c r="R55" s="110">
        <f t="shared" si="33"/>
        <v>0</v>
      </c>
      <c r="S55" s="111">
        <v>1</v>
      </c>
      <c r="T55" s="110">
        <f t="shared" si="34"/>
        <v>0</v>
      </c>
      <c r="U55" s="110">
        <f t="shared" si="35"/>
        <v>223443</v>
      </c>
      <c r="V55" s="110">
        <f t="shared" si="36"/>
        <v>223443</v>
      </c>
      <c r="W55" s="111">
        <v>1</v>
      </c>
      <c r="X55" s="110">
        <f t="shared" si="37"/>
        <v>223443</v>
      </c>
      <c r="Y55" s="110">
        <f t="shared" si="38"/>
        <v>223443</v>
      </c>
      <c r="Z55" s="110">
        <f t="shared" si="39"/>
        <v>0</v>
      </c>
      <c r="AA55" s="110">
        <f t="shared" si="10"/>
        <v>111</v>
      </c>
      <c r="AB55" s="110">
        <f t="shared" si="11"/>
        <v>119</v>
      </c>
      <c r="AC55" s="110">
        <f t="shared" si="12"/>
        <v>118</v>
      </c>
      <c r="AD55" s="110">
        <f t="shared" si="13"/>
        <v>118</v>
      </c>
      <c r="AE55" s="110">
        <f t="shared" si="14"/>
        <v>-8.3333333333333329E-2</v>
      </c>
      <c r="AF55" s="110">
        <f t="shared" si="15"/>
        <v>0</v>
      </c>
    </row>
    <row r="56" spans="2:32">
      <c r="B56" s="104" t="s">
        <v>667</v>
      </c>
      <c r="C56" s="210">
        <v>2013</v>
      </c>
      <c r="D56" s="104">
        <f t="shared" si="16"/>
        <v>113</v>
      </c>
      <c r="E56" s="104">
        <v>9</v>
      </c>
      <c r="F56" s="113">
        <v>0.33</v>
      </c>
      <c r="G56" s="112" t="s">
        <v>214</v>
      </c>
      <c r="H56" s="104">
        <v>7</v>
      </c>
      <c r="I56" s="104">
        <f t="shared" si="19"/>
        <v>120</v>
      </c>
      <c r="L56" s="110">
        <v>35998</v>
      </c>
      <c r="M56" s="110">
        <v>0</v>
      </c>
      <c r="N56" s="110">
        <f t="shared" si="20"/>
        <v>24118.66</v>
      </c>
      <c r="O56" s="110">
        <f t="shared" si="21"/>
        <v>287.12690476190477</v>
      </c>
      <c r="P56" s="110">
        <f t="shared" si="31"/>
        <v>3445.522857142857</v>
      </c>
      <c r="Q56" s="110">
        <f t="shared" si="32"/>
        <v>0</v>
      </c>
      <c r="R56" s="110">
        <f t="shared" si="33"/>
        <v>3445.522857142857</v>
      </c>
      <c r="S56" s="111">
        <v>1</v>
      </c>
      <c r="T56" s="110">
        <f t="shared" si="34"/>
        <v>3445.522857142857</v>
      </c>
      <c r="U56" s="110">
        <f t="shared" si="35"/>
        <v>14930.599047619031</v>
      </c>
      <c r="V56" s="110">
        <f t="shared" si="36"/>
        <v>14930.599047619031</v>
      </c>
      <c r="W56" s="111">
        <v>1</v>
      </c>
      <c r="X56" s="110">
        <f t="shared" si="37"/>
        <v>14930.599047619031</v>
      </c>
      <c r="Y56" s="110">
        <f t="shared" si="38"/>
        <v>18376.121904761887</v>
      </c>
      <c r="Z56" s="110">
        <f t="shared" si="39"/>
        <v>19344.639523809543</v>
      </c>
      <c r="AA56" s="110">
        <f t="shared" si="10"/>
        <v>113.66666666666667</v>
      </c>
      <c r="AB56" s="110">
        <f t="shared" si="11"/>
        <v>119</v>
      </c>
      <c r="AC56" s="110">
        <f t="shared" si="12"/>
        <v>120.66666666666667</v>
      </c>
      <c r="AD56" s="110">
        <f t="shared" si="13"/>
        <v>118</v>
      </c>
      <c r="AE56" s="110">
        <f t="shared" si="14"/>
        <v>-8.3333333333333329E-2</v>
      </c>
      <c r="AF56" s="110">
        <f t="shared" si="15"/>
        <v>0</v>
      </c>
    </row>
    <row r="57" spans="2:32">
      <c r="B57" s="104" t="s">
        <v>668</v>
      </c>
      <c r="C57" s="210">
        <v>2014</v>
      </c>
      <c r="D57" s="104">
        <f t="shared" si="16"/>
        <v>114</v>
      </c>
      <c r="E57" s="104">
        <v>12</v>
      </c>
      <c r="F57" s="113">
        <v>0.2</v>
      </c>
      <c r="G57" s="112" t="s">
        <v>214</v>
      </c>
      <c r="H57" s="104">
        <v>7</v>
      </c>
      <c r="I57" s="104">
        <f t="shared" si="19"/>
        <v>121</v>
      </c>
      <c r="L57" s="110">
        <v>116769</v>
      </c>
      <c r="M57" s="110">
        <v>0</v>
      </c>
      <c r="N57" s="110">
        <f t="shared" si="20"/>
        <v>93415.2</v>
      </c>
      <c r="O57" s="110">
        <f t="shared" si="21"/>
        <v>1112.0857142857142</v>
      </c>
      <c r="P57" s="110">
        <f t="shared" si="31"/>
        <v>13345.028571428571</v>
      </c>
      <c r="Q57" s="110">
        <f t="shared" si="32"/>
        <v>0</v>
      </c>
      <c r="R57" s="110">
        <f t="shared" si="33"/>
        <v>13345.028571428571</v>
      </c>
      <c r="S57" s="111">
        <v>1</v>
      </c>
      <c r="T57" s="110">
        <f t="shared" si="34"/>
        <v>13345.028571428571</v>
      </c>
      <c r="U57" s="110">
        <f t="shared" si="35"/>
        <v>41147.171428571361</v>
      </c>
      <c r="V57" s="110">
        <f t="shared" si="36"/>
        <v>41147.171428571361</v>
      </c>
      <c r="W57" s="111">
        <v>1</v>
      </c>
      <c r="X57" s="110">
        <f t="shared" si="37"/>
        <v>41147.171428571361</v>
      </c>
      <c r="Y57" s="110">
        <f t="shared" si="38"/>
        <v>54492.199999999932</v>
      </c>
      <c r="Z57" s="110">
        <f t="shared" si="39"/>
        <v>68949.314285714354</v>
      </c>
      <c r="AA57" s="110">
        <f t="shared" si="10"/>
        <v>114.91666666666667</v>
      </c>
      <c r="AB57" s="110">
        <f t="shared" si="11"/>
        <v>119</v>
      </c>
      <c r="AC57" s="110">
        <f t="shared" si="12"/>
        <v>121.91666666666667</v>
      </c>
      <c r="AD57" s="110">
        <f t="shared" si="13"/>
        <v>118</v>
      </c>
      <c r="AE57" s="110">
        <f t="shared" si="14"/>
        <v>-8.3333333333333329E-2</v>
      </c>
      <c r="AF57" s="110">
        <f t="shared" si="15"/>
        <v>0</v>
      </c>
    </row>
    <row r="58" spans="2:32">
      <c r="B58" s="104" t="s">
        <v>669</v>
      </c>
      <c r="C58" s="210">
        <v>2015</v>
      </c>
      <c r="D58" s="104">
        <f t="shared" si="16"/>
        <v>115</v>
      </c>
      <c r="E58" s="104">
        <v>3</v>
      </c>
      <c r="F58" s="113">
        <v>0.2</v>
      </c>
      <c r="G58" s="112" t="s">
        <v>214</v>
      </c>
      <c r="H58" s="104">
        <v>7</v>
      </c>
      <c r="I58" s="104">
        <f t="shared" si="19"/>
        <v>122</v>
      </c>
      <c r="L58" s="110">
        <v>126199</v>
      </c>
      <c r="M58" s="110">
        <v>0</v>
      </c>
      <c r="N58" s="110">
        <f t="shared" si="20"/>
        <v>100959.2</v>
      </c>
      <c r="O58" s="110">
        <f t="shared" si="21"/>
        <v>1201.895238095238</v>
      </c>
      <c r="P58" s="110">
        <f t="shared" si="31"/>
        <v>14422.742857142857</v>
      </c>
      <c r="Q58" s="110">
        <f t="shared" si="32"/>
        <v>0</v>
      </c>
      <c r="R58" s="110">
        <f t="shared" si="33"/>
        <v>14422.742857142857</v>
      </c>
      <c r="S58" s="111">
        <v>1</v>
      </c>
      <c r="T58" s="110">
        <f t="shared" si="34"/>
        <v>14422.742857142857</v>
      </c>
      <c r="U58" s="110">
        <f t="shared" si="35"/>
        <v>40864.438095238023</v>
      </c>
      <c r="V58" s="110">
        <f t="shared" si="36"/>
        <v>40864.438095238023</v>
      </c>
      <c r="W58" s="111">
        <v>1</v>
      </c>
      <c r="X58" s="110">
        <f t="shared" si="37"/>
        <v>40864.438095238023</v>
      </c>
      <c r="Y58" s="110">
        <f t="shared" si="38"/>
        <v>55287.180952380877</v>
      </c>
      <c r="Z58" s="110">
        <f t="shared" si="39"/>
        <v>78123.190476190546</v>
      </c>
      <c r="AA58" s="110">
        <f t="shared" si="10"/>
        <v>115.16666666666667</v>
      </c>
      <c r="AB58" s="110">
        <f t="shared" si="11"/>
        <v>119</v>
      </c>
      <c r="AC58" s="110">
        <f t="shared" si="12"/>
        <v>122.16666666666667</v>
      </c>
      <c r="AD58" s="110">
        <f t="shared" si="13"/>
        <v>118</v>
      </c>
      <c r="AE58" s="110">
        <f t="shared" si="14"/>
        <v>-8.3333333333333329E-2</v>
      </c>
      <c r="AF58" s="110">
        <f t="shared" si="15"/>
        <v>0</v>
      </c>
    </row>
    <row r="59" spans="2:32">
      <c r="B59" s="104" t="s">
        <v>670</v>
      </c>
      <c r="C59" s="210">
        <v>2015</v>
      </c>
      <c r="D59" s="104">
        <f t="shared" si="16"/>
        <v>115</v>
      </c>
      <c r="E59" s="104">
        <v>11</v>
      </c>
      <c r="F59" s="113">
        <v>0.2</v>
      </c>
      <c r="G59" s="112" t="s">
        <v>214</v>
      </c>
      <c r="H59" s="104">
        <v>7</v>
      </c>
      <c r="I59" s="104">
        <f t="shared" si="19"/>
        <v>122</v>
      </c>
      <c r="L59" s="110">
        <v>172259</v>
      </c>
      <c r="M59" s="110">
        <v>0</v>
      </c>
      <c r="N59" s="110">
        <f t="shared" si="20"/>
        <v>137807.20000000001</v>
      </c>
      <c r="O59" s="110">
        <f t="shared" si="21"/>
        <v>1640.5619047619048</v>
      </c>
      <c r="P59" s="110">
        <f t="shared" si="31"/>
        <v>19686.742857142857</v>
      </c>
      <c r="Q59" s="110">
        <f t="shared" si="32"/>
        <v>0</v>
      </c>
      <c r="R59" s="110">
        <f t="shared" si="33"/>
        <v>19686.742857142857</v>
      </c>
      <c r="S59" s="111">
        <v>1</v>
      </c>
      <c r="T59" s="110">
        <f t="shared" si="34"/>
        <v>19686.742857142857</v>
      </c>
      <c r="U59" s="110">
        <f t="shared" si="35"/>
        <v>42654.609523809617</v>
      </c>
      <c r="V59" s="110">
        <f t="shared" si="36"/>
        <v>42654.609523809617</v>
      </c>
      <c r="W59" s="111">
        <v>1</v>
      </c>
      <c r="X59" s="110">
        <f t="shared" si="37"/>
        <v>42654.609523809617</v>
      </c>
      <c r="Y59" s="110">
        <f t="shared" si="38"/>
        <v>62341.352380952478</v>
      </c>
      <c r="Z59" s="110">
        <f t="shared" si="39"/>
        <v>119761.01904761896</v>
      </c>
      <c r="AA59" s="110">
        <f t="shared" si="10"/>
        <v>115.83333333333333</v>
      </c>
      <c r="AB59" s="110">
        <f t="shared" si="11"/>
        <v>119</v>
      </c>
      <c r="AC59" s="110">
        <f t="shared" si="12"/>
        <v>122.83333333333333</v>
      </c>
      <c r="AD59" s="110">
        <f t="shared" si="13"/>
        <v>118</v>
      </c>
      <c r="AE59" s="110">
        <f t="shared" si="14"/>
        <v>-8.3333333333333329E-2</v>
      </c>
      <c r="AF59" s="110">
        <f t="shared" si="15"/>
        <v>0</v>
      </c>
    </row>
    <row r="60" spans="2:32">
      <c r="B60" s="104" t="s">
        <v>671</v>
      </c>
      <c r="C60" s="210">
        <v>2016</v>
      </c>
      <c r="D60" s="104">
        <f t="shared" si="16"/>
        <v>116</v>
      </c>
      <c r="E60" s="104">
        <v>8</v>
      </c>
      <c r="F60" s="113">
        <v>0.2</v>
      </c>
      <c r="G60" s="112" t="s">
        <v>214</v>
      </c>
      <c r="H60" s="104">
        <v>7</v>
      </c>
      <c r="I60" s="104">
        <f t="shared" si="19"/>
        <v>123</v>
      </c>
      <c r="L60" s="110">
        <v>38145</v>
      </c>
      <c r="M60" s="110">
        <v>0</v>
      </c>
      <c r="N60" s="110">
        <f t="shared" si="20"/>
        <v>30516</v>
      </c>
      <c r="O60" s="110">
        <f t="shared" si="21"/>
        <v>363.28571428571428</v>
      </c>
      <c r="P60" s="110">
        <f t="shared" si="31"/>
        <v>4359.4285714285716</v>
      </c>
      <c r="Q60" s="110">
        <f t="shared" si="32"/>
        <v>0</v>
      </c>
      <c r="R60" s="110">
        <f t="shared" si="33"/>
        <v>4359.4285714285716</v>
      </c>
      <c r="S60" s="111">
        <v>1</v>
      </c>
      <c r="T60" s="110">
        <f t="shared" si="34"/>
        <v>4359.4285714285716</v>
      </c>
      <c r="U60" s="110">
        <f t="shared" si="35"/>
        <v>6175.8571428571631</v>
      </c>
      <c r="V60" s="110">
        <f t="shared" si="36"/>
        <v>6175.8571428571631</v>
      </c>
      <c r="W60" s="111">
        <v>1</v>
      </c>
      <c r="X60" s="110">
        <f t="shared" si="37"/>
        <v>6175.8571428571631</v>
      </c>
      <c r="Y60" s="110">
        <f t="shared" si="38"/>
        <v>10535.285714285736</v>
      </c>
      <c r="Z60" s="110">
        <f t="shared" si="39"/>
        <v>29789.428571428551</v>
      </c>
      <c r="AA60" s="110">
        <f t="shared" si="10"/>
        <v>116.58333333333333</v>
      </c>
      <c r="AB60" s="110">
        <f t="shared" si="11"/>
        <v>119</v>
      </c>
      <c r="AC60" s="110">
        <f t="shared" si="12"/>
        <v>123.58333333333333</v>
      </c>
      <c r="AD60" s="110">
        <f t="shared" si="13"/>
        <v>118</v>
      </c>
      <c r="AE60" s="110">
        <f t="shared" si="14"/>
        <v>-8.3333333333333329E-2</v>
      </c>
      <c r="AF60" s="110">
        <f t="shared" si="15"/>
        <v>0</v>
      </c>
    </row>
    <row r="61" spans="2:32">
      <c r="B61" s="104" t="s">
        <v>672</v>
      </c>
      <c r="C61" s="210">
        <v>2016</v>
      </c>
      <c r="D61" s="104">
        <f t="shared" si="16"/>
        <v>116</v>
      </c>
      <c r="E61" s="104">
        <v>9</v>
      </c>
      <c r="F61" s="113">
        <v>0.2</v>
      </c>
      <c r="G61" s="112" t="s">
        <v>214</v>
      </c>
      <c r="H61" s="104">
        <v>7</v>
      </c>
      <c r="I61" s="104">
        <f t="shared" si="19"/>
        <v>123</v>
      </c>
      <c r="L61" s="110">
        <v>291351</v>
      </c>
      <c r="M61" s="110">
        <v>0</v>
      </c>
      <c r="N61" s="110">
        <f t="shared" si="20"/>
        <v>233080.8</v>
      </c>
      <c r="O61" s="110">
        <f t="shared" si="21"/>
        <v>2774.7714285714283</v>
      </c>
      <c r="P61" s="110">
        <f t="shared" si="31"/>
        <v>33297.257142857139</v>
      </c>
      <c r="Q61" s="110">
        <f t="shared" si="32"/>
        <v>0</v>
      </c>
      <c r="R61" s="110">
        <f t="shared" si="33"/>
        <v>33297.257142857139</v>
      </c>
      <c r="S61" s="111">
        <v>1</v>
      </c>
      <c r="T61" s="110">
        <f t="shared" si="34"/>
        <v>33297.257142857139</v>
      </c>
      <c r="U61" s="110">
        <f t="shared" si="35"/>
        <v>44396.342857142692</v>
      </c>
      <c r="V61" s="110">
        <f t="shared" si="36"/>
        <v>44396.342857142692</v>
      </c>
      <c r="W61" s="111">
        <v>1</v>
      </c>
      <c r="X61" s="110">
        <f t="shared" si="37"/>
        <v>44396.342857142692</v>
      </c>
      <c r="Y61" s="110">
        <f t="shared" si="38"/>
        <v>77693.599999999831</v>
      </c>
      <c r="Z61" s="110">
        <f t="shared" si="39"/>
        <v>230306.02857142873</v>
      </c>
      <c r="AA61" s="110">
        <f t="shared" si="10"/>
        <v>116.66666666666667</v>
      </c>
      <c r="AB61" s="110">
        <f t="shared" si="11"/>
        <v>119</v>
      </c>
      <c r="AC61" s="110">
        <f t="shared" si="12"/>
        <v>123.66666666666667</v>
      </c>
      <c r="AD61" s="110">
        <f t="shared" si="13"/>
        <v>118</v>
      </c>
      <c r="AE61" s="110">
        <f t="shared" si="14"/>
        <v>-8.3333333333333329E-2</v>
      </c>
      <c r="AF61" s="110">
        <f t="shared" si="15"/>
        <v>0</v>
      </c>
    </row>
    <row r="62" spans="2:32">
      <c r="B62" s="104" t="s">
        <v>673</v>
      </c>
      <c r="C62" s="210">
        <v>2016</v>
      </c>
      <c r="D62" s="104">
        <f t="shared" si="16"/>
        <v>116</v>
      </c>
      <c r="E62" s="104">
        <v>10</v>
      </c>
      <c r="F62" s="113">
        <v>0</v>
      </c>
      <c r="G62" s="112" t="s">
        <v>214</v>
      </c>
      <c r="H62" s="104">
        <v>7</v>
      </c>
      <c r="I62" s="104">
        <f t="shared" si="19"/>
        <v>123</v>
      </c>
      <c r="L62" s="110">
        <v>10377</v>
      </c>
      <c r="M62" s="110">
        <v>0</v>
      </c>
      <c r="N62" s="110">
        <f t="shared" si="20"/>
        <v>10377</v>
      </c>
      <c r="O62" s="110">
        <f t="shared" si="21"/>
        <v>123.53571428571428</v>
      </c>
      <c r="P62" s="110">
        <f t="shared" si="31"/>
        <v>1482.4285714285713</v>
      </c>
      <c r="Q62" s="110">
        <f t="shared" si="32"/>
        <v>0</v>
      </c>
      <c r="R62" s="110">
        <f t="shared" si="33"/>
        <v>1482.4285714285713</v>
      </c>
      <c r="S62" s="111">
        <v>1</v>
      </c>
      <c r="T62" s="110">
        <f t="shared" si="34"/>
        <v>1482.4285714285713</v>
      </c>
      <c r="U62" s="110">
        <f t="shared" si="35"/>
        <v>1853.0357142857142</v>
      </c>
      <c r="V62" s="110">
        <f t="shared" si="36"/>
        <v>1853.0357142857142</v>
      </c>
      <c r="W62" s="111">
        <v>1</v>
      </c>
      <c r="X62" s="110">
        <f t="shared" si="37"/>
        <v>1853.0357142857142</v>
      </c>
      <c r="Y62" s="110">
        <f t="shared" si="38"/>
        <v>3335.4642857142853</v>
      </c>
      <c r="Z62" s="110">
        <f t="shared" si="39"/>
        <v>7782.75</v>
      </c>
      <c r="AA62" s="110">
        <f t="shared" si="10"/>
        <v>116.75</v>
      </c>
      <c r="AB62" s="110">
        <f t="shared" si="11"/>
        <v>119</v>
      </c>
      <c r="AC62" s="110">
        <f t="shared" si="12"/>
        <v>123.75</v>
      </c>
      <c r="AD62" s="110">
        <f t="shared" si="13"/>
        <v>118</v>
      </c>
      <c r="AE62" s="110">
        <f t="shared" si="14"/>
        <v>-8.3333333333333329E-2</v>
      </c>
      <c r="AF62" s="110">
        <f t="shared" si="15"/>
        <v>0</v>
      </c>
    </row>
    <row r="63" spans="2:32">
      <c r="B63" s="104" t="s">
        <v>674</v>
      </c>
      <c r="C63" s="210">
        <v>2018</v>
      </c>
      <c r="D63" s="104">
        <f t="shared" si="16"/>
        <v>118</v>
      </c>
      <c r="E63" s="104">
        <v>11</v>
      </c>
      <c r="F63" s="113">
        <v>0.2</v>
      </c>
      <c r="G63" s="112" t="s">
        <v>214</v>
      </c>
      <c r="H63" s="104">
        <v>7</v>
      </c>
      <c r="I63" s="104">
        <f t="shared" si="19"/>
        <v>125</v>
      </c>
      <c r="L63" s="110">
        <v>174969</v>
      </c>
      <c r="M63" s="110">
        <v>0</v>
      </c>
      <c r="N63" s="110">
        <f t="shared" si="20"/>
        <v>139975.20000000001</v>
      </c>
      <c r="O63" s="110">
        <f t="shared" si="21"/>
        <v>1666.3714285714286</v>
      </c>
      <c r="P63" s="110">
        <f t="shared" si="31"/>
        <v>3332.7428571429518</v>
      </c>
      <c r="Q63" s="110">
        <f t="shared" si="32"/>
        <v>0</v>
      </c>
      <c r="R63" s="110">
        <f t="shared" si="33"/>
        <v>3332.7428571429518</v>
      </c>
      <c r="S63" s="111">
        <v>1</v>
      </c>
      <c r="T63" s="110">
        <f t="shared" si="34"/>
        <v>3332.7428571429518</v>
      </c>
      <c r="U63" s="110">
        <f t="shared" si="35"/>
        <v>0</v>
      </c>
      <c r="V63" s="110">
        <f t="shared" si="36"/>
        <v>0</v>
      </c>
      <c r="W63" s="111">
        <v>1</v>
      </c>
      <c r="X63" s="110">
        <f t="shared" si="37"/>
        <v>0</v>
      </c>
      <c r="Y63" s="110">
        <f t="shared" si="38"/>
        <v>3332.7428571429518</v>
      </c>
      <c r="Z63" s="110">
        <f t="shared" si="39"/>
        <v>173302.62857142853</v>
      </c>
      <c r="AA63" s="110">
        <f t="shared" si="10"/>
        <v>118.83333333333333</v>
      </c>
      <c r="AB63" s="110">
        <f t="shared" si="11"/>
        <v>119</v>
      </c>
      <c r="AC63" s="110">
        <f t="shared" si="12"/>
        <v>125.83333333333333</v>
      </c>
      <c r="AD63" s="110">
        <f t="shared" si="13"/>
        <v>118</v>
      </c>
      <c r="AE63" s="110">
        <f t="shared" si="14"/>
        <v>-8.3333333333333329E-2</v>
      </c>
      <c r="AF63" s="110">
        <f t="shared" si="15"/>
        <v>0</v>
      </c>
    </row>
    <row r="64" spans="2:32" s="463" customFormat="1">
      <c r="B64" s="463" t="s">
        <v>982</v>
      </c>
      <c r="C64" s="866">
        <v>2019</v>
      </c>
      <c r="D64" s="463">
        <f t="shared" si="16"/>
        <v>119</v>
      </c>
      <c r="E64" s="463">
        <v>4</v>
      </c>
      <c r="F64" s="867">
        <v>0.2</v>
      </c>
      <c r="G64" s="868" t="s">
        <v>214</v>
      </c>
      <c r="H64" s="463">
        <v>7</v>
      </c>
      <c r="I64" s="463">
        <f t="shared" si="19"/>
        <v>126</v>
      </c>
      <c r="L64" s="869">
        <v>136782.45000000001</v>
      </c>
      <c r="M64" s="869">
        <v>0</v>
      </c>
      <c r="N64" s="869">
        <f t="shared" si="20"/>
        <v>109425.96</v>
      </c>
      <c r="O64" s="869">
        <f t="shared" si="21"/>
        <v>1302.69</v>
      </c>
      <c r="P64" s="869">
        <v>0</v>
      </c>
      <c r="Q64" s="869">
        <v>0</v>
      </c>
      <c r="R64" s="869">
        <v>0</v>
      </c>
      <c r="S64" s="870">
        <v>1</v>
      </c>
      <c r="T64" s="869">
        <v>0</v>
      </c>
      <c r="U64" s="869">
        <v>0</v>
      </c>
      <c r="V64" s="869">
        <v>0</v>
      </c>
      <c r="W64" s="870">
        <v>1</v>
      </c>
      <c r="X64" s="869">
        <v>0</v>
      </c>
      <c r="Y64" s="869">
        <v>0</v>
      </c>
      <c r="Z64" s="869">
        <v>0</v>
      </c>
      <c r="AA64" s="869">
        <f t="shared" si="10"/>
        <v>119.25</v>
      </c>
      <c r="AB64" s="869">
        <f t="shared" si="11"/>
        <v>119</v>
      </c>
      <c r="AC64" s="869">
        <f t="shared" si="12"/>
        <v>126.25</v>
      </c>
      <c r="AD64" s="869">
        <f t="shared" si="13"/>
        <v>118</v>
      </c>
      <c r="AE64" s="869">
        <f t="shared" si="14"/>
        <v>-8.3333333333333329E-2</v>
      </c>
      <c r="AF64" s="869"/>
    </row>
    <row r="65" spans="2:37">
      <c r="C65" s="210"/>
      <c r="F65" s="113"/>
      <c r="G65" s="112"/>
      <c r="L65" s="118"/>
      <c r="M65" s="110"/>
      <c r="N65" s="118"/>
      <c r="O65" s="118"/>
      <c r="P65" s="110"/>
      <c r="Q65" s="118"/>
      <c r="R65" s="968"/>
      <c r="S65" s="111"/>
      <c r="T65" s="968"/>
      <c r="U65" s="968"/>
      <c r="V65" s="968"/>
      <c r="W65" s="111"/>
      <c r="X65" s="968"/>
      <c r="Y65" s="968"/>
      <c r="Z65" s="968"/>
      <c r="AA65" s="110"/>
      <c r="AB65" s="110"/>
      <c r="AC65" s="110"/>
      <c r="AD65" s="110"/>
      <c r="AE65" s="110"/>
      <c r="AF65" s="118"/>
    </row>
    <row r="66" spans="2:37">
      <c r="B66" s="117" t="s">
        <v>215</v>
      </c>
      <c r="C66" s="210"/>
      <c r="F66" s="113"/>
      <c r="G66" s="112"/>
      <c r="L66" s="110">
        <f>SUM(L17:L63)</f>
        <v>2806576</v>
      </c>
      <c r="M66" s="110"/>
      <c r="N66" s="110">
        <f>SUM(N17:N63)</f>
        <v>2389635.06</v>
      </c>
      <c r="O66" s="110">
        <f>SUM(O17:O63)</f>
        <v>28480.398333333331</v>
      </c>
      <c r="P66" s="110">
        <f>SUM(P17:P63)</f>
        <v>93371.89428571437</v>
      </c>
      <c r="Q66" s="110">
        <f t="shared" ref="Q66:Z66" si="40">SUM(Q17:Q63)</f>
        <v>0</v>
      </c>
      <c r="R66" s="110">
        <f t="shared" si="40"/>
        <v>93371.89428571437</v>
      </c>
      <c r="S66" s="110"/>
      <c r="T66" s="110">
        <f t="shared" si="40"/>
        <v>93371.89428571437</v>
      </c>
      <c r="U66" s="110">
        <f t="shared" si="40"/>
        <v>1811407.8538095236</v>
      </c>
      <c r="V66" s="110">
        <f t="shared" si="40"/>
        <v>1811407.8538095236</v>
      </c>
      <c r="W66" s="110"/>
      <c r="X66" s="110">
        <f t="shared" si="40"/>
        <v>1811407.8538095236</v>
      </c>
      <c r="Y66" s="110">
        <f t="shared" si="40"/>
        <v>1904779.7480952383</v>
      </c>
      <c r="Z66" s="110">
        <f t="shared" si="40"/>
        <v>948482.19904761924</v>
      </c>
      <c r="AA66" s="110">
        <f t="shared" si="10"/>
        <v>-8.3333333333333329E-2</v>
      </c>
      <c r="AB66" s="110">
        <f t="shared" si="11"/>
        <v>119</v>
      </c>
      <c r="AC66" s="110">
        <f t="shared" si="12"/>
        <v>-8.3333333333333329E-2</v>
      </c>
      <c r="AD66" s="110">
        <f t="shared" si="13"/>
        <v>118</v>
      </c>
      <c r="AE66" s="110">
        <f t="shared" si="14"/>
        <v>-8.3333333333333329E-2</v>
      </c>
      <c r="AF66" s="110">
        <f>SUM(AF17:AF38)</f>
        <v>0</v>
      </c>
    </row>
    <row r="67" spans="2:37">
      <c r="C67" s="210"/>
      <c r="F67" s="113"/>
      <c r="G67" s="112"/>
      <c r="L67" s="110"/>
      <c r="M67" s="110"/>
      <c r="N67" s="110"/>
      <c r="O67" s="110"/>
      <c r="P67" s="110"/>
      <c r="Q67" s="110"/>
      <c r="R67" s="110"/>
      <c r="S67" s="111"/>
      <c r="T67" s="110"/>
      <c r="U67" s="110"/>
      <c r="V67" s="110"/>
      <c r="W67" s="111"/>
      <c r="X67" s="110"/>
      <c r="Y67" s="110"/>
      <c r="Z67" s="110"/>
      <c r="AA67" s="110"/>
      <c r="AB67" s="110"/>
      <c r="AC67" s="110"/>
      <c r="AD67" s="110"/>
      <c r="AE67" s="110"/>
      <c r="AF67" s="110"/>
    </row>
    <row r="68" spans="2:37" ht="16.5" thickBot="1">
      <c r="B68" s="109" t="s">
        <v>676</v>
      </c>
      <c r="C68" s="211"/>
      <c r="K68" s="487" t="s">
        <v>258</v>
      </c>
      <c r="L68" s="108">
        <f>SUM(L66:L67)</f>
        <v>2806576</v>
      </c>
      <c r="M68" s="110"/>
      <c r="N68" s="108">
        <f>SUM(N66:N67)</f>
        <v>2389635.06</v>
      </c>
      <c r="O68" s="108">
        <f>SUM(O66:O67)</f>
        <v>28480.398333333331</v>
      </c>
      <c r="P68" s="108">
        <f>SUM(P66:P67)</f>
        <v>93371.89428571437</v>
      </c>
      <c r="Q68" s="108"/>
      <c r="R68" s="108">
        <f>SUM(R66:R67)</f>
        <v>93371.89428571437</v>
      </c>
      <c r="S68" s="105"/>
      <c r="T68" s="108">
        <f>SUM(T66:T67)</f>
        <v>93371.89428571437</v>
      </c>
      <c r="U68" s="108">
        <f>SUM(U66:U67)</f>
        <v>1811407.8538095236</v>
      </c>
      <c r="V68" s="108">
        <f>SUM(V66:V67)</f>
        <v>1811407.8538095236</v>
      </c>
      <c r="W68" s="105"/>
      <c r="X68" s="108">
        <f>SUM(X66:X67)</f>
        <v>1811407.8538095236</v>
      </c>
      <c r="Y68" s="108">
        <f>SUM(Y66:Y67)</f>
        <v>1904779.7480952383</v>
      </c>
      <c r="Z68" s="108">
        <f>SUM(Z66:Z67)</f>
        <v>948482.19904761924</v>
      </c>
      <c r="AA68" s="106"/>
      <c r="AB68" s="106"/>
      <c r="AC68" s="106"/>
      <c r="AD68" s="106"/>
      <c r="AE68" s="106"/>
      <c r="AF68" s="116">
        <f>SUM(AF66:AF67)</f>
        <v>0</v>
      </c>
      <c r="AG68" s="105"/>
      <c r="AH68" s="105"/>
      <c r="AI68" s="105"/>
      <c r="AJ68" s="105"/>
      <c r="AK68" s="105"/>
    </row>
    <row r="69" spans="2:37" ht="16.5" thickTop="1">
      <c r="C69" s="211"/>
      <c r="L69" s="106"/>
      <c r="M69" s="106"/>
      <c r="N69" s="106"/>
      <c r="O69" s="106"/>
      <c r="P69" s="106"/>
      <c r="Q69" s="106"/>
      <c r="R69" s="106"/>
      <c r="S69" s="105"/>
      <c r="T69" s="106"/>
      <c r="U69" s="106"/>
      <c r="V69" s="106"/>
      <c r="W69" s="105"/>
      <c r="X69" s="106"/>
      <c r="Y69" s="106"/>
      <c r="Z69" s="106"/>
      <c r="AA69" s="106"/>
      <c r="AB69" s="106"/>
      <c r="AC69" s="106"/>
      <c r="AD69" s="106"/>
      <c r="AE69" s="106"/>
      <c r="AF69" s="106"/>
      <c r="AG69" s="105"/>
      <c r="AH69" s="105"/>
      <c r="AI69" s="105"/>
      <c r="AJ69" s="105"/>
      <c r="AK69" s="105"/>
    </row>
    <row r="70" spans="2:37">
      <c r="B70" s="109" t="s">
        <v>677</v>
      </c>
      <c r="C70" s="210"/>
      <c r="L70" s="107"/>
      <c r="M70" s="107"/>
      <c r="N70" s="107"/>
      <c r="O70" s="107"/>
      <c r="P70" s="107"/>
      <c r="Q70" s="107"/>
      <c r="R70" s="107"/>
      <c r="T70" s="107"/>
      <c r="U70" s="107"/>
      <c r="V70" s="107"/>
      <c r="X70" s="107"/>
      <c r="Y70" s="107"/>
      <c r="Z70" s="107"/>
      <c r="AA70" s="107"/>
      <c r="AB70" s="107"/>
      <c r="AC70" s="107"/>
      <c r="AD70" s="107"/>
      <c r="AE70" s="107"/>
      <c r="AF70" s="107"/>
    </row>
    <row r="71" spans="2:37">
      <c r="B71" s="104" t="s">
        <v>678</v>
      </c>
      <c r="C71" s="210">
        <v>2001</v>
      </c>
      <c r="D71" s="104">
        <f>+C71-1900</f>
        <v>101</v>
      </c>
      <c r="E71" s="104">
        <v>7</v>
      </c>
      <c r="F71" s="113">
        <v>0</v>
      </c>
      <c r="G71" s="112" t="s">
        <v>214</v>
      </c>
      <c r="H71" s="104">
        <v>15</v>
      </c>
      <c r="I71" s="104">
        <f>D71+H71</f>
        <v>116</v>
      </c>
      <c r="L71" s="106">
        <v>2761</v>
      </c>
      <c r="M71" s="107">
        <v>0</v>
      </c>
      <c r="N71" s="106">
        <f>L71-(+L71*F71)</f>
        <v>2761</v>
      </c>
      <c r="O71" s="106">
        <f>N71/H71/12</f>
        <v>15.338888888888889</v>
      </c>
      <c r="P71" s="106">
        <f>IF(Q71&gt;0,0,IF(OR(AA71&gt;AB71,AC71&lt;AD71),0,IF(AND(AC71&gt;=AD71,AC71&lt;=AB71),O71*((AC71-AD71)*12),IF(AND(AD71&lt;=AA71,AB71&gt;=AA71),((AB71-AA71)*12)*O71,IF(AC71&gt;AB71,12*O71,0)))))</f>
        <v>0</v>
      </c>
      <c r="Q71" s="106">
        <f>IF(M71=0,0,IF(AND(AE71&gt;=AD71,AE71&lt;=AC71),((AE71-AD71)*12)*O71,0))</f>
        <v>0</v>
      </c>
      <c r="R71" s="106">
        <f>IF(Q71&gt;0,Q71,P71)</f>
        <v>0</v>
      </c>
      <c r="S71" s="114">
        <v>1</v>
      </c>
      <c r="T71" s="106">
        <f>S71*SUM(P71:Q71)</f>
        <v>0</v>
      </c>
      <c r="U71" s="106">
        <f>IF(AA71&gt;AB71,0,IF(AC71&lt;AD71,N71,IF(AND(AC71&gt;=AD71,AC71&lt;=AB71),(N71-R71),IF(AND(AD71&lt;=AA71,AB71&gt;=AA71),0,IF(AC71&gt;AB71,((AD71-AA71)*12)*O71,0)))))</f>
        <v>2761</v>
      </c>
      <c r="V71" s="106">
        <f>U71*S71</f>
        <v>2761</v>
      </c>
      <c r="W71" s="114">
        <v>1</v>
      </c>
      <c r="X71" s="106">
        <f>V71*W71</f>
        <v>2761</v>
      </c>
      <c r="Y71" s="106">
        <f>IF(M71&gt;0,0,X71+T71*W71)*W71</f>
        <v>2761</v>
      </c>
      <c r="Z71" s="106">
        <f>IF(M71&gt;0,(L71-X71)/2,IF(AA71&gt;=AD71,(((L71*S71)*W71)-Y71)/2,((((L71*S71)*W71)-X71)+(((L71*S71)*W71)-Y71))/2))</f>
        <v>0</v>
      </c>
      <c r="AA71" s="106">
        <f>$D71+(($E71-1)/12)</f>
        <v>101.5</v>
      </c>
      <c r="AB71" s="106">
        <f>($B$10+1)-($B$7/12)</f>
        <v>119</v>
      </c>
      <c r="AC71" s="106">
        <f>$I71+(($E71-1)/12)</f>
        <v>116.5</v>
      </c>
      <c r="AD71" s="106">
        <f>$B$9+($B$8/12)</f>
        <v>118</v>
      </c>
      <c r="AE71" s="106">
        <f>$J71+(($K71-1)/12)</f>
        <v>-8.3333333333333329E-2</v>
      </c>
      <c r="AF71" s="106">
        <f>L71-((X71+Y71)/2)-Z71</f>
        <v>0</v>
      </c>
      <c r="AG71" s="106"/>
      <c r="AH71" s="107"/>
      <c r="AI71" s="107"/>
    </row>
    <row r="72" spans="2:37">
      <c r="B72" s="104" t="s">
        <v>679</v>
      </c>
      <c r="C72" s="210">
        <v>2003</v>
      </c>
      <c r="D72" s="104">
        <f t="shared" ref="D72:D74" si="41">+C72-1900</f>
        <v>103</v>
      </c>
      <c r="E72" s="104">
        <v>6</v>
      </c>
      <c r="F72" s="113">
        <v>0</v>
      </c>
      <c r="G72" s="112" t="s">
        <v>214</v>
      </c>
      <c r="H72" s="104">
        <v>10</v>
      </c>
      <c r="I72" s="104">
        <f>D72+H72</f>
        <v>113</v>
      </c>
      <c r="L72" s="110">
        <v>3838</v>
      </c>
      <c r="M72" s="119">
        <v>0</v>
      </c>
      <c r="N72" s="110">
        <f>L72-(+L72*F72)</f>
        <v>3838</v>
      </c>
      <c r="O72" s="110">
        <f>N72/H72/12</f>
        <v>31.983333333333334</v>
      </c>
      <c r="P72" s="110">
        <f>IF(Q72&gt;0,0,IF(OR(AA72&gt;AB72,AC72&lt;AD72),0,IF(AND(AC72&gt;=AD72,AC72&lt;=AB72),O72*((AC72-AD72)*12),IF(AND(AD72&lt;=AA72,AB72&gt;=AA72),((AB72-AA72)*12)*O72,IF(AC72&gt;AB72,12*O72,0)))))</f>
        <v>0</v>
      </c>
      <c r="Q72" s="110">
        <f>IF(M72=0,0,IF(AND(AE72&gt;=AD72,AE72&lt;=AC72),((AE72-AD72)*12)*O72,0))</f>
        <v>0</v>
      </c>
      <c r="R72" s="110">
        <f>IF(Q72&gt;0,Q72,P72)</f>
        <v>0</v>
      </c>
      <c r="S72" s="111">
        <v>1</v>
      </c>
      <c r="T72" s="110">
        <f>S72*SUM(P72:Q72)</f>
        <v>0</v>
      </c>
      <c r="U72" s="110">
        <f>IF(AA72&gt;AB72,0,IF(AC72&lt;AD72,N72,IF(AND(AC72&gt;=AD72,AC72&lt;=AB72),(N72-R72),IF(AND(AD72&lt;=AA72,AB72&gt;=AA72),0,IF(AC72&gt;AB72,((AD72-AA72)*12)*O72,0)))))</f>
        <v>3838</v>
      </c>
      <c r="V72" s="110">
        <f>U72*S72</f>
        <v>3838</v>
      </c>
      <c r="W72" s="111">
        <v>1</v>
      </c>
      <c r="X72" s="110">
        <f>V72*W72</f>
        <v>3838</v>
      </c>
      <c r="Y72" s="110">
        <f>IF(M72&gt;0,0,X72+T72*W72)*W72</f>
        <v>3838</v>
      </c>
      <c r="Z72" s="106">
        <f>IF(M72&gt;0,(L72-X72)/2,IF(AA72&gt;=AD72,(((L72*S72)*W72)-Y72)/2,((((L72*S72)*W72)-X72)+(((L72*S72)*W72)-Y72))/2))</f>
        <v>0</v>
      </c>
      <c r="AA72" s="110">
        <f>$D72+(($E72-1)/12)</f>
        <v>103.41666666666667</v>
      </c>
      <c r="AB72" s="110">
        <f>($B$10+1)-($B$7/12)</f>
        <v>119</v>
      </c>
      <c r="AC72" s="110">
        <f>$I72+(($E72-1)/12)</f>
        <v>113.41666666666667</v>
      </c>
      <c r="AD72" s="110">
        <f>$B$9+($B$8/12)</f>
        <v>118</v>
      </c>
      <c r="AE72" s="110">
        <f>$J72+(($K72-1)/12)</f>
        <v>-8.3333333333333329E-2</v>
      </c>
      <c r="AF72" s="110">
        <f>L72-((X72+Y72)/2)-Z72</f>
        <v>0</v>
      </c>
      <c r="AG72" s="106"/>
      <c r="AH72" s="107"/>
      <c r="AI72" s="107"/>
    </row>
    <row r="73" spans="2:37">
      <c r="B73" s="104" t="s">
        <v>680</v>
      </c>
      <c r="C73" s="210">
        <v>2004</v>
      </c>
      <c r="D73" s="104">
        <f t="shared" si="41"/>
        <v>104</v>
      </c>
      <c r="E73" s="104">
        <v>7</v>
      </c>
      <c r="F73" s="113">
        <v>0</v>
      </c>
      <c r="G73" s="112" t="s">
        <v>214</v>
      </c>
      <c r="H73" s="104">
        <v>15</v>
      </c>
      <c r="I73" s="104">
        <f t="shared" ref="I73:I74" si="42">D73+H73</f>
        <v>119</v>
      </c>
      <c r="L73" s="110">
        <v>24188</v>
      </c>
      <c r="M73" s="119">
        <v>0</v>
      </c>
      <c r="N73" s="110">
        <f t="shared" ref="N73:N74" si="43">L73-(+L73*F73)</f>
        <v>24188</v>
      </c>
      <c r="O73" s="110">
        <f t="shared" ref="O73:O74" si="44">N73/H73/12</f>
        <v>134.37777777777777</v>
      </c>
      <c r="P73" s="110">
        <f t="shared" ref="P73:P74" si="45">IF(Q73&gt;0,0,IF(OR(AA73&gt;AB73,AC73&lt;AD73),0,IF(AND(AC73&gt;=AD73,AC73&lt;=AB73),O73*((AC73-AD73)*12),IF(AND(AD73&lt;=AA73,AB73&gt;=AA73),((AB73-AA73)*12)*O73,IF(AC73&gt;AB73,12*O73,0)))))</f>
        <v>1612.5333333333333</v>
      </c>
      <c r="Q73" s="110">
        <f t="shared" ref="Q73:Q74" si="46">IF(M73=0,0,IF(AND(AE73&gt;=AD73,AE73&lt;=AC73),((AE73-AD73)*12)*O73,0))</f>
        <v>0</v>
      </c>
      <c r="R73" s="110">
        <f t="shared" ref="R73:R74" si="47">IF(Q73&gt;0,Q73,P73)</f>
        <v>1612.5333333333333</v>
      </c>
      <c r="S73" s="111">
        <v>1</v>
      </c>
      <c r="T73" s="110">
        <f t="shared" ref="T73:T74" si="48">S73*SUM(P73:Q73)</f>
        <v>1612.5333333333333</v>
      </c>
      <c r="U73" s="110">
        <f t="shared" ref="U73:U74" si="49">IF(AA73&gt;AB73,0,IF(AC73&lt;AD73,N73,IF(AND(AC73&gt;=AD73,AC73&lt;=AB73),(N73-R73),IF(AND(AD73&lt;=AA73,AB73&gt;=AA73),0,IF(AC73&gt;AB73,((AD73-AA73)*12)*O73,0)))))</f>
        <v>21769.199999999997</v>
      </c>
      <c r="V73" s="110">
        <f t="shared" ref="V73:V74" si="50">U73*S73</f>
        <v>21769.199999999997</v>
      </c>
      <c r="W73" s="111">
        <v>1</v>
      </c>
      <c r="X73" s="110">
        <f t="shared" ref="X73:X74" si="51">V73*W73</f>
        <v>21769.199999999997</v>
      </c>
      <c r="Y73" s="110">
        <f t="shared" ref="Y73:Y74" si="52">IF(M73&gt;0,0,X73+T73*W73)*W73</f>
        <v>23381.73333333333</v>
      </c>
      <c r="Z73" s="106">
        <f t="shared" ref="Z73:Z74" si="53">IF(M73&gt;0,(L73-X73)/2,IF(AA73&gt;=AD73,(((L73*S73)*W73)-Y73)/2,((((L73*S73)*W73)-X73)+(((L73*S73)*W73)-Y73))/2))</f>
        <v>1612.5333333333365</v>
      </c>
      <c r="AA73" s="110">
        <f t="shared" ref="AA73:AA74" si="54">$D73+(($E73-1)/12)</f>
        <v>104.5</v>
      </c>
      <c r="AB73" s="110">
        <f t="shared" ref="AB73:AB74" si="55">($B$10+1)-($B$7/12)</f>
        <v>119</v>
      </c>
      <c r="AC73" s="110">
        <f t="shared" ref="AC73:AC74" si="56">$I73+(($E73-1)/12)</f>
        <v>119.5</v>
      </c>
      <c r="AD73" s="110">
        <f t="shared" ref="AD73:AD74" si="57">$B$9+($B$8/12)</f>
        <v>118</v>
      </c>
      <c r="AE73" s="110">
        <f t="shared" ref="AE73:AE74" si="58">$J73+(($K73-1)/12)</f>
        <v>-8.3333333333333329E-2</v>
      </c>
      <c r="AF73" s="110">
        <f t="shared" ref="AF73:AF74" si="59">L73-((X73+Y73)/2)-Z73</f>
        <v>0</v>
      </c>
      <c r="AG73" s="106"/>
      <c r="AH73" s="107"/>
      <c r="AI73" s="107"/>
    </row>
    <row r="74" spans="2:37">
      <c r="B74" s="104" t="s">
        <v>681</v>
      </c>
      <c r="C74" s="210">
        <v>2013</v>
      </c>
      <c r="D74" s="104">
        <f t="shared" si="41"/>
        <v>113</v>
      </c>
      <c r="E74" s="104">
        <v>3</v>
      </c>
      <c r="F74" s="113">
        <v>0</v>
      </c>
      <c r="G74" s="112" t="s">
        <v>214</v>
      </c>
      <c r="H74" s="104">
        <v>15</v>
      </c>
      <c r="I74" s="104">
        <f t="shared" si="42"/>
        <v>128</v>
      </c>
      <c r="L74" s="110">
        <v>19081</v>
      </c>
      <c r="M74" s="119">
        <v>0</v>
      </c>
      <c r="N74" s="110">
        <f t="shared" si="43"/>
        <v>19081</v>
      </c>
      <c r="O74" s="110">
        <f t="shared" si="44"/>
        <v>106.00555555555555</v>
      </c>
      <c r="P74" s="110">
        <f t="shared" si="45"/>
        <v>1272.0666666666666</v>
      </c>
      <c r="Q74" s="110">
        <f t="shared" si="46"/>
        <v>0</v>
      </c>
      <c r="R74" s="110">
        <f t="shared" si="47"/>
        <v>1272.0666666666666</v>
      </c>
      <c r="S74" s="111">
        <v>1</v>
      </c>
      <c r="T74" s="110">
        <f t="shared" si="48"/>
        <v>1272.0666666666666</v>
      </c>
      <c r="U74" s="110">
        <f t="shared" si="49"/>
        <v>6148.3222222222157</v>
      </c>
      <c r="V74" s="110">
        <f t="shared" si="50"/>
        <v>6148.3222222222157</v>
      </c>
      <c r="W74" s="111">
        <v>1</v>
      </c>
      <c r="X74" s="110">
        <f t="shared" si="51"/>
        <v>6148.3222222222157</v>
      </c>
      <c r="Y74" s="110">
        <f t="shared" si="52"/>
        <v>7420.3888888888823</v>
      </c>
      <c r="Z74" s="106">
        <f t="shared" si="53"/>
        <v>12296.64444444445</v>
      </c>
      <c r="AA74" s="110">
        <f t="shared" si="54"/>
        <v>113.16666666666667</v>
      </c>
      <c r="AB74" s="110">
        <f t="shared" si="55"/>
        <v>119</v>
      </c>
      <c r="AC74" s="110">
        <f t="shared" si="56"/>
        <v>128.16666666666666</v>
      </c>
      <c r="AD74" s="110">
        <f t="shared" si="57"/>
        <v>118</v>
      </c>
      <c r="AE74" s="110">
        <f t="shared" si="58"/>
        <v>-8.3333333333333329E-2</v>
      </c>
      <c r="AF74" s="110">
        <f t="shared" si="59"/>
        <v>0</v>
      </c>
      <c r="AG74" s="106"/>
      <c r="AH74" s="107"/>
      <c r="AI74" s="107"/>
    </row>
    <row r="75" spans="2:37">
      <c r="C75" s="210"/>
      <c r="F75" s="113"/>
      <c r="G75" s="112"/>
      <c r="L75" s="118"/>
      <c r="M75" s="107"/>
      <c r="N75" s="118"/>
      <c r="O75" s="118"/>
      <c r="P75" s="118"/>
      <c r="Q75" s="118"/>
      <c r="R75" s="118"/>
      <c r="S75" s="110"/>
      <c r="T75" s="118"/>
      <c r="U75" s="118"/>
      <c r="V75" s="118"/>
      <c r="W75" s="110"/>
      <c r="X75" s="118"/>
      <c r="Y75" s="118"/>
      <c r="Z75" s="118"/>
      <c r="AA75" s="110"/>
      <c r="AB75" s="110"/>
      <c r="AC75" s="110"/>
      <c r="AD75" s="110"/>
      <c r="AE75" s="110"/>
      <c r="AF75" s="118"/>
      <c r="AG75" s="106"/>
      <c r="AH75" s="107"/>
      <c r="AI75" s="107"/>
    </row>
    <row r="76" spans="2:37">
      <c r="B76" s="117" t="s">
        <v>215</v>
      </c>
      <c r="C76" s="210"/>
      <c r="L76" s="110">
        <f>SUM(L71:L74)</f>
        <v>49868</v>
      </c>
      <c r="M76" s="110"/>
      <c r="N76" s="110">
        <f>SUM(N71:N74)</f>
        <v>49868</v>
      </c>
      <c r="O76" s="110">
        <f>SUM(O71:O74)</f>
        <v>287.70555555555552</v>
      </c>
      <c r="P76" s="110">
        <f>SUM(P71:P74)</f>
        <v>2884.6</v>
      </c>
      <c r="Q76" s="110">
        <f>SUM(Q71:Q74)</f>
        <v>0</v>
      </c>
      <c r="R76" s="110">
        <f>SUM(R71:R74)</f>
        <v>2884.6</v>
      </c>
      <c r="S76" s="123"/>
      <c r="T76" s="110">
        <f>SUM(T71:T74)</f>
        <v>2884.6</v>
      </c>
      <c r="U76" s="110">
        <f>SUM(U71:U74)</f>
        <v>34516.522222222215</v>
      </c>
      <c r="V76" s="110">
        <f>SUM(V71:V74)</f>
        <v>34516.522222222215</v>
      </c>
      <c r="W76" s="123"/>
      <c r="X76" s="110">
        <f>SUM(X71:X74)</f>
        <v>34516.522222222215</v>
      </c>
      <c r="Y76" s="110">
        <f>SUM(Y71:Y74)</f>
        <v>37401.122222222213</v>
      </c>
      <c r="Z76" s="110">
        <f>SUM(Z71:Z74)</f>
        <v>13909.177777777786</v>
      </c>
      <c r="AA76" s="110"/>
      <c r="AB76" s="110"/>
      <c r="AC76" s="110"/>
      <c r="AD76" s="110"/>
      <c r="AE76" s="110"/>
      <c r="AF76" s="110">
        <f>SUM(AF71:AF74)</f>
        <v>0</v>
      </c>
      <c r="AG76" s="106"/>
      <c r="AH76" s="107"/>
      <c r="AI76" s="107"/>
    </row>
    <row r="77" spans="2:37">
      <c r="B77" s="117"/>
      <c r="C77" s="210"/>
      <c r="L77" s="110"/>
      <c r="M77" s="110"/>
      <c r="N77" s="110"/>
      <c r="O77" s="110"/>
      <c r="P77" s="110"/>
      <c r="Q77" s="110"/>
      <c r="R77" s="110"/>
      <c r="S77" s="123"/>
      <c r="T77" s="110"/>
      <c r="U77" s="110"/>
      <c r="V77" s="110"/>
      <c r="W77" s="123"/>
      <c r="X77" s="110"/>
      <c r="Y77" s="110"/>
      <c r="Z77" s="110"/>
      <c r="AA77" s="110"/>
      <c r="AB77" s="110"/>
      <c r="AC77" s="110"/>
      <c r="AD77" s="110"/>
      <c r="AE77" s="110"/>
      <c r="AF77" s="110"/>
      <c r="AG77" s="106"/>
      <c r="AH77" s="107"/>
      <c r="AI77" s="107"/>
    </row>
    <row r="78" spans="2:37" ht="16.5" thickBot="1">
      <c r="B78" s="109" t="s">
        <v>682</v>
      </c>
      <c r="C78" s="210"/>
      <c r="K78" s="487" t="s">
        <v>258</v>
      </c>
      <c r="L78" s="108">
        <f>SUM(L76:L77)</f>
        <v>49868</v>
      </c>
      <c r="M78" s="110"/>
      <c r="N78" s="108">
        <f>SUM(N76:N77)</f>
        <v>49868</v>
      </c>
      <c r="O78" s="108">
        <f>SUM(O76:O77)</f>
        <v>287.70555555555552</v>
      </c>
      <c r="P78" s="108">
        <f>SUM(P76:P77)</f>
        <v>2884.6</v>
      </c>
      <c r="Q78" s="108"/>
      <c r="R78" s="108">
        <f>SUM(R76:R77)</f>
        <v>2884.6</v>
      </c>
      <c r="S78" s="105"/>
      <c r="T78" s="108">
        <f>SUM(T76:T77)</f>
        <v>2884.6</v>
      </c>
      <c r="U78" s="108">
        <f>SUM(U76:U77)</f>
        <v>34516.522222222215</v>
      </c>
      <c r="V78" s="108">
        <f>SUM(V76:V77)</f>
        <v>34516.522222222215</v>
      </c>
      <c r="W78" s="105"/>
      <c r="X78" s="108">
        <f>SUM(X76:X77)</f>
        <v>34516.522222222215</v>
      </c>
      <c r="Y78" s="108">
        <f>SUM(Y76:Y77)</f>
        <v>37401.122222222213</v>
      </c>
      <c r="Z78" s="108">
        <f>SUM(Z76:Z77)</f>
        <v>13909.177777777786</v>
      </c>
      <c r="AA78" s="110"/>
      <c r="AB78" s="110"/>
      <c r="AC78" s="110"/>
      <c r="AD78" s="110"/>
      <c r="AE78" s="110"/>
      <c r="AF78" s="116">
        <f>SUM(AF76:AF77)</f>
        <v>0</v>
      </c>
      <c r="AG78" s="106"/>
      <c r="AH78" s="107"/>
      <c r="AI78" s="107"/>
    </row>
    <row r="79" spans="2:37" ht="16.5" thickTop="1">
      <c r="B79" s="117"/>
      <c r="C79" s="210"/>
      <c r="F79" s="113"/>
      <c r="L79" s="110"/>
      <c r="M79" s="110"/>
      <c r="N79" s="110"/>
      <c r="O79" s="110"/>
      <c r="P79" s="110"/>
      <c r="Q79" s="110"/>
      <c r="R79" s="110"/>
      <c r="S79" s="110"/>
      <c r="T79" s="110"/>
      <c r="U79" s="110"/>
      <c r="V79" s="110"/>
      <c r="W79" s="110"/>
      <c r="X79" s="110"/>
      <c r="Y79" s="110"/>
      <c r="Z79" s="110"/>
      <c r="AA79" s="110"/>
      <c r="AB79" s="110"/>
      <c r="AC79" s="110"/>
      <c r="AD79" s="110"/>
      <c r="AE79" s="110"/>
      <c r="AF79" s="110"/>
      <c r="AG79" s="107"/>
      <c r="AH79" s="107"/>
      <c r="AI79" s="107"/>
    </row>
    <row r="80" spans="2:37">
      <c r="B80" s="109" t="s">
        <v>683</v>
      </c>
      <c r="C80" s="248"/>
      <c r="D80" s="235"/>
      <c r="F80" s="113"/>
      <c r="L80" s="106"/>
      <c r="M80" s="107"/>
      <c r="N80" s="106"/>
      <c r="O80" s="106"/>
      <c r="P80" s="106"/>
      <c r="Q80" s="106"/>
      <c r="R80" s="106"/>
      <c r="S80" s="114"/>
      <c r="T80" s="106"/>
      <c r="U80" s="106"/>
      <c r="V80" s="106"/>
      <c r="W80" s="114"/>
      <c r="X80" s="106"/>
      <c r="Y80" s="106"/>
      <c r="Z80" s="106"/>
      <c r="AA80" s="106"/>
      <c r="AB80" s="106"/>
      <c r="AC80" s="106"/>
      <c r="AD80" s="106"/>
      <c r="AE80" s="106"/>
      <c r="AF80" s="106"/>
      <c r="AG80" s="107"/>
      <c r="AH80" s="107"/>
      <c r="AI80" s="107"/>
    </row>
    <row r="81" spans="2:35">
      <c r="B81" s="104" t="s">
        <v>684</v>
      </c>
      <c r="C81" s="211">
        <v>1994</v>
      </c>
      <c r="D81" s="104">
        <f t="shared" ref="D81:D101" si="60">+C81-1900</f>
        <v>94</v>
      </c>
      <c r="E81" s="104">
        <v>2</v>
      </c>
      <c r="F81" s="113">
        <v>0</v>
      </c>
      <c r="G81" s="112" t="s">
        <v>214</v>
      </c>
      <c r="H81" s="104">
        <v>7</v>
      </c>
      <c r="I81" s="104">
        <f t="shared" ref="I81:I101" si="61">D81+H81</f>
        <v>101</v>
      </c>
      <c r="L81" s="110">
        <v>1037</v>
      </c>
      <c r="M81" s="110">
        <v>0</v>
      </c>
      <c r="N81" s="110">
        <f>L81-(+L81*F81)</f>
        <v>1037</v>
      </c>
      <c r="O81" s="110">
        <f>N81/H81/12</f>
        <v>12.345238095238095</v>
      </c>
      <c r="P81" s="110">
        <f t="shared" ref="P81:P101" si="62">IF(Q81&gt;0,0,IF(OR(AA81&gt;AB81,AC81&lt;AD81),0,IF(AND(AC81&gt;=AD81,AC81&lt;=AB81),O81*((AC81-AD81)*12),IF(AND(AD81&lt;=AA81,AB81&gt;=AA81),((AB81-AA81)*12)*O81,IF(AC81&gt;AB81,12*O81,0)))))</f>
        <v>0</v>
      </c>
      <c r="Q81" s="110">
        <f t="shared" ref="Q81:Q101" si="63">IF(M81=0,0,IF(AND(AE81&gt;=AD81,AE81&lt;=AC81),((AE81-AD81)*12)*O81,0))</f>
        <v>0</v>
      </c>
      <c r="R81" s="110">
        <f t="shared" ref="R81:R101" si="64">IF(Q81&gt;0,Q81,P81)</f>
        <v>0</v>
      </c>
      <c r="S81" s="111">
        <v>1</v>
      </c>
      <c r="T81" s="110">
        <f>S81*SUM(P81:Q81)</f>
        <v>0</v>
      </c>
      <c r="U81" s="110">
        <f t="shared" ref="U81:U101" si="65">IF(AA81&gt;AB81,0,IF(AC81&lt;AD81,N81,IF(AND(AC81&gt;=AD81,AC81&lt;=AB81),(N81-R81),IF(AND(AD81&lt;=AA81,AB81&gt;=AA81),0,IF(AC81&gt;AB81,((AD81-AA81)*12)*O81,0)))))</f>
        <v>1037</v>
      </c>
      <c r="V81" s="110">
        <f t="shared" ref="V81:V101" si="66">U81*S81</f>
        <v>1037</v>
      </c>
      <c r="W81" s="111">
        <v>1</v>
      </c>
      <c r="X81" s="110">
        <f t="shared" ref="X81:X101" si="67">V81*W81</f>
        <v>1037</v>
      </c>
      <c r="Y81" s="110">
        <f t="shared" ref="Y81:Y101" si="68">IF(M81&gt;0,0,X81+T81*W81)*W81</f>
        <v>1037</v>
      </c>
      <c r="Z81" s="110">
        <f t="shared" ref="Z81:Z93" si="69">IF(M81&gt;0,(L81-X81)/2,IF(AA81&gt;=AD81,(((L81*S81)*W81)-Y81)/2,((((L81*S81)*W81)-X81)+(((L81*S81)*W81)-Y81))/2))</f>
        <v>0</v>
      </c>
      <c r="AA81" s="110">
        <f t="shared" ref="AA81:AA101" si="70">$D81+(($E81-1)/12)</f>
        <v>94.083333333333329</v>
      </c>
      <c r="AB81" s="110">
        <f t="shared" ref="AB81:AB101" si="71">($B$10+1)-($B$7/12)</f>
        <v>119</v>
      </c>
      <c r="AC81" s="110">
        <f t="shared" ref="AC81:AC101" si="72">$I81+(($E81-1)/12)</f>
        <v>101.08333333333333</v>
      </c>
      <c r="AD81" s="110">
        <f t="shared" ref="AD81:AD101" si="73">$B$9+($B$8/12)</f>
        <v>118</v>
      </c>
      <c r="AE81" s="110">
        <f t="shared" ref="AE81:AE101" si="74">$J81+(($K81-1)/12)</f>
        <v>-8.3333333333333329E-2</v>
      </c>
      <c r="AF81" s="110">
        <f>L81-((X81+Y81)/2)-Z81</f>
        <v>0</v>
      </c>
      <c r="AG81" s="106"/>
      <c r="AH81" s="106"/>
      <c r="AI81" s="107"/>
    </row>
    <row r="82" spans="2:35">
      <c r="B82" s="104" t="s">
        <v>685</v>
      </c>
      <c r="C82" s="211">
        <v>1994</v>
      </c>
      <c r="D82" s="104">
        <f t="shared" si="60"/>
        <v>94</v>
      </c>
      <c r="E82" s="104">
        <v>4</v>
      </c>
      <c r="F82" s="113">
        <v>0</v>
      </c>
      <c r="G82" s="112" t="s">
        <v>214</v>
      </c>
      <c r="H82" s="104">
        <v>5</v>
      </c>
      <c r="I82" s="104">
        <f t="shared" si="61"/>
        <v>99</v>
      </c>
      <c r="L82" s="110">
        <v>587</v>
      </c>
      <c r="M82" s="110">
        <v>0</v>
      </c>
      <c r="N82" s="110">
        <f t="shared" ref="N82:N101" si="75">L82-(+L82*F82)</f>
        <v>587</v>
      </c>
      <c r="O82" s="110">
        <f t="shared" ref="O82:O101" si="76">N82/H82/12</f>
        <v>9.7833333333333332</v>
      </c>
      <c r="P82" s="110">
        <f t="shared" si="62"/>
        <v>0</v>
      </c>
      <c r="Q82" s="110">
        <f t="shared" si="63"/>
        <v>0</v>
      </c>
      <c r="R82" s="110">
        <f t="shared" si="64"/>
        <v>0</v>
      </c>
      <c r="S82" s="111">
        <v>1</v>
      </c>
      <c r="T82" s="110">
        <f t="shared" ref="T82:T101" si="77">S82*SUM(P82:Q82)</f>
        <v>0</v>
      </c>
      <c r="U82" s="110">
        <f t="shared" si="65"/>
        <v>587</v>
      </c>
      <c r="V82" s="110">
        <f t="shared" si="66"/>
        <v>587</v>
      </c>
      <c r="W82" s="111">
        <v>1</v>
      </c>
      <c r="X82" s="110">
        <f t="shared" si="67"/>
        <v>587</v>
      </c>
      <c r="Y82" s="110">
        <f t="shared" si="68"/>
        <v>587</v>
      </c>
      <c r="Z82" s="110">
        <f t="shared" si="69"/>
        <v>0</v>
      </c>
      <c r="AA82" s="110">
        <f t="shared" si="70"/>
        <v>94.25</v>
      </c>
      <c r="AB82" s="110">
        <f t="shared" si="71"/>
        <v>119</v>
      </c>
      <c r="AC82" s="110">
        <f t="shared" si="72"/>
        <v>99.25</v>
      </c>
      <c r="AD82" s="110">
        <f t="shared" si="73"/>
        <v>118</v>
      </c>
      <c r="AE82" s="110">
        <f t="shared" si="74"/>
        <v>-8.3333333333333329E-2</v>
      </c>
      <c r="AF82" s="110">
        <f t="shared" ref="AF82:AF101" si="78">L82-((X82+Y82)/2)-Z82</f>
        <v>0</v>
      </c>
      <c r="AG82" s="106"/>
      <c r="AH82" s="106"/>
      <c r="AI82" s="107"/>
    </row>
    <row r="83" spans="2:35">
      <c r="B83" s="104" t="s">
        <v>686</v>
      </c>
      <c r="C83" s="211">
        <v>1997</v>
      </c>
      <c r="D83" s="104">
        <f t="shared" si="60"/>
        <v>97</v>
      </c>
      <c r="E83" s="104">
        <v>6</v>
      </c>
      <c r="F83" s="113">
        <v>0</v>
      </c>
      <c r="G83" s="112" t="s">
        <v>214</v>
      </c>
      <c r="H83" s="104">
        <v>7</v>
      </c>
      <c r="I83" s="104">
        <f t="shared" si="61"/>
        <v>104</v>
      </c>
      <c r="L83" s="110">
        <v>520</v>
      </c>
      <c r="M83" s="110">
        <v>0</v>
      </c>
      <c r="N83" s="110">
        <f t="shared" si="75"/>
        <v>520</v>
      </c>
      <c r="O83" s="110">
        <f t="shared" si="76"/>
        <v>6.1904761904761907</v>
      </c>
      <c r="P83" s="110">
        <f t="shared" si="62"/>
        <v>0</v>
      </c>
      <c r="Q83" s="110">
        <f t="shared" si="63"/>
        <v>0</v>
      </c>
      <c r="R83" s="110">
        <f t="shared" si="64"/>
        <v>0</v>
      </c>
      <c r="S83" s="111">
        <v>1</v>
      </c>
      <c r="T83" s="110">
        <f t="shared" si="77"/>
        <v>0</v>
      </c>
      <c r="U83" s="110">
        <f t="shared" si="65"/>
        <v>520</v>
      </c>
      <c r="V83" s="110">
        <f t="shared" si="66"/>
        <v>520</v>
      </c>
      <c r="W83" s="111">
        <v>1</v>
      </c>
      <c r="X83" s="110">
        <f t="shared" si="67"/>
        <v>520</v>
      </c>
      <c r="Y83" s="110">
        <f t="shared" si="68"/>
        <v>520</v>
      </c>
      <c r="Z83" s="110">
        <f t="shared" si="69"/>
        <v>0</v>
      </c>
      <c r="AA83" s="110">
        <f t="shared" si="70"/>
        <v>97.416666666666671</v>
      </c>
      <c r="AB83" s="110">
        <f t="shared" si="71"/>
        <v>119</v>
      </c>
      <c r="AC83" s="110">
        <f t="shared" si="72"/>
        <v>104.41666666666667</v>
      </c>
      <c r="AD83" s="110">
        <f t="shared" si="73"/>
        <v>118</v>
      </c>
      <c r="AE83" s="110">
        <f t="shared" si="74"/>
        <v>-8.3333333333333329E-2</v>
      </c>
      <c r="AF83" s="110">
        <f t="shared" si="78"/>
        <v>0</v>
      </c>
      <c r="AG83" s="106"/>
      <c r="AH83" s="106"/>
      <c r="AI83" s="107"/>
    </row>
    <row r="84" spans="2:35">
      <c r="B84" s="104" t="s">
        <v>687</v>
      </c>
      <c r="C84" s="211">
        <v>1997</v>
      </c>
      <c r="D84" s="104">
        <f t="shared" si="60"/>
        <v>97</v>
      </c>
      <c r="E84" s="104">
        <v>6</v>
      </c>
      <c r="F84" s="113">
        <v>0</v>
      </c>
      <c r="G84" s="112" t="s">
        <v>214</v>
      </c>
      <c r="H84" s="104">
        <v>7</v>
      </c>
      <c r="I84" s="104">
        <f t="shared" si="61"/>
        <v>104</v>
      </c>
      <c r="L84" s="110">
        <v>13599</v>
      </c>
      <c r="M84" s="110">
        <v>0</v>
      </c>
      <c r="N84" s="110">
        <f t="shared" si="75"/>
        <v>13599</v>
      </c>
      <c r="O84" s="110">
        <f t="shared" si="76"/>
        <v>161.89285714285714</v>
      </c>
      <c r="P84" s="110">
        <f t="shared" si="62"/>
        <v>0</v>
      </c>
      <c r="Q84" s="110">
        <f t="shared" si="63"/>
        <v>0</v>
      </c>
      <c r="R84" s="110">
        <f t="shared" si="64"/>
        <v>0</v>
      </c>
      <c r="S84" s="111">
        <v>1</v>
      </c>
      <c r="T84" s="110">
        <f t="shared" si="77"/>
        <v>0</v>
      </c>
      <c r="U84" s="110">
        <f t="shared" si="65"/>
        <v>13599</v>
      </c>
      <c r="V84" s="110">
        <f t="shared" si="66"/>
        <v>13599</v>
      </c>
      <c r="W84" s="111">
        <v>1</v>
      </c>
      <c r="X84" s="110">
        <f t="shared" si="67"/>
        <v>13599</v>
      </c>
      <c r="Y84" s="110">
        <f t="shared" si="68"/>
        <v>13599</v>
      </c>
      <c r="Z84" s="110">
        <f t="shared" si="69"/>
        <v>0</v>
      </c>
      <c r="AA84" s="110">
        <f t="shared" si="70"/>
        <v>97.416666666666671</v>
      </c>
      <c r="AB84" s="110">
        <f t="shared" si="71"/>
        <v>119</v>
      </c>
      <c r="AC84" s="110">
        <f t="shared" si="72"/>
        <v>104.41666666666667</v>
      </c>
      <c r="AD84" s="110">
        <f t="shared" si="73"/>
        <v>118</v>
      </c>
      <c r="AE84" s="110">
        <f t="shared" si="74"/>
        <v>-8.3333333333333329E-2</v>
      </c>
      <c r="AF84" s="110">
        <f t="shared" si="78"/>
        <v>0</v>
      </c>
      <c r="AG84" s="106"/>
      <c r="AH84" s="106"/>
      <c r="AI84" s="107"/>
    </row>
    <row r="85" spans="2:35">
      <c r="B85" s="104" t="s">
        <v>688</v>
      </c>
      <c r="C85" s="211">
        <v>1997</v>
      </c>
      <c r="D85" s="104">
        <f t="shared" si="60"/>
        <v>97</v>
      </c>
      <c r="E85" s="104">
        <v>7</v>
      </c>
      <c r="F85" s="113">
        <v>0</v>
      </c>
      <c r="G85" s="112" t="s">
        <v>214</v>
      </c>
      <c r="H85" s="104">
        <v>7</v>
      </c>
      <c r="I85" s="104">
        <f t="shared" si="61"/>
        <v>104</v>
      </c>
      <c r="L85" s="110">
        <v>1155</v>
      </c>
      <c r="M85" s="110">
        <v>0</v>
      </c>
      <c r="N85" s="110">
        <f t="shared" si="75"/>
        <v>1155</v>
      </c>
      <c r="O85" s="110">
        <f t="shared" si="76"/>
        <v>13.75</v>
      </c>
      <c r="P85" s="110">
        <f t="shared" si="62"/>
        <v>0</v>
      </c>
      <c r="Q85" s="110">
        <f t="shared" si="63"/>
        <v>0</v>
      </c>
      <c r="R85" s="110">
        <f t="shared" si="64"/>
        <v>0</v>
      </c>
      <c r="S85" s="111">
        <v>1</v>
      </c>
      <c r="T85" s="110">
        <f t="shared" si="77"/>
        <v>0</v>
      </c>
      <c r="U85" s="110">
        <f t="shared" si="65"/>
        <v>1155</v>
      </c>
      <c r="V85" s="110">
        <f t="shared" si="66"/>
        <v>1155</v>
      </c>
      <c r="W85" s="111">
        <v>1</v>
      </c>
      <c r="X85" s="110">
        <f t="shared" si="67"/>
        <v>1155</v>
      </c>
      <c r="Y85" s="110">
        <f t="shared" si="68"/>
        <v>1155</v>
      </c>
      <c r="Z85" s="110">
        <f t="shared" si="69"/>
        <v>0</v>
      </c>
      <c r="AA85" s="110">
        <f t="shared" si="70"/>
        <v>97.5</v>
      </c>
      <c r="AB85" s="110">
        <f t="shared" si="71"/>
        <v>119</v>
      </c>
      <c r="AC85" s="110">
        <f t="shared" si="72"/>
        <v>104.5</v>
      </c>
      <c r="AD85" s="110">
        <f t="shared" si="73"/>
        <v>118</v>
      </c>
      <c r="AE85" s="110">
        <f t="shared" si="74"/>
        <v>-8.3333333333333329E-2</v>
      </c>
      <c r="AF85" s="110">
        <f t="shared" si="78"/>
        <v>0</v>
      </c>
      <c r="AG85" s="106"/>
      <c r="AH85" s="106"/>
      <c r="AI85" s="107"/>
    </row>
    <row r="86" spans="2:35">
      <c r="B86" s="104" t="s">
        <v>689</v>
      </c>
      <c r="C86" s="211">
        <v>1997</v>
      </c>
      <c r="D86" s="104">
        <f t="shared" si="60"/>
        <v>97</v>
      </c>
      <c r="E86" s="104">
        <v>9</v>
      </c>
      <c r="F86" s="113">
        <v>0</v>
      </c>
      <c r="G86" s="112" t="s">
        <v>214</v>
      </c>
      <c r="H86" s="104">
        <v>5</v>
      </c>
      <c r="I86" s="104">
        <f t="shared" si="61"/>
        <v>102</v>
      </c>
      <c r="L86" s="110">
        <v>6000</v>
      </c>
      <c r="M86" s="110">
        <v>0</v>
      </c>
      <c r="N86" s="110">
        <f t="shared" si="75"/>
        <v>6000</v>
      </c>
      <c r="O86" s="110">
        <f t="shared" si="76"/>
        <v>100</v>
      </c>
      <c r="P86" s="110">
        <f t="shared" si="62"/>
        <v>0</v>
      </c>
      <c r="Q86" s="110">
        <f t="shared" si="63"/>
        <v>0</v>
      </c>
      <c r="R86" s="110">
        <f t="shared" si="64"/>
        <v>0</v>
      </c>
      <c r="S86" s="111">
        <v>1</v>
      </c>
      <c r="T86" s="110">
        <f t="shared" si="77"/>
        <v>0</v>
      </c>
      <c r="U86" s="110">
        <f t="shared" si="65"/>
        <v>6000</v>
      </c>
      <c r="V86" s="110">
        <f t="shared" si="66"/>
        <v>6000</v>
      </c>
      <c r="W86" s="111">
        <v>1</v>
      </c>
      <c r="X86" s="110">
        <f t="shared" si="67"/>
        <v>6000</v>
      </c>
      <c r="Y86" s="110">
        <f t="shared" si="68"/>
        <v>6000</v>
      </c>
      <c r="Z86" s="110">
        <f t="shared" si="69"/>
        <v>0</v>
      </c>
      <c r="AA86" s="110">
        <f t="shared" si="70"/>
        <v>97.666666666666671</v>
      </c>
      <c r="AB86" s="110">
        <f t="shared" si="71"/>
        <v>119</v>
      </c>
      <c r="AC86" s="110">
        <f t="shared" si="72"/>
        <v>102.66666666666667</v>
      </c>
      <c r="AD86" s="110">
        <f t="shared" si="73"/>
        <v>118</v>
      </c>
      <c r="AE86" s="110">
        <f t="shared" si="74"/>
        <v>-8.3333333333333329E-2</v>
      </c>
      <c r="AF86" s="110">
        <f t="shared" si="78"/>
        <v>0</v>
      </c>
      <c r="AG86" s="106"/>
      <c r="AH86" s="106"/>
      <c r="AI86" s="107"/>
    </row>
    <row r="87" spans="2:35">
      <c r="B87" s="104" t="s">
        <v>689</v>
      </c>
      <c r="C87" s="211">
        <v>1997</v>
      </c>
      <c r="D87" s="104">
        <f t="shared" si="60"/>
        <v>97</v>
      </c>
      <c r="E87" s="104">
        <v>10</v>
      </c>
      <c r="F87" s="113">
        <v>0</v>
      </c>
      <c r="G87" s="112" t="s">
        <v>214</v>
      </c>
      <c r="H87" s="104">
        <v>5</v>
      </c>
      <c r="I87" s="104">
        <f t="shared" si="61"/>
        <v>102</v>
      </c>
      <c r="L87" s="110">
        <v>3000</v>
      </c>
      <c r="M87" s="110">
        <v>0</v>
      </c>
      <c r="N87" s="110">
        <f t="shared" si="75"/>
        <v>3000</v>
      </c>
      <c r="O87" s="110">
        <f t="shared" si="76"/>
        <v>50</v>
      </c>
      <c r="P87" s="110">
        <f t="shared" si="62"/>
        <v>0</v>
      </c>
      <c r="Q87" s="110">
        <f t="shared" si="63"/>
        <v>0</v>
      </c>
      <c r="R87" s="110">
        <f t="shared" si="64"/>
        <v>0</v>
      </c>
      <c r="S87" s="111">
        <v>1</v>
      </c>
      <c r="T87" s="110">
        <f t="shared" si="77"/>
        <v>0</v>
      </c>
      <c r="U87" s="110">
        <f t="shared" si="65"/>
        <v>3000</v>
      </c>
      <c r="V87" s="110">
        <f t="shared" si="66"/>
        <v>3000</v>
      </c>
      <c r="W87" s="111">
        <v>1</v>
      </c>
      <c r="X87" s="110">
        <f t="shared" si="67"/>
        <v>3000</v>
      </c>
      <c r="Y87" s="110">
        <f t="shared" si="68"/>
        <v>3000</v>
      </c>
      <c r="Z87" s="110">
        <f t="shared" si="69"/>
        <v>0</v>
      </c>
      <c r="AA87" s="110">
        <f t="shared" si="70"/>
        <v>97.75</v>
      </c>
      <c r="AB87" s="110">
        <f t="shared" si="71"/>
        <v>119</v>
      </c>
      <c r="AC87" s="110">
        <f t="shared" si="72"/>
        <v>102.75</v>
      </c>
      <c r="AD87" s="110">
        <f t="shared" si="73"/>
        <v>118</v>
      </c>
      <c r="AE87" s="110">
        <f t="shared" si="74"/>
        <v>-8.3333333333333329E-2</v>
      </c>
      <c r="AF87" s="110">
        <f t="shared" si="78"/>
        <v>0</v>
      </c>
      <c r="AG87" s="106"/>
      <c r="AH87" s="106"/>
      <c r="AI87" s="107"/>
    </row>
    <row r="88" spans="2:35">
      <c r="B88" s="104" t="s">
        <v>689</v>
      </c>
      <c r="C88" s="211">
        <v>1997</v>
      </c>
      <c r="D88" s="104">
        <f t="shared" si="60"/>
        <v>97</v>
      </c>
      <c r="E88" s="104">
        <v>11</v>
      </c>
      <c r="F88" s="113">
        <v>0</v>
      </c>
      <c r="G88" s="112" t="s">
        <v>214</v>
      </c>
      <c r="H88" s="104">
        <v>5</v>
      </c>
      <c r="I88" s="104">
        <f t="shared" si="61"/>
        <v>102</v>
      </c>
      <c r="L88" s="110">
        <v>3372</v>
      </c>
      <c r="M88" s="110">
        <v>0</v>
      </c>
      <c r="N88" s="110">
        <f t="shared" si="75"/>
        <v>3372</v>
      </c>
      <c r="O88" s="110">
        <f t="shared" si="76"/>
        <v>56.199999999999996</v>
      </c>
      <c r="P88" s="110">
        <f t="shared" si="62"/>
        <v>0</v>
      </c>
      <c r="Q88" s="110">
        <f t="shared" si="63"/>
        <v>0</v>
      </c>
      <c r="R88" s="110">
        <f t="shared" si="64"/>
        <v>0</v>
      </c>
      <c r="S88" s="111">
        <v>1</v>
      </c>
      <c r="T88" s="110">
        <f t="shared" si="77"/>
        <v>0</v>
      </c>
      <c r="U88" s="110">
        <f t="shared" si="65"/>
        <v>3372</v>
      </c>
      <c r="V88" s="110">
        <f t="shared" si="66"/>
        <v>3372</v>
      </c>
      <c r="W88" s="111">
        <v>1</v>
      </c>
      <c r="X88" s="110">
        <f t="shared" si="67"/>
        <v>3372</v>
      </c>
      <c r="Y88" s="110">
        <f t="shared" si="68"/>
        <v>3372</v>
      </c>
      <c r="Z88" s="110">
        <f t="shared" si="69"/>
        <v>0</v>
      </c>
      <c r="AA88" s="110">
        <f t="shared" si="70"/>
        <v>97.833333333333329</v>
      </c>
      <c r="AB88" s="110">
        <f t="shared" si="71"/>
        <v>119</v>
      </c>
      <c r="AC88" s="110">
        <f t="shared" si="72"/>
        <v>102.83333333333333</v>
      </c>
      <c r="AD88" s="110">
        <f t="shared" si="73"/>
        <v>118</v>
      </c>
      <c r="AE88" s="110">
        <f t="shared" si="74"/>
        <v>-8.3333333333333329E-2</v>
      </c>
      <c r="AF88" s="110">
        <f t="shared" si="78"/>
        <v>0</v>
      </c>
      <c r="AG88" s="106"/>
      <c r="AH88" s="106"/>
      <c r="AI88" s="107"/>
    </row>
    <row r="89" spans="2:35">
      <c r="B89" s="104" t="s">
        <v>690</v>
      </c>
      <c r="C89" s="211">
        <v>1999</v>
      </c>
      <c r="D89" s="104">
        <f t="shared" si="60"/>
        <v>99</v>
      </c>
      <c r="E89" s="104">
        <v>3</v>
      </c>
      <c r="F89" s="113">
        <v>0</v>
      </c>
      <c r="G89" s="112" t="s">
        <v>214</v>
      </c>
      <c r="H89" s="104">
        <v>5</v>
      </c>
      <c r="I89" s="104">
        <f t="shared" si="61"/>
        <v>104</v>
      </c>
      <c r="L89" s="110">
        <v>229</v>
      </c>
      <c r="M89" s="110">
        <v>0</v>
      </c>
      <c r="N89" s="110">
        <f t="shared" si="75"/>
        <v>229</v>
      </c>
      <c r="O89" s="110">
        <f t="shared" si="76"/>
        <v>3.8166666666666664</v>
      </c>
      <c r="P89" s="110">
        <f t="shared" si="62"/>
        <v>0</v>
      </c>
      <c r="Q89" s="110">
        <f t="shared" si="63"/>
        <v>0</v>
      </c>
      <c r="R89" s="110">
        <f t="shared" si="64"/>
        <v>0</v>
      </c>
      <c r="S89" s="111">
        <v>1</v>
      </c>
      <c r="T89" s="110">
        <f t="shared" si="77"/>
        <v>0</v>
      </c>
      <c r="U89" s="110">
        <f t="shared" si="65"/>
        <v>229</v>
      </c>
      <c r="V89" s="110">
        <f t="shared" si="66"/>
        <v>229</v>
      </c>
      <c r="W89" s="111">
        <v>1</v>
      </c>
      <c r="X89" s="110">
        <f t="shared" si="67"/>
        <v>229</v>
      </c>
      <c r="Y89" s="110">
        <f t="shared" si="68"/>
        <v>229</v>
      </c>
      <c r="Z89" s="110">
        <f t="shared" si="69"/>
        <v>0</v>
      </c>
      <c r="AA89" s="110">
        <f t="shared" si="70"/>
        <v>99.166666666666671</v>
      </c>
      <c r="AB89" s="110">
        <f t="shared" si="71"/>
        <v>119</v>
      </c>
      <c r="AC89" s="110">
        <f t="shared" si="72"/>
        <v>104.16666666666667</v>
      </c>
      <c r="AD89" s="110">
        <f t="shared" si="73"/>
        <v>118</v>
      </c>
      <c r="AE89" s="110">
        <f t="shared" si="74"/>
        <v>-8.3333333333333329E-2</v>
      </c>
      <c r="AF89" s="110">
        <f t="shared" si="78"/>
        <v>0</v>
      </c>
      <c r="AG89" s="106"/>
      <c r="AH89" s="106"/>
      <c r="AI89" s="107"/>
    </row>
    <row r="90" spans="2:35">
      <c r="B90" s="104" t="s">
        <v>691</v>
      </c>
      <c r="C90" s="211">
        <v>2001</v>
      </c>
      <c r="D90" s="104">
        <f t="shared" si="60"/>
        <v>101</v>
      </c>
      <c r="E90" s="104">
        <v>10</v>
      </c>
      <c r="F90" s="113">
        <v>0</v>
      </c>
      <c r="G90" s="112" t="s">
        <v>214</v>
      </c>
      <c r="H90" s="104">
        <v>7</v>
      </c>
      <c r="I90" s="104">
        <f t="shared" si="61"/>
        <v>108</v>
      </c>
      <c r="L90" s="110">
        <v>1347</v>
      </c>
      <c r="M90" s="110">
        <v>0</v>
      </c>
      <c r="N90" s="110">
        <f t="shared" si="75"/>
        <v>1347</v>
      </c>
      <c r="O90" s="110">
        <f t="shared" si="76"/>
        <v>16.035714285714285</v>
      </c>
      <c r="P90" s="110">
        <f t="shared" si="62"/>
        <v>0</v>
      </c>
      <c r="Q90" s="110">
        <f t="shared" si="63"/>
        <v>0</v>
      </c>
      <c r="R90" s="110">
        <f t="shared" si="64"/>
        <v>0</v>
      </c>
      <c r="S90" s="111">
        <v>1</v>
      </c>
      <c r="T90" s="110">
        <f t="shared" si="77"/>
        <v>0</v>
      </c>
      <c r="U90" s="110">
        <f t="shared" si="65"/>
        <v>1347</v>
      </c>
      <c r="V90" s="110">
        <f t="shared" si="66"/>
        <v>1347</v>
      </c>
      <c r="W90" s="111">
        <v>1</v>
      </c>
      <c r="X90" s="110">
        <f t="shared" si="67"/>
        <v>1347</v>
      </c>
      <c r="Y90" s="110">
        <f t="shared" si="68"/>
        <v>1347</v>
      </c>
      <c r="Z90" s="110">
        <f t="shared" si="69"/>
        <v>0</v>
      </c>
      <c r="AA90" s="110">
        <f t="shared" si="70"/>
        <v>101.75</v>
      </c>
      <c r="AB90" s="110">
        <f t="shared" si="71"/>
        <v>119</v>
      </c>
      <c r="AC90" s="110">
        <f t="shared" si="72"/>
        <v>108.75</v>
      </c>
      <c r="AD90" s="110">
        <f t="shared" si="73"/>
        <v>118</v>
      </c>
      <c r="AE90" s="110">
        <f t="shared" si="74"/>
        <v>-8.3333333333333329E-2</v>
      </c>
      <c r="AF90" s="110">
        <f t="shared" si="78"/>
        <v>0</v>
      </c>
      <c r="AG90" s="106"/>
      <c r="AH90" s="106"/>
      <c r="AI90" s="107"/>
    </row>
    <row r="91" spans="2:35">
      <c r="B91" s="104" t="s">
        <v>174</v>
      </c>
      <c r="C91" s="211">
        <v>2003</v>
      </c>
      <c r="D91" s="104">
        <f t="shared" si="60"/>
        <v>103</v>
      </c>
      <c r="E91" s="104">
        <v>6</v>
      </c>
      <c r="F91" s="113">
        <v>0</v>
      </c>
      <c r="G91" s="112" t="s">
        <v>214</v>
      </c>
      <c r="H91" s="104">
        <v>5</v>
      </c>
      <c r="I91" s="104">
        <f t="shared" si="61"/>
        <v>108</v>
      </c>
      <c r="L91" s="110">
        <v>6570</v>
      </c>
      <c r="M91" s="110">
        <v>0</v>
      </c>
      <c r="N91" s="110">
        <f t="shared" si="75"/>
        <v>6570</v>
      </c>
      <c r="O91" s="110">
        <f t="shared" si="76"/>
        <v>109.5</v>
      </c>
      <c r="P91" s="110">
        <f t="shared" si="62"/>
        <v>0</v>
      </c>
      <c r="Q91" s="110">
        <f t="shared" si="63"/>
        <v>0</v>
      </c>
      <c r="R91" s="110">
        <f t="shared" si="64"/>
        <v>0</v>
      </c>
      <c r="S91" s="111">
        <v>1</v>
      </c>
      <c r="T91" s="110">
        <f t="shared" si="77"/>
        <v>0</v>
      </c>
      <c r="U91" s="110">
        <f t="shared" si="65"/>
        <v>6570</v>
      </c>
      <c r="V91" s="110">
        <f t="shared" si="66"/>
        <v>6570</v>
      </c>
      <c r="W91" s="111">
        <v>1</v>
      </c>
      <c r="X91" s="110">
        <f t="shared" si="67"/>
        <v>6570</v>
      </c>
      <c r="Y91" s="110">
        <f t="shared" si="68"/>
        <v>6570</v>
      </c>
      <c r="Z91" s="110">
        <f t="shared" si="69"/>
        <v>0</v>
      </c>
      <c r="AA91" s="110">
        <f t="shared" si="70"/>
        <v>103.41666666666667</v>
      </c>
      <c r="AB91" s="110">
        <f t="shared" si="71"/>
        <v>119</v>
      </c>
      <c r="AC91" s="110">
        <f t="shared" si="72"/>
        <v>108.41666666666667</v>
      </c>
      <c r="AD91" s="110">
        <f t="shared" si="73"/>
        <v>118</v>
      </c>
      <c r="AE91" s="110">
        <f t="shared" si="74"/>
        <v>-8.3333333333333329E-2</v>
      </c>
      <c r="AF91" s="110">
        <f t="shared" si="78"/>
        <v>0</v>
      </c>
      <c r="AG91" s="106"/>
      <c r="AH91" s="106"/>
      <c r="AI91" s="107"/>
    </row>
    <row r="92" spans="2:35">
      <c r="B92" s="104" t="s">
        <v>692</v>
      </c>
      <c r="C92" s="211">
        <v>2006</v>
      </c>
      <c r="D92" s="104">
        <f t="shared" si="60"/>
        <v>106</v>
      </c>
      <c r="E92" s="104">
        <v>8</v>
      </c>
      <c r="F92" s="113">
        <v>0</v>
      </c>
      <c r="G92" s="112" t="s">
        <v>214</v>
      </c>
      <c r="H92" s="104">
        <v>5</v>
      </c>
      <c r="I92" s="104">
        <f t="shared" si="61"/>
        <v>111</v>
      </c>
      <c r="L92" s="110">
        <v>1775</v>
      </c>
      <c r="M92" s="110">
        <v>0</v>
      </c>
      <c r="N92" s="110">
        <f t="shared" si="75"/>
        <v>1775</v>
      </c>
      <c r="O92" s="110">
        <f t="shared" si="76"/>
        <v>29.583333333333332</v>
      </c>
      <c r="P92" s="110">
        <f t="shared" si="62"/>
        <v>0</v>
      </c>
      <c r="Q92" s="110">
        <f t="shared" si="63"/>
        <v>0</v>
      </c>
      <c r="R92" s="110">
        <f t="shared" si="64"/>
        <v>0</v>
      </c>
      <c r="S92" s="111">
        <v>1</v>
      </c>
      <c r="T92" s="110">
        <f t="shared" si="77"/>
        <v>0</v>
      </c>
      <c r="U92" s="110">
        <f t="shared" si="65"/>
        <v>1775</v>
      </c>
      <c r="V92" s="110">
        <f t="shared" si="66"/>
        <v>1775</v>
      </c>
      <c r="W92" s="111">
        <v>1</v>
      </c>
      <c r="X92" s="110">
        <f t="shared" si="67"/>
        <v>1775</v>
      </c>
      <c r="Y92" s="110">
        <f t="shared" si="68"/>
        <v>1775</v>
      </c>
      <c r="Z92" s="110">
        <f t="shared" si="69"/>
        <v>0</v>
      </c>
      <c r="AA92" s="110">
        <f t="shared" si="70"/>
        <v>106.58333333333333</v>
      </c>
      <c r="AB92" s="110">
        <f t="shared" si="71"/>
        <v>119</v>
      </c>
      <c r="AC92" s="110">
        <f t="shared" si="72"/>
        <v>111.58333333333333</v>
      </c>
      <c r="AD92" s="110">
        <f t="shared" si="73"/>
        <v>118</v>
      </c>
      <c r="AE92" s="110">
        <f t="shared" si="74"/>
        <v>-8.3333333333333329E-2</v>
      </c>
      <c r="AF92" s="110">
        <f t="shared" si="78"/>
        <v>0</v>
      </c>
      <c r="AG92" s="106"/>
      <c r="AH92" s="106"/>
      <c r="AI92" s="107"/>
    </row>
    <row r="93" spans="2:35">
      <c r="B93" s="104" t="s">
        <v>692</v>
      </c>
      <c r="C93" s="211">
        <v>2006</v>
      </c>
      <c r="D93" s="104">
        <f t="shared" si="60"/>
        <v>106</v>
      </c>
      <c r="E93" s="104">
        <v>10</v>
      </c>
      <c r="F93" s="113">
        <v>0</v>
      </c>
      <c r="G93" s="112" t="s">
        <v>214</v>
      </c>
      <c r="H93" s="104">
        <v>5</v>
      </c>
      <c r="I93" s="104">
        <f t="shared" si="61"/>
        <v>111</v>
      </c>
      <c r="L93" s="110">
        <v>1890</v>
      </c>
      <c r="M93" s="110">
        <v>0</v>
      </c>
      <c r="N93" s="110">
        <f t="shared" si="75"/>
        <v>1890</v>
      </c>
      <c r="O93" s="110">
        <f t="shared" si="76"/>
        <v>31.5</v>
      </c>
      <c r="P93" s="110">
        <f t="shared" si="62"/>
        <v>0</v>
      </c>
      <c r="Q93" s="110">
        <f t="shared" si="63"/>
        <v>0</v>
      </c>
      <c r="R93" s="110">
        <f t="shared" si="64"/>
        <v>0</v>
      </c>
      <c r="S93" s="111">
        <v>1</v>
      </c>
      <c r="T93" s="110">
        <f t="shared" si="77"/>
        <v>0</v>
      </c>
      <c r="U93" s="110">
        <f t="shared" si="65"/>
        <v>1890</v>
      </c>
      <c r="V93" s="110">
        <f t="shared" si="66"/>
        <v>1890</v>
      </c>
      <c r="W93" s="111">
        <v>1</v>
      </c>
      <c r="X93" s="110">
        <f t="shared" si="67"/>
        <v>1890</v>
      </c>
      <c r="Y93" s="110">
        <f t="shared" si="68"/>
        <v>1890</v>
      </c>
      <c r="Z93" s="110">
        <f t="shared" si="69"/>
        <v>0</v>
      </c>
      <c r="AA93" s="110">
        <f t="shared" si="70"/>
        <v>106.75</v>
      </c>
      <c r="AB93" s="110">
        <f t="shared" si="71"/>
        <v>119</v>
      </c>
      <c r="AC93" s="110">
        <f t="shared" si="72"/>
        <v>111.75</v>
      </c>
      <c r="AD93" s="110">
        <f t="shared" si="73"/>
        <v>118</v>
      </c>
      <c r="AE93" s="110">
        <f t="shared" si="74"/>
        <v>-8.3333333333333329E-2</v>
      </c>
      <c r="AF93" s="110">
        <f t="shared" si="78"/>
        <v>0</v>
      </c>
      <c r="AG93" s="106"/>
      <c r="AH93" s="106"/>
      <c r="AI93" s="107"/>
    </row>
    <row r="94" spans="2:35">
      <c r="B94" s="104" t="s">
        <v>693</v>
      </c>
      <c r="C94" s="211">
        <v>1998</v>
      </c>
      <c r="D94" s="104">
        <f t="shared" si="60"/>
        <v>98</v>
      </c>
      <c r="E94" s="104">
        <v>4</v>
      </c>
      <c r="F94" s="113">
        <v>0</v>
      </c>
      <c r="G94" s="112" t="s">
        <v>214</v>
      </c>
      <c r="H94" s="104">
        <v>15</v>
      </c>
      <c r="I94" s="104">
        <f t="shared" si="61"/>
        <v>113</v>
      </c>
      <c r="L94" s="110">
        <v>5856</v>
      </c>
      <c r="M94" s="110">
        <v>0</v>
      </c>
      <c r="N94" s="110">
        <f t="shared" si="75"/>
        <v>5856</v>
      </c>
      <c r="O94" s="110">
        <f t="shared" si="76"/>
        <v>32.533333333333331</v>
      </c>
      <c r="P94" s="110">
        <f t="shared" si="62"/>
        <v>0</v>
      </c>
      <c r="Q94" s="110">
        <f t="shared" si="63"/>
        <v>0</v>
      </c>
      <c r="R94" s="110">
        <f t="shared" si="64"/>
        <v>0</v>
      </c>
      <c r="S94" s="111">
        <v>1</v>
      </c>
      <c r="T94" s="110">
        <f t="shared" si="77"/>
        <v>0</v>
      </c>
      <c r="U94" s="110">
        <f t="shared" si="65"/>
        <v>5856</v>
      </c>
      <c r="V94" s="110">
        <f t="shared" si="66"/>
        <v>5856</v>
      </c>
      <c r="W94" s="111">
        <v>1</v>
      </c>
      <c r="X94" s="110">
        <f t="shared" si="67"/>
        <v>5856</v>
      </c>
      <c r="Y94" s="110">
        <f t="shared" si="68"/>
        <v>5856</v>
      </c>
      <c r="Z94" s="110">
        <f>L94-((+X94+Y94)/2)</f>
        <v>0</v>
      </c>
      <c r="AA94" s="110">
        <f t="shared" si="70"/>
        <v>98.25</v>
      </c>
      <c r="AB94" s="110">
        <f t="shared" si="71"/>
        <v>119</v>
      </c>
      <c r="AC94" s="110">
        <f t="shared" si="72"/>
        <v>113.25</v>
      </c>
      <c r="AD94" s="110">
        <f t="shared" si="73"/>
        <v>118</v>
      </c>
      <c r="AE94" s="110">
        <f t="shared" si="74"/>
        <v>-8.3333333333333329E-2</v>
      </c>
      <c r="AF94" s="110">
        <f t="shared" si="78"/>
        <v>0</v>
      </c>
      <c r="AG94" s="106"/>
      <c r="AH94" s="106"/>
      <c r="AI94" s="107"/>
    </row>
    <row r="95" spans="2:35">
      <c r="B95" s="104" t="s">
        <v>694</v>
      </c>
      <c r="C95" s="211">
        <v>1998</v>
      </c>
      <c r="D95" s="104">
        <f t="shared" si="60"/>
        <v>98</v>
      </c>
      <c r="E95" s="104">
        <v>5</v>
      </c>
      <c r="F95" s="113">
        <v>0</v>
      </c>
      <c r="G95" s="112" t="s">
        <v>214</v>
      </c>
      <c r="H95" s="104">
        <v>7</v>
      </c>
      <c r="I95" s="104">
        <f t="shared" si="61"/>
        <v>105</v>
      </c>
      <c r="L95" s="110">
        <v>5644</v>
      </c>
      <c r="M95" s="110">
        <v>0</v>
      </c>
      <c r="N95" s="110">
        <f t="shared" si="75"/>
        <v>5644</v>
      </c>
      <c r="O95" s="110">
        <f t="shared" si="76"/>
        <v>67.19047619047619</v>
      </c>
      <c r="P95" s="110">
        <f t="shared" si="62"/>
        <v>0</v>
      </c>
      <c r="Q95" s="110">
        <f t="shared" si="63"/>
        <v>0</v>
      </c>
      <c r="R95" s="110">
        <f t="shared" si="64"/>
        <v>0</v>
      </c>
      <c r="S95" s="111">
        <v>1</v>
      </c>
      <c r="T95" s="110">
        <f t="shared" si="77"/>
        <v>0</v>
      </c>
      <c r="U95" s="110">
        <f t="shared" si="65"/>
        <v>5644</v>
      </c>
      <c r="V95" s="110">
        <f t="shared" si="66"/>
        <v>5644</v>
      </c>
      <c r="W95" s="111">
        <v>1</v>
      </c>
      <c r="X95" s="110">
        <f t="shared" si="67"/>
        <v>5644</v>
      </c>
      <c r="Y95" s="110">
        <f t="shared" si="68"/>
        <v>5644</v>
      </c>
      <c r="Z95" s="110">
        <f t="shared" ref="Z95:Z101" si="79">L95-((+X95+Y95)/2)</f>
        <v>0</v>
      </c>
      <c r="AA95" s="110">
        <f t="shared" si="70"/>
        <v>98.333333333333329</v>
      </c>
      <c r="AB95" s="110">
        <f t="shared" si="71"/>
        <v>119</v>
      </c>
      <c r="AC95" s="110">
        <f t="shared" si="72"/>
        <v>105.33333333333333</v>
      </c>
      <c r="AD95" s="110">
        <f t="shared" si="73"/>
        <v>118</v>
      </c>
      <c r="AE95" s="110">
        <f t="shared" si="74"/>
        <v>-8.3333333333333329E-2</v>
      </c>
      <c r="AF95" s="110">
        <f t="shared" si="78"/>
        <v>0</v>
      </c>
      <c r="AG95" s="106"/>
      <c r="AH95" s="106"/>
      <c r="AI95" s="107"/>
    </row>
    <row r="96" spans="2:35">
      <c r="B96" s="104" t="s">
        <v>695</v>
      </c>
      <c r="C96" s="211">
        <v>2009</v>
      </c>
      <c r="D96" s="104">
        <f t="shared" si="60"/>
        <v>109</v>
      </c>
      <c r="E96" s="104">
        <v>2</v>
      </c>
      <c r="F96" s="113">
        <v>0</v>
      </c>
      <c r="G96" s="112" t="s">
        <v>214</v>
      </c>
      <c r="H96" s="104">
        <v>5</v>
      </c>
      <c r="I96" s="104">
        <f t="shared" si="61"/>
        <v>114</v>
      </c>
      <c r="L96" s="110">
        <v>1295</v>
      </c>
      <c r="M96" s="110">
        <v>0</v>
      </c>
      <c r="N96" s="110">
        <f t="shared" si="75"/>
        <v>1295</v>
      </c>
      <c r="O96" s="110">
        <f t="shared" si="76"/>
        <v>21.583333333333332</v>
      </c>
      <c r="P96" s="110">
        <f t="shared" si="62"/>
        <v>0</v>
      </c>
      <c r="Q96" s="110">
        <f t="shared" si="63"/>
        <v>0</v>
      </c>
      <c r="R96" s="110">
        <f t="shared" si="64"/>
        <v>0</v>
      </c>
      <c r="S96" s="111">
        <v>1</v>
      </c>
      <c r="T96" s="110">
        <f t="shared" si="77"/>
        <v>0</v>
      </c>
      <c r="U96" s="110">
        <f t="shared" si="65"/>
        <v>1295</v>
      </c>
      <c r="V96" s="110">
        <f t="shared" si="66"/>
        <v>1295</v>
      </c>
      <c r="W96" s="111">
        <v>1</v>
      </c>
      <c r="X96" s="110">
        <f t="shared" si="67"/>
        <v>1295</v>
      </c>
      <c r="Y96" s="110">
        <f t="shared" si="68"/>
        <v>1295</v>
      </c>
      <c r="Z96" s="110">
        <f t="shared" si="79"/>
        <v>0</v>
      </c>
      <c r="AA96" s="110">
        <f t="shared" si="70"/>
        <v>109.08333333333333</v>
      </c>
      <c r="AB96" s="110">
        <f t="shared" si="71"/>
        <v>119</v>
      </c>
      <c r="AC96" s="110">
        <f t="shared" si="72"/>
        <v>114.08333333333333</v>
      </c>
      <c r="AD96" s="110">
        <f t="shared" si="73"/>
        <v>118</v>
      </c>
      <c r="AE96" s="110">
        <f t="shared" si="74"/>
        <v>-8.3333333333333329E-2</v>
      </c>
      <c r="AF96" s="110">
        <f t="shared" si="78"/>
        <v>0</v>
      </c>
      <c r="AG96" s="106"/>
      <c r="AH96" s="106"/>
      <c r="AI96" s="107"/>
    </row>
    <row r="97" spans="2:35">
      <c r="B97" s="104" t="s">
        <v>696</v>
      </c>
      <c r="C97" s="211">
        <v>2011</v>
      </c>
      <c r="D97" s="104">
        <f t="shared" si="60"/>
        <v>111</v>
      </c>
      <c r="E97" s="104">
        <v>5</v>
      </c>
      <c r="F97" s="113">
        <v>0</v>
      </c>
      <c r="G97" s="112" t="s">
        <v>214</v>
      </c>
      <c r="H97" s="104">
        <v>5</v>
      </c>
      <c r="I97" s="104">
        <f t="shared" si="61"/>
        <v>116</v>
      </c>
      <c r="L97" s="110">
        <v>4405</v>
      </c>
      <c r="M97" s="110">
        <v>0</v>
      </c>
      <c r="N97" s="110">
        <f t="shared" si="75"/>
        <v>4405</v>
      </c>
      <c r="O97" s="110">
        <f t="shared" si="76"/>
        <v>73.416666666666671</v>
      </c>
      <c r="P97" s="110">
        <f t="shared" si="62"/>
        <v>0</v>
      </c>
      <c r="Q97" s="110">
        <f t="shared" si="63"/>
        <v>0</v>
      </c>
      <c r="R97" s="110">
        <f t="shared" si="64"/>
        <v>0</v>
      </c>
      <c r="S97" s="111">
        <v>1</v>
      </c>
      <c r="T97" s="110">
        <f t="shared" si="77"/>
        <v>0</v>
      </c>
      <c r="U97" s="110">
        <f t="shared" si="65"/>
        <v>4405</v>
      </c>
      <c r="V97" s="110">
        <f t="shared" si="66"/>
        <v>4405</v>
      </c>
      <c r="W97" s="111">
        <v>1</v>
      </c>
      <c r="X97" s="110">
        <f t="shared" si="67"/>
        <v>4405</v>
      </c>
      <c r="Y97" s="110">
        <f t="shared" si="68"/>
        <v>4405</v>
      </c>
      <c r="Z97" s="110">
        <f t="shared" si="79"/>
        <v>0</v>
      </c>
      <c r="AA97" s="110">
        <f t="shared" si="70"/>
        <v>111.33333333333333</v>
      </c>
      <c r="AB97" s="110">
        <f t="shared" si="71"/>
        <v>119</v>
      </c>
      <c r="AC97" s="110">
        <f t="shared" si="72"/>
        <v>116.33333333333333</v>
      </c>
      <c r="AD97" s="110">
        <f t="shared" si="73"/>
        <v>118</v>
      </c>
      <c r="AE97" s="110">
        <f t="shared" si="74"/>
        <v>-8.3333333333333329E-2</v>
      </c>
      <c r="AF97" s="110">
        <f>L97-((X97+Y97)/2)-Z97</f>
        <v>0</v>
      </c>
      <c r="AG97" s="106"/>
      <c r="AH97" s="106"/>
      <c r="AI97" s="107"/>
    </row>
    <row r="98" spans="2:35">
      <c r="B98" s="104" t="s">
        <v>697</v>
      </c>
      <c r="C98" s="211">
        <v>2012</v>
      </c>
      <c r="D98" s="104">
        <f t="shared" si="60"/>
        <v>112</v>
      </c>
      <c r="E98" s="104">
        <v>7</v>
      </c>
      <c r="F98" s="113">
        <v>0</v>
      </c>
      <c r="G98" s="112" t="s">
        <v>214</v>
      </c>
      <c r="H98" s="104">
        <v>5</v>
      </c>
      <c r="I98" s="104">
        <f t="shared" si="61"/>
        <v>117</v>
      </c>
      <c r="L98" s="110">
        <v>1831</v>
      </c>
      <c r="M98" s="110">
        <v>0</v>
      </c>
      <c r="N98" s="110">
        <f t="shared" si="75"/>
        <v>1831</v>
      </c>
      <c r="O98" s="110">
        <f t="shared" si="76"/>
        <v>30.516666666666666</v>
      </c>
      <c r="P98" s="110">
        <f t="shared" si="62"/>
        <v>0</v>
      </c>
      <c r="Q98" s="110">
        <f t="shared" si="63"/>
        <v>0</v>
      </c>
      <c r="R98" s="110">
        <f t="shared" si="64"/>
        <v>0</v>
      </c>
      <c r="S98" s="111">
        <v>1</v>
      </c>
      <c r="T98" s="110">
        <f t="shared" si="77"/>
        <v>0</v>
      </c>
      <c r="U98" s="110">
        <f t="shared" si="65"/>
        <v>1831</v>
      </c>
      <c r="V98" s="110">
        <f t="shared" si="66"/>
        <v>1831</v>
      </c>
      <c r="W98" s="111">
        <v>1</v>
      </c>
      <c r="X98" s="110">
        <f t="shared" si="67"/>
        <v>1831</v>
      </c>
      <c r="Y98" s="110">
        <f t="shared" si="68"/>
        <v>1831</v>
      </c>
      <c r="Z98" s="110">
        <f t="shared" si="79"/>
        <v>0</v>
      </c>
      <c r="AA98" s="110">
        <f t="shared" si="70"/>
        <v>112.5</v>
      </c>
      <c r="AB98" s="110">
        <f t="shared" si="71"/>
        <v>119</v>
      </c>
      <c r="AC98" s="110">
        <f t="shared" si="72"/>
        <v>117.5</v>
      </c>
      <c r="AD98" s="110">
        <f t="shared" si="73"/>
        <v>118</v>
      </c>
      <c r="AE98" s="110">
        <f t="shared" si="74"/>
        <v>-8.3333333333333329E-2</v>
      </c>
      <c r="AF98" s="110">
        <f t="shared" si="78"/>
        <v>0</v>
      </c>
      <c r="AG98" s="106"/>
      <c r="AH98" s="106"/>
      <c r="AI98" s="107"/>
    </row>
    <row r="99" spans="2:35">
      <c r="B99" s="104" t="s">
        <v>698</v>
      </c>
      <c r="C99" s="211">
        <v>2013</v>
      </c>
      <c r="D99" s="104">
        <f t="shared" si="60"/>
        <v>113</v>
      </c>
      <c r="E99" s="104">
        <v>5</v>
      </c>
      <c r="F99" s="113">
        <v>0</v>
      </c>
      <c r="G99" s="112" t="s">
        <v>214</v>
      </c>
      <c r="H99" s="104">
        <v>5</v>
      </c>
      <c r="I99" s="104">
        <f t="shared" si="61"/>
        <v>118</v>
      </c>
      <c r="L99" s="110">
        <v>2846</v>
      </c>
      <c r="M99" s="110">
        <v>0</v>
      </c>
      <c r="N99" s="110">
        <f t="shared" si="75"/>
        <v>2846</v>
      </c>
      <c r="O99" s="110">
        <f t="shared" si="76"/>
        <v>47.433333333333337</v>
      </c>
      <c r="P99" s="110">
        <f t="shared" si="62"/>
        <v>189.73333333333065</v>
      </c>
      <c r="Q99" s="110">
        <f t="shared" si="63"/>
        <v>0</v>
      </c>
      <c r="R99" s="110">
        <f t="shared" si="64"/>
        <v>189.73333333333065</v>
      </c>
      <c r="S99" s="111">
        <v>1</v>
      </c>
      <c r="T99" s="110">
        <f t="shared" si="77"/>
        <v>189.73333333333065</v>
      </c>
      <c r="U99" s="110">
        <f t="shared" si="65"/>
        <v>2656.2666666666692</v>
      </c>
      <c r="V99" s="110">
        <f t="shared" si="66"/>
        <v>2656.2666666666692</v>
      </c>
      <c r="W99" s="111">
        <v>1</v>
      </c>
      <c r="X99" s="110">
        <f t="shared" si="67"/>
        <v>2656.2666666666692</v>
      </c>
      <c r="Y99" s="110">
        <f t="shared" si="68"/>
        <v>2846</v>
      </c>
      <c r="Z99" s="110">
        <f t="shared" si="79"/>
        <v>94.866666666665424</v>
      </c>
      <c r="AA99" s="110">
        <f t="shared" si="70"/>
        <v>113.33333333333333</v>
      </c>
      <c r="AB99" s="110">
        <f t="shared" si="71"/>
        <v>119</v>
      </c>
      <c r="AC99" s="110">
        <f t="shared" si="72"/>
        <v>118.33333333333333</v>
      </c>
      <c r="AD99" s="110">
        <f t="shared" si="73"/>
        <v>118</v>
      </c>
      <c r="AE99" s="110">
        <f t="shared" si="74"/>
        <v>-8.3333333333333329E-2</v>
      </c>
      <c r="AF99" s="110">
        <f t="shared" si="78"/>
        <v>0</v>
      </c>
      <c r="AG99" s="106"/>
      <c r="AH99" s="106"/>
      <c r="AI99" s="107"/>
    </row>
    <row r="100" spans="2:35">
      <c r="B100" s="104" t="s">
        <v>698</v>
      </c>
      <c r="C100" s="211">
        <v>2013</v>
      </c>
      <c r="D100" s="104">
        <f t="shared" si="60"/>
        <v>113</v>
      </c>
      <c r="E100" s="104">
        <v>8</v>
      </c>
      <c r="F100" s="113">
        <v>0</v>
      </c>
      <c r="G100" s="112" t="s">
        <v>214</v>
      </c>
      <c r="H100" s="104">
        <v>5</v>
      </c>
      <c r="I100" s="104">
        <f t="shared" si="61"/>
        <v>118</v>
      </c>
      <c r="L100" s="110">
        <v>6500</v>
      </c>
      <c r="M100" s="110">
        <v>0</v>
      </c>
      <c r="N100" s="110">
        <f t="shared" si="75"/>
        <v>6500</v>
      </c>
      <c r="O100" s="110">
        <f t="shared" si="76"/>
        <v>108.33333333333333</v>
      </c>
      <c r="P100" s="110">
        <f t="shared" si="62"/>
        <v>758.33333333332712</v>
      </c>
      <c r="Q100" s="110">
        <f t="shared" si="63"/>
        <v>0</v>
      </c>
      <c r="R100" s="110">
        <f t="shared" si="64"/>
        <v>758.33333333332712</v>
      </c>
      <c r="S100" s="111">
        <v>1</v>
      </c>
      <c r="T100" s="110">
        <f t="shared" si="77"/>
        <v>758.33333333332712</v>
      </c>
      <c r="U100" s="110">
        <f t="shared" si="65"/>
        <v>5741.6666666666733</v>
      </c>
      <c r="V100" s="110">
        <f t="shared" si="66"/>
        <v>5741.6666666666733</v>
      </c>
      <c r="W100" s="111">
        <v>1</v>
      </c>
      <c r="X100" s="110">
        <f t="shared" si="67"/>
        <v>5741.6666666666733</v>
      </c>
      <c r="Y100" s="110">
        <f t="shared" si="68"/>
        <v>6500</v>
      </c>
      <c r="Z100" s="110">
        <f t="shared" si="79"/>
        <v>379.16666666666333</v>
      </c>
      <c r="AA100" s="110">
        <f t="shared" si="70"/>
        <v>113.58333333333333</v>
      </c>
      <c r="AB100" s="110">
        <f t="shared" si="71"/>
        <v>119</v>
      </c>
      <c r="AC100" s="110">
        <f t="shared" si="72"/>
        <v>118.58333333333333</v>
      </c>
      <c r="AD100" s="110">
        <f t="shared" si="73"/>
        <v>118</v>
      </c>
      <c r="AE100" s="110">
        <f t="shared" si="74"/>
        <v>-8.3333333333333329E-2</v>
      </c>
      <c r="AF100" s="110">
        <f t="shared" si="78"/>
        <v>0</v>
      </c>
      <c r="AG100" s="106"/>
      <c r="AH100" s="106"/>
      <c r="AI100" s="107"/>
    </row>
    <row r="101" spans="2:35">
      <c r="B101" s="104" t="s">
        <v>698</v>
      </c>
      <c r="C101" s="211">
        <v>2016</v>
      </c>
      <c r="D101" s="104">
        <f t="shared" si="60"/>
        <v>116</v>
      </c>
      <c r="E101" s="104">
        <v>9</v>
      </c>
      <c r="F101" s="113">
        <v>0</v>
      </c>
      <c r="G101" s="112" t="s">
        <v>214</v>
      </c>
      <c r="H101" s="104">
        <v>5</v>
      </c>
      <c r="I101" s="104">
        <f t="shared" si="61"/>
        <v>121</v>
      </c>
      <c r="L101" s="110">
        <v>7526</v>
      </c>
      <c r="M101" s="110">
        <v>0</v>
      </c>
      <c r="N101" s="110">
        <f t="shared" si="75"/>
        <v>7526</v>
      </c>
      <c r="O101" s="110">
        <f t="shared" si="76"/>
        <v>125.43333333333334</v>
      </c>
      <c r="P101" s="110">
        <f t="shared" si="62"/>
        <v>1505.2</v>
      </c>
      <c r="Q101" s="110">
        <f t="shared" si="63"/>
        <v>0</v>
      </c>
      <c r="R101" s="110">
        <f t="shared" si="64"/>
        <v>1505.2</v>
      </c>
      <c r="S101" s="111">
        <v>1</v>
      </c>
      <c r="T101" s="110">
        <f t="shared" si="77"/>
        <v>1505.2</v>
      </c>
      <c r="U101" s="110">
        <f t="shared" si="65"/>
        <v>2006.9333333333263</v>
      </c>
      <c r="V101" s="110">
        <f t="shared" si="66"/>
        <v>2006.9333333333263</v>
      </c>
      <c r="W101" s="111">
        <v>1</v>
      </c>
      <c r="X101" s="110">
        <f t="shared" si="67"/>
        <v>2006.9333333333263</v>
      </c>
      <c r="Y101" s="110">
        <f t="shared" si="68"/>
        <v>3512.1333333333264</v>
      </c>
      <c r="Z101" s="110">
        <f t="shared" si="79"/>
        <v>4766.4666666666735</v>
      </c>
      <c r="AA101" s="110">
        <f t="shared" si="70"/>
        <v>116.66666666666667</v>
      </c>
      <c r="AB101" s="110">
        <f t="shared" si="71"/>
        <v>119</v>
      </c>
      <c r="AC101" s="110">
        <f t="shared" si="72"/>
        <v>121.66666666666667</v>
      </c>
      <c r="AD101" s="110">
        <f t="shared" si="73"/>
        <v>118</v>
      </c>
      <c r="AE101" s="110">
        <f t="shared" si="74"/>
        <v>-8.3333333333333329E-2</v>
      </c>
      <c r="AF101" s="110">
        <f t="shared" si="78"/>
        <v>0</v>
      </c>
      <c r="AG101" s="106"/>
      <c r="AH101" s="106"/>
      <c r="AI101" s="107"/>
    </row>
    <row r="102" spans="2:35">
      <c r="C102" s="211"/>
      <c r="F102" s="113"/>
      <c r="G102" s="112"/>
      <c r="L102" s="110"/>
      <c r="M102" s="110"/>
      <c r="N102" s="110"/>
      <c r="O102" s="110"/>
      <c r="P102" s="110"/>
      <c r="Q102" s="110"/>
      <c r="R102" s="110"/>
      <c r="S102" s="111"/>
      <c r="T102" s="110"/>
      <c r="U102" s="110"/>
      <c r="V102" s="110"/>
      <c r="W102" s="111"/>
      <c r="X102" s="110"/>
      <c r="Y102" s="110"/>
      <c r="Z102" s="110"/>
      <c r="AA102" s="110"/>
      <c r="AB102" s="110"/>
      <c r="AC102" s="110"/>
      <c r="AD102" s="110"/>
      <c r="AE102" s="110"/>
      <c r="AF102" s="110"/>
      <c r="AG102" s="106"/>
      <c r="AH102" s="106"/>
      <c r="AI102" s="107"/>
    </row>
    <row r="103" spans="2:35">
      <c r="B103" s="117" t="s">
        <v>215</v>
      </c>
      <c r="C103" s="211"/>
      <c r="L103" s="122">
        <f>SUM(L81:L101)</f>
        <v>76984</v>
      </c>
      <c r="M103" s="110"/>
      <c r="N103" s="122">
        <f>SUM(N81:N101)</f>
        <v>76984</v>
      </c>
      <c r="O103" s="122">
        <f>SUM(O81:O101)</f>
        <v>1107.0380952380951</v>
      </c>
      <c r="P103" s="122">
        <f>SUM(P81:P101)</f>
        <v>2453.2666666666578</v>
      </c>
      <c r="Q103" s="122">
        <f>SUM(Q81:Q101)</f>
        <v>0</v>
      </c>
      <c r="R103" s="122">
        <f>SUM(R81:R101)</f>
        <v>2453.2666666666578</v>
      </c>
      <c r="S103" s="110"/>
      <c r="T103" s="122">
        <f>SUM(T81:T101)</f>
        <v>2453.2666666666578</v>
      </c>
      <c r="U103" s="122">
        <f>SUM(U81:U101)</f>
        <v>70516.866666666669</v>
      </c>
      <c r="V103" s="122">
        <f>SUM(V81:V101)</f>
        <v>70516.866666666669</v>
      </c>
      <c r="W103" s="110"/>
      <c r="X103" s="122">
        <f>SUM(X81:X101)</f>
        <v>70516.866666666669</v>
      </c>
      <c r="Y103" s="122">
        <f>SUM(Y81:Y101)</f>
        <v>72970.133333333331</v>
      </c>
      <c r="Z103" s="122">
        <f>SUM(Z81:Z101)</f>
        <v>5240.5000000000018</v>
      </c>
      <c r="AA103" s="110"/>
      <c r="AB103" s="110"/>
      <c r="AC103" s="110"/>
      <c r="AD103" s="110"/>
      <c r="AE103" s="110"/>
      <c r="AF103" s="122">
        <f>SUM(AF81:AF101)</f>
        <v>0</v>
      </c>
      <c r="AG103" s="106"/>
      <c r="AH103" s="106"/>
      <c r="AI103" s="107"/>
    </row>
    <row r="104" spans="2:35">
      <c r="B104" s="121"/>
      <c r="C104" s="211"/>
      <c r="F104" s="113"/>
      <c r="G104" s="112"/>
      <c r="L104" s="110"/>
      <c r="M104" s="110"/>
      <c r="N104" s="110"/>
      <c r="O104" s="110"/>
      <c r="P104" s="110"/>
      <c r="Q104" s="110"/>
      <c r="R104" s="110"/>
      <c r="S104" s="111"/>
      <c r="T104" s="110"/>
      <c r="U104" s="110"/>
      <c r="V104" s="110"/>
      <c r="W104" s="111"/>
      <c r="X104" s="110"/>
      <c r="Y104" s="110"/>
      <c r="Z104" s="110"/>
      <c r="AA104" s="110"/>
      <c r="AB104" s="110"/>
      <c r="AC104" s="110"/>
      <c r="AD104" s="110"/>
      <c r="AE104" s="110"/>
      <c r="AF104" s="110"/>
      <c r="AG104" s="106"/>
      <c r="AH104" s="106"/>
      <c r="AI104" s="107"/>
    </row>
    <row r="105" spans="2:35">
      <c r="B105" s="117" t="s">
        <v>699</v>
      </c>
      <c r="C105" s="211"/>
      <c r="F105" s="113"/>
      <c r="G105" s="112"/>
      <c r="L105" s="118">
        <f>SUM(L103:L104)</f>
        <v>76984</v>
      </c>
      <c r="M105" s="110"/>
      <c r="N105" s="118">
        <f>SUM(N103:N104)</f>
        <v>76984</v>
      </c>
      <c r="O105" s="118">
        <f>SUM(O103:O104)</f>
        <v>1107.0380952380951</v>
      </c>
      <c r="P105" s="118">
        <f>SUM(P103:P104)</f>
        <v>2453.2666666666578</v>
      </c>
      <c r="Q105" s="118">
        <f>SUM(Q103:Q104)</f>
        <v>0</v>
      </c>
      <c r="R105" s="118">
        <f>SUM(R103:R104)</f>
        <v>2453.2666666666578</v>
      </c>
      <c r="S105" s="111"/>
      <c r="T105" s="118">
        <f>SUM(T103:T104)</f>
        <v>2453.2666666666578</v>
      </c>
      <c r="U105" s="118">
        <f>SUM(U103:U104)</f>
        <v>70516.866666666669</v>
      </c>
      <c r="V105" s="118">
        <f>SUM(V103:V104)</f>
        <v>70516.866666666669</v>
      </c>
      <c r="W105" s="110"/>
      <c r="X105" s="118">
        <f>SUM(X103:X104)</f>
        <v>70516.866666666669</v>
      </c>
      <c r="Y105" s="118">
        <f>SUM(Y103:Y104)</f>
        <v>72970.133333333331</v>
      </c>
      <c r="Z105" s="118">
        <f>SUM(Z103:Z104)</f>
        <v>5240.5000000000018</v>
      </c>
      <c r="AA105" s="110"/>
      <c r="AB105" s="110"/>
      <c r="AC105" s="110"/>
      <c r="AD105" s="110"/>
      <c r="AE105" s="110"/>
      <c r="AF105" s="118">
        <f>SUM(AF103:AF104)</f>
        <v>0</v>
      </c>
      <c r="AG105" s="106"/>
      <c r="AH105" s="106"/>
      <c r="AI105" s="107"/>
    </row>
    <row r="106" spans="2:35">
      <c r="C106" s="211"/>
      <c r="L106" s="106"/>
      <c r="M106" s="106"/>
      <c r="N106" s="106"/>
      <c r="O106" s="106"/>
      <c r="P106" s="106"/>
      <c r="Q106" s="106"/>
      <c r="R106" s="106"/>
      <c r="S106" s="105"/>
      <c r="T106" s="106"/>
      <c r="U106" s="106"/>
      <c r="V106" s="106"/>
      <c r="W106" s="105"/>
      <c r="X106" s="106"/>
      <c r="Y106" s="106"/>
      <c r="Z106" s="106"/>
      <c r="AA106" s="110"/>
      <c r="AB106" s="110"/>
      <c r="AC106" s="110"/>
      <c r="AD106" s="110"/>
      <c r="AE106" s="110"/>
      <c r="AF106" s="106"/>
      <c r="AG106" s="106"/>
      <c r="AH106" s="106"/>
      <c r="AI106" s="107"/>
    </row>
    <row r="107" spans="2:35" ht="16.5" thickBot="1">
      <c r="B107" s="109" t="s">
        <v>700</v>
      </c>
      <c r="C107" s="211"/>
      <c r="H107" s="493"/>
      <c r="K107" s="487" t="s">
        <v>258</v>
      </c>
      <c r="L107" s="108">
        <f>+L105</f>
        <v>76984</v>
      </c>
      <c r="M107" s="110"/>
      <c r="N107" s="108">
        <f>+N105</f>
        <v>76984</v>
      </c>
      <c r="O107" s="108">
        <f t="shared" ref="O107:Z107" si="80">+O105</f>
        <v>1107.0380952380951</v>
      </c>
      <c r="P107" s="108">
        <f t="shared" si="80"/>
        <v>2453.2666666666578</v>
      </c>
      <c r="Q107" s="108"/>
      <c r="R107" s="108">
        <f t="shared" si="80"/>
        <v>2453.2666666666578</v>
      </c>
      <c r="S107" s="105"/>
      <c r="T107" s="108">
        <f t="shared" si="80"/>
        <v>2453.2666666666578</v>
      </c>
      <c r="U107" s="108">
        <f t="shared" si="80"/>
        <v>70516.866666666669</v>
      </c>
      <c r="V107" s="108">
        <f t="shared" si="80"/>
        <v>70516.866666666669</v>
      </c>
      <c r="W107" s="105"/>
      <c r="X107" s="108">
        <f t="shared" si="80"/>
        <v>70516.866666666669</v>
      </c>
      <c r="Y107" s="108">
        <f t="shared" si="80"/>
        <v>72970.133333333331</v>
      </c>
      <c r="Z107" s="108">
        <f t="shared" si="80"/>
        <v>5240.5000000000018</v>
      </c>
      <c r="AA107" s="110"/>
      <c r="AB107" s="110"/>
      <c r="AC107" s="110"/>
      <c r="AD107" s="110"/>
      <c r="AE107" s="110"/>
      <c r="AF107" s="108">
        <f t="shared" ref="AF107" si="81">+AF105</f>
        <v>0</v>
      </c>
      <c r="AG107" s="106"/>
      <c r="AH107" s="106"/>
      <c r="AI107" s="107"/>
    </row>
    <row r="108" spans="2:35" ht="16.5" thickTop="1">
      <c r="B108" s="109"/>
      <c r="C108" s="211"/>
      <c r="M108" s="110"/>
      <c r="N108" s="115"/>
      <c r="O108" s="115"/>
      <c r="P108" s="115"/>
      <c r="Q108" s="110"/>
      <c r="R108" s="115"/>
      <c r="S108" s="105"/>
      <c r="T108" s="115"/>
      <c r="U108" s="115"/>
      <c r="V108" s="115"/>
      <c r="W108" s="105"/>
      <c r="X108" s="115"/>
      <c r="Y108" s="115"/>
      <c r="Z108" s="115"/>
      <c r="AA108" s="110"/>
      <c r="AB108" s="110"/>
      <c r="AC108" s="110"/>
      <c r="AD108" s="110"/>
      <c r="AE108" s="110"/>
      <c r="AF108" s="110"/>
      <c r="AG108" s="106"/>
      <c r="AH108" s="106"/>
      <c r="AI108" s="107"/>
    </row>
    <row r="109" spans="2:35">
      <c r="B109" s="117"/>
      <c r="C109" s="211"/>
      <c r="L109" s="738"/>
      <c r="M109" s="739"/>
      <c r="N109" s="106"/>
      <c r="O109" s="106"/>
      <c r="P109" s="106"/>
      <c r="Q109" s="106"/>
      <c r="R109" s="106"/>
      <c r="S109" s="105"/>
      <c r="T109" s="106"/>
      <c r="U109" s="106"/>
      <c r="V109" s="106"/>
      <c r="W109" s="105"/>
      <c r="X109" s="106"/>
      <c r="Y109" s="106"/>
      <c r="Z109" s="115"/>
      <c r="AA109" s="106"/>
      <c r="AB109" s="106"/>
      <c r="AC109" s="106"/>
      <c r="AD109" s="106"/>
      <c r="AE109" s="106"/>
      <c r="AF109" s="106"/>
      <c r="AG109" s="106"/>
      <c r="AH109" s="106"/>
      <c r="AI109" s="107"/>
    </row>
    <row r="110" spans="2:35">
      <c r="B110" s="109" t="s">
        <v>701</v>
      </c>
      <c r="C110" s="210"/>
      <c r="L110" s="107"/>
      <c r="M110" s="107"/>
      <c r="N110" s="107"/>
      <c r="O110" s="107"/>
      <c r="P110" s="107"/>
      <c r="Q110" s="107"/>
      <c r="R110" s="107"/>
      <c r="T110" s="107"/>
      <c r="U110" s="107"/>
      <c r="V110" s="107"/>
      <c r="X110" s="107"/>
      <c r="Y110" s="107"/>
      <c r="Z110" s="107"/>
      <c r="AA110" s="107"/>
      <c r="AB110" s="107"/>
      <c r="AC110" s="107"/>
      <c r="AD110" s="107"/>
      <c r="AE110" s="107"/>
      <c r="AF110" s="107"/>
      <c r="AG110" s="107"/>
      <c r="AH110" s="107"/>
      <c r="AI110" s="107"/>
    </row>
    <row r="111" spans="2:35">
      <c r="B111" s="104" t="s">
        <v>702</v>
      </c>
      <c r="C111" s="210">
        <v>1991</v>
      </c>
      <c r="D111" s="104">
        <f t="shared" ref="D111:D174" si="82">+C111-1900</f>
        <v>91</v>
      </c>
      <c r="E111" s="104">
        <v>1</v>
      </c>
      <c r="F111" s="113">
        <v>0</v>
      </c>
      <c r="G111" s="112" t="s">
        <v>214</v>
      </c>
      <c r="H111" s="104">
        <v>10</v>
      </c>
      <c r="I111" s="104">
        <f t="shared" ref="I111:I174" si="83">D111+H111</f>
        <v>101</v>
      </c>
      <c r="L111" s="107">
        <v>4714</v>
      </c>
      <c r="M111" s="106">
        <v>0</v>
      </c>
      <c r="N111" s="969">
        <f t="shared" ref="N111:N142" si="84">L111-(+L111*F111)</f>
        <v>4714</v>
      </c>
      <c r="O111" s="969">
        <f t="shared" ref="O111:O142" si="85">N111/H111/12</f>
        <v>39.283333333333331</v>
      </c>
      <c r="P111" s="969">
        <f t="shared" ref="P111:P142" si="86">IF(Q111&gt;0,0,IF(OR(AA111&gt;AB111,AC111&lt;AD111),0,IF(AND(AC111&gt;=AD111,AC111&lt;=AB111),O111*((AC111-AD111)*12),IF(AND(AD111&lt;=AA111,AB111&gt;=AA111),((AB111-AA111)*12)*O111,IF(AC111&gt;AB111,12*O111,0)))))</f>
        <v>0</v>
      </c>
      <c r="Q111" s="106">
        <f t="shared" ref="Q111:Q142" si="87">IF(M111=0,0,IF(AND(AE111&gt;=AD111,AE111&lt;=AC111),((AE111-AD111)*12)*O111,0))</f>
        <v>0</v>
      </c>
      <c r="R111" s="969">
        <f t="shared" ref="R111:R142" si="88">IF(Q111&gt;0,Q111,P111)</f>
        <v>0</v>
      </c>
      <c r="S111" s="114">
        <v>1</v>
      </c>
      <c r="T111" s="106">
        <f t="shared" ref="T111:T142" si="89">S111*SUM(P111:Q111)</f>
        <v>0</v>
      </c>
      <c r="U111" s="969">
        <f t="shared" ref="U111:U142" si="90">IF(AA111&gt;AB111,0,IF(AC111&lt;AD111,N111,IF(AND(AC111&gt;=AD111,AC111&lt;=AB111),(N111-R111),IF(AND(AD111&lt;=AA111,AB111&gt;=AA111),0,IF(AC111&gt;AB111,((AD111-AA111)*12)*O111,0)))))</f>
        <v>4714</v>
      </c>
      <c r="V111" s="969">
        <f t="shared" ref="V111:V142" si="91">U111*S111</f>
        <v>4714</v>
      </c>
      <c r="W111" s="114">
        <v>1</v>
      </c>
      <c r="X111" s="969">
        <f t="shared" ref="X111:X142" si="92">V111*W111</f>
        <v>4714</v>
      </c>
      <c r="Y111" s="969">
        <f t="shared" ref="Y111:Y142" si="93">IF(M111&gt;0,0,X111+T111*W111)*W111</f>
        <v>4714</v>
      </c>
      <c r="Z111" s="110">
        <f t="shared" ref="Z111:Z142" si="94">IF(M111&gt;0,(L111-X111)/2,IF(AA111&gt;=AD111,(((L111*S111)*W111)-Y111)/2,((((L111*S111)*W111)-X111)+(((L111*S111)*W111)-Y111))/2))</f>
        <v>0</v>
      </c>
      <c r="AA111" s="106">
        <f t="shared" ref="AA111:AA142" si="95">$D111+(($E111-1)/12)</f>
        <v>91</v>
      </c>
      <c r="AB111" s="106">
        <f t="shared" ref="AB111:AB142" si="96">($B$10+1)-($B$7/12)</f>
        <v>119</v>
      </c>
      <c r="AC111" s="106">
        <f t="shared" ref="AC111:AC142" si="97">$I111+(($E111-1)/12)</f>
        <v>101</v>
      </c>
      <c r="AD111" s="106">
        <f t="shared" ref="AD111:AD142" si="98">$B$9+($B$8/12)</f>
        <v>118</v>
      </c>
      <c r="AE111" s="106">
        <f t="shared" ref="AE111:AE142" si="99">$J111+(($K111-1)/12)</f>
        <v>-8.3333333333333329E-2</v>
      </c>
      <c r="AF111" s="106">
        <f t="shared" ref="AF111:AF142" si="100">L111-((X111+Y111)/2)-Z111</f>
        <v>0</v>
      </c>
      <c r="AG111" s="107"/>
      <c r="AH111" s="107"/>
      <c r="AI111" s="107"/>
    </row>
    <row r="112" spans="2:35">
      <c r="B112" s="104" t="s">
        <v>703</v>
      </c>
      <c r="C112" s="210">
        <v>1992</v>
      </c>
      <c r="D112" s="104">
        <f t="shared" si="82"/>
        <v>92</v>
      </c>
      <c r="E112" s="104">
        <v>1</v>
      </c>
      <c r="F112" s="113">
        <v>0</v>
      </c>
      <c r="G112" s="112" t="s">
        <v>214</v>
      </c>
      <c r="H112" s="104">
        <v>7</v>
      </c>
      <c r="I112" s="104">
        <f t="shared" si="83"/>
        <v>99</v>
      </c>
      <c r="J112" s="104">
        <v>118</v>
      </c>
      <c r="K112" s="104">
        <v>1</v>
      </c>
      <c r="L112" s="107">
        <v>1303</v>
      </c>
      <c r="M112" s="106"/>
      <c r="N112" s="969">
        <f t="shared" si="84"/>
        <v>1303</v>
      </c>
      <c r="O112" s="969">
        <f t="shared" si="85"/>
        <v>15.511904761904761</v>
      </c>
      <c r="P112" s="969">
        <f t="shared" si="86"/>
        <v>0</v>
      </c>
      <c r="Q112" s="106">
        <f t="shared" si="87"/>
        <v>0</v>
      </c>
      <c r="R112" s="969">
        <f t="shared" si="88"/>
        <v>0</v>
      </c>
      <c r="S112" s="114">
        <v>1</v>
      </c>
      <c r="T112" s="106">
        <f t="shared" si="89"/>
        <v>0</v>
      </c>
      <c r="U112" s="969">
        <f t="shared" si="90"/>
        <v>1303</v>
      </c>
      <c r="V112" s="969">
        <f t="shared" si="91"/>
        <v>1303</v>
      </c>
      <c r="W112" s="114">
        <v>1</v>
      </c>
      <c r="X112" s="969">
        <f t="shared" si="92"/>
        <v>1303</v>
      </c>
      <c r="Y112" s="969">
        <f t="shared" si="93"/>
        <v>1303</v>
      </c>
      <c r="Z112" s="110">
        <f t="shared" si="94"/>
        <v>0</v>
      </c>
      <c r="AA112" s="106">
        <f t="shared" si="95"/>
        <v>92</v>
      </c>
      <c r="AB112" s="106">
        <f t="shared" si="96"/>
        <v>119</v>
      </c>
      <c r="AC112" s="106">
        <f t="shared" si="97"/>
        <v>99</v>
      </c>
      <c r="AD112" s="106">
        <f t="shared" si="98"/>
        <v>118</v>
      </c>
      <c r="AE112" s="106">
        <f t="shared" si="99"/>
        <v>118</v>
      </c>
      <c r="AF112" s="106">
        <f t="shared" si="100"/>
        <v>0</v>
      </c>
      <c r="AG112" s="107"/>
      <c r="AH112" s="107"/>
      <c r="AI112" s="107"/>
    </row>
    <row r="113" spans="2:35">
      <c r="B113" s="104" t="s">
        <v>704</v>
      </c>
      <c r="C113" s="210">
        <v>1993</v>
      </c>
      <c r="D113" s="104">
        <f t="shared" si="82"/>
        <v>93</v>
      </c>
      <c r="E113" s="104">
        <v>4</v>
      </c>
      <c r="F113" s="113">
        <v>0</v>
      </c>
      <c r="G113" s="112" t="s">
        <v>214</v>
      </c>
      <c r="H113" s="104">
        <v>7</v>
      </c>
      <c r="I113" s="104">
        <f t="shared" si="83"/>
        <v>100</v>
      </c>
      <c r="L113" s="107">
        <v>222</v>
      </c>
      <c r="M113" s="106">
        <v>0</v>
      </c>
      <c r="N113" s="969">
        <f t="shared" si="84"/>
        <v>222</v>
      </c>
      <c r="O113" s="969">
        <f t="shared" si="85"/>
        <v>2.6428571428571428</v>
      </c>
      <c r="P113" s="969">
        <f t="shared" si="86"/>
        <v>0</v>
      </c>
      <c r="Q113" s="106">
        <f t="shared" si="87"/>
        <v>0</v>
      </c>
      <c r="R113" s="969">
        <f t="shared" si="88"/>
        <v>0</v>
      </c>
      <c r="S113" s="114">
        <v>1</v>
      </c>
      <c r="T113" s="106">
        <f t="shared" si="89"/>
        <v>0</v>
      </c>
      <c r="U113" s="969">
        <f t="shared" si="90"/>
        <v>222</v>
      </c>
      <c r="V113" s="969">
        <f t="shared" si="91"/>
        <v>222</v>
      </c>
      <c r="W113" s="114">
        <v>1</v>
      </c>
      <c r="X113" s="969">
        <f t="shared" si="92"/>
        <v>222</v>
      </c>
      <c r="Y113" s="969">
        <f t="shared" si="93"/>
        <v>222</v>
      </c>
      <c r="Z113" s="110">
        <f t="shared" si="94"/>
        <v>0</v>
      </c>
      <c r="AA113" s="106">
        <f t="shared" si="95"/>
        <v>93.25</v>
      </c>
      <c r="AB113" s="106">
        <f t="shared" si="96"/>
        <v>119</v>
      </c>
      <c r="AC113" s="106">
        <f t="shared" si="97"/>
        <v>100.25</v>
      </c>
      <c r="AD113" s="106">
        <f t="shared" si="98"/>
        <v>118</v>
      </c>
      <c r="AE113" s="106">
        <f t="shared" si="99"/>
        <v>-8.3333333333333329E-2</v>
      </c>
      <c r="AF113" s="106">
        <f t="shared" si="100"/>
        <v>0</v>
      </c>
      <c r="AG113" s="107"/>
      <c r="AH113" s="107"/>
      <c r="AI113" s="107"/>
    </row>
    <row r="114" spans="2:35">
      <c r="B114" s="104" t="s">
        <v>705</v>
      </c>
      <c r="C114" s="210">
        <v>1993</v>
      </c>
      <c r="D114" s="104">
        <f t="shared" si="82"/>
        <v>93</v>
      </c>
      <c r="E114" s="104">
        <v>1</v>
      </c>
      <c r="F114" s="113">
        <v>0</v>
      </c>
      <c r="G114" s="112" t="s">
        <v>214</v>
      </c>
      <c r="H114" s="104">
        <v>7</v>
      </c>
      <c r="I114" s="104">
        <f t="shared" si="83"/>
        <v>100</v>
      </c>
      <c r="L114" s="107">
        <v>1951</v>
      </c>
      <c r="M114" s="106">
        <v>0</v>
      </c>
      <c r="N114" s="969">
        <f t="shared" si="84"/>
        <v>1951</v>
      </c>
      <c r="O114" s="969">
        <f t="shared" si="85"/>
        <v>23.226190476190478</v>
      </c>
      <c r="P114" s="969">
        <f t="shared" si="86"/>
        <v>0</v>
      </c>
      <c r="Q114" s="106">
        <f t="shared" si="87"/>
        <v>0</v>
      </c>
      <c r="R114" s="969">
        <f t="shared" si="88"/>
        <v>0</v>
      </c>
      <c r="S114" s="114">
        <v>1</v>
      </c>
      <c r="T114" s="106">
        <f t="shared" si="89"/>
        <v>0</v>
      </c>
      <c r="U114" s="969">
        <f t="shared" si="90"/>
        <v>1951</v>
      </c>
      <c r="V114" s="969">
        <f t="shared" si="91"/>
        <v>1951</v>
      </c>
      <c r="W114" s="114">
        <v>1</v>
      </c>
      <c r="X114" s="969">
        <f t="shared" si="92"/>
        <v>1951</v>
      </c>
      <c r="Y114" s="969">
        <f t="shared" si="93"/>
        <v>1951</v>
      </c>
      <c r="Z114" s="110">
        <f t="shared" si="94"/>
        <v>0</v>
      </c>
      <c r="AA114" s="106">
        <f t="shared" si="95"/>
        <v>93</v>
      </c>
      <c r="AB114" s="106">
        <f t="shared" si="96"/>
        <v>119</v>
      </c>
      <c r="AC114" s="106">
        <f t="shared" si="97"/>
        <v>100</v>
      </c>
      <c r="AD114" s="106">
        <f t="shared" si="98"/>
        <v>118</v>
      </c>
      <c r="AE114" s="106">
        <f t="shared" si="99"/>
        <v>-8.3333333333333329E-2</v>
      </c>
      <c r="AF114" s="106">
        <f t="shared" si="100"/>
        <v>0</v>
      </c>
      <c r="AG114" s="107"/>
      <c r="AH114" s="107"/>
      <c r="AI114" s="107"/>
    </row>
    <row r="115" spans="2:35">
      <c r="B115" s="104" t="s">
        <v>706</v>
      </c>
      <c r="C115" s="210">
        <v>1993</v>
      </c>
      <c r="D115" s="104">
        <f t="shared" si="82"/>
        <v>93</v>
      </c>
      <c r="E115" s="104">
        <v>10</v>
      </c>
      <c r="F115" s="113">
        <v>0</v>
      </c>
      <c r="G115" s="112" t="s">
        <v>214</v>
      </c>
      <c r="H115" s="104">
        <v>7</v>
      </c>
      <c r="I115" s="104">
        <f t="shared" si="83"/>
        <v>100</v>
      </c>
      <c r="L115" s="107">
        <v>255</v>
      </c>
      <c r="M115" s="106">
        <v>0</v>
      </c>
      <c r="N115" s="969">
        <f t="shared" si="84"/>
        <v>255</v>
      </c>
      <c r="O115" s="969">
        <f t="shared" si="85"/>
        <v>3.035714285714286</v>
      </c>
      <c r="P115" s="969">
        <f t="shared" si="86"/>
        <v>0</v>
      </c>
      <c r="Q115" s="106">
        <f t="shared" si="87"/>
        <v>0</v>
      </c>
      <c r="R115" s="969">
        <f t="shared" si="88"/>
        <v>0</v>
      </c>
      <c r="S115" s="114">
        <v>1</v>
      </c>
      <c r="T115" s="106">
        <f t="shared" si="89"/>
        <v>0</v>
      </c>
      <c r="U115" s="969">
        <f t="shared" si="90"/>
        <v>255</v>
      </c>
      <c r="V115" s="969">
        <f t="shared" si="91"/>
        <v>255</v>
      </c>
      <c r="W115" s="114">
        <v>1</v>
      </c>
      <c r="X115" s="969">
        <f t="shared" si="92"/>
        <v>255</v>
      </c>
      <c r="Y115" s="969">
        <f t="shared" si="93"/>
        <v>255</v>
      </c>
      <c r="Z115" s="110">
        <f t="shared" si="94"/>
        <v>0</v>
      </c>
      <c r="AA115" s="106">
        <f t="shared" si="95"/>
        <v>93.75</v>
      </c>
      <c r="AB115" s="106">
        <f t="shared" si="96"/>
        <v>119</v>
      </c>
      <c r="AC115" s="106">
        <f t="shared" si="97"/>
        <v>100.75</v>
      </c>
      <c r="AD115" s="106">
        <f t="shared" si="98"/>
        <v>118</v>
      </c>
      <c r="AE115" s="106">
        <f t="shared" si="99"/>
        <v>-8.3333333333333329E-2</v>
      </c>
      <c r="AF115" s="106">
        <f t="shared" si="100"/>
        <v>0</v>
      </c>
      <c r="AG115" s="107"/>
      <c r="AH115" s="107"/>
      <c r="AI115" s="107"/>
    </row>
    <row r="116" spans="2:35">
      <c r="B116" s="104" t="s">
        <v>707</v>
      </c>
      <c r="C116" s="210">
        <v>1995</v>
      </c>
      <c r="D116" s="104">
        <f t="shared" si="82"/>
        <v>95</v>
      </c>
      <c r="E116" s="104">
        <v>4</v>
      </c>
      <c r="F116" s="113">
        <v>0</v>
      </c>
      <c r="G116" s="112" t="s">
        <v>214</v>
      </c>
      <c r="H116" s="104">
        <v>7</v>
      </c>
      <c r="I116" s="104">
        <f t="shared" si="83"/>
        <v>102</v>
      </c>
      <c r="L116" s="107">
        <v>2318</v>
      </c>
      <c r="M116" s="106">
        <v>0</v>
      </c>
      <c r="N116" s="969">
        <f t="shared" si="84"/>
        <v>2318</v>
      </c>
      <c r="O116" s="969">
        <f t="shared" si="85"/>
        <v>27.595238095238098</v>
      </c>
      <c r="P116" s="969">
        <f t="shared" si="86"/>
        <v>0</v>
      </c>
      <c r="Q116" s="106">
        <f t="shared" si="87"/>
        <v>0</v>
      </c>
      <c r="R116" s="969">
        <f t="shared" si="88"/>
        <v>0</v>
      </c>
      <c r="S116" s="114">
        <v>1</v>
      </c>
      <c r="T116" s="106">
        <f t="shared" si="89"/>
        <v>0</v>
      </c>
      <c r="U116" s="969">
        <f t="shared" si="90"/>
        <v>2318</v>
      </c>
      <c r="V116" s="969">
        <f t="shared" si="91"/>
        <v>2318</v>
      </c>
      <c r="W116" s="114">
        <v>1</v>
      </c>
      <c r="X116" s="969">
        <f t="shared" si="92"/>
        <v>2318</v>
      </c>
      <c r="Y116" s="969">
        <f t="shared" si="93"/>
        <v>2318</v>
      </c>
      <c r="Z116" s="110">
        <f t="shared" si="94"/>
        <v>0</v>
      </c>
      <c r="AA116" s="106">
        <f t="shared" si="95"/>
        <v>95.25</v>
      </c>
      <c r="AB116" s="106">
        <f t="shared" si="96"/>
        <v>119</v>
      </c>
      <c r="AC116" s="106">
        <f t="shared" si="97"/>
        <v>102.25</v>
      </c>
      <c r="AD116" s="106">
        <f t="shared" si="98"/>
        <v>118</v>
      </c>
      <c r="AE116" s="106">
        <f t="shared" si="99"/>
        <v>-8.3333333333333329E-2</v>
      </c>
      <c r="AF116" s="106">
        <f t="shared" si="100"/>
        <v>0</v>
      </c>
      <c r="AG116" s="107"/>
      <c r="AH116" s="107"/>
      <c r="AI116" s="107"/>
    </row>
    <row r="117" spans="2:35">
      <c r="B117" s="104" t="s">
        <v>708</v>
      </c>
      <c r="C117" s="210">
        <v>1995</v>
      </c>
      <c r="D117" s="104">
        <f t="shared" si="82"/>
        <v>95</v>
      </c>
      <c r="E117" s="104">
        <v>5</v>
      </c>
      <c r="F117" s="113">
        <v>0</v>
      </c>
      <c r="G117" s="112" t="s">
        <v>214</v>
      </c>
      <c r="H117" s="104">
        <v>7</v>
      </c>
      <c r="I117" s="104">
        <f t="shared" si="83"/>
        <v>102</v>
      </c>
      <c r="L117" s="107">
        <v>6558</v>
      </c>
      <c r="M117" s="106">
        <v>0</v>
      </c>
      <c r="N117" s="969">
        <f t="shared" si="84"/>
        <v>6558</v>
      </c>
      <c r="O117" s="969">
        <f t="shared" si="85"/>
        <v>78.071428571428569</v>
      </c>
      <c r="P117" s="969">
        <f t="shared" si="86"/>
        <v>0</v>
      </c>
      <c r="Q117" s="106">
        <f t="shared" si="87"/>
        <v>0</v>
      </c>
      <c r="R117" s="969">
        <f t="shared" si="88"/>
        <v>0</v>
      </c>
      <c r="S117" s="114">
        <v>1</v>
      </c>
      <c r="T117" s="106">
        <f t="shared" si="89"/>
        <v>0</v>
      </c>
      <c r="U117" s="969">
        <f t="shared" si="90"/>
        <v>6558</v>
      </c>
      <c r="V117" s="969">
        <f t="shared" si="91"/>
        <v>6558</v>
      </c>
      <c r="W117" s="114">
        <v>1</v>
      </c>
      <c r="X117" s="969">
        <f t="shared" si="92"/>
        <v>6558</v>
      </c>
      <c r="Y117" s="969">
        <f t="shared" si="93"/>
        <v>6558</v>
      </c>
      <c r="Z117" s="110">
        <f t="shared" si="94"/>
        <v>0</v>
      </c>
      <c r="AA117" s="106">
        <f t="shared" si="95"/>
        <v>95.333333333333329</v>
      </c>
      <c r="AB117" s="106">
        <f t="shared" si="96"/>
        <v>119</v>
      </c>
      <c r="AC117" s="106">
        <f t="shared" si="97"/>
        <v>102.33333333333333</v>
      </c>
      <c r="AD117" s="106">
        <f t="shared" si="98"/>
        <v>118</v>
      </c>
      <c r="AE117" s="106">
        <f t="shared" si="99"/>
        <v>-8.3333333333333329E-2</v>
      </c>
      <c r="AF117" s="106">
        <f t="shared" si="100"/>
        <v>0</v>
      </c>
      <c r="AG117" s="107"/>
      <c r="AH117" s="107"/>
      <c r="AI117" s="107"/>
    </row>
    <row r="118" spans="2:35">
      <c r="B118" s="104" t="s">
        <v>709</v>
      </c>
      <c r="C118" s="210">
        <v>1995</v>
      </c>
      <c r="D118" s="104">
        <f t="shared" si="82"/>
        <v>95</v>
      </c>
      <c r="E118" s="104">
        <v>5</v>
      </c>
      <c r="F118" s="113">
        <v>0</v>
      </c>
      <c r="G118" s="112" t="s">
        <v>214</v>
      </c>
      <c r="H118" s="104">
        <v>7</v>
      </c>
      <c r="I118" s="104">
        <f t="shared" si="83"/>
        <v>102</v>
      </c>
      <c r="L118" s="107">
        <v>614</v>
      </c>
      <c r="M118" s="106">
        <v>0</v>
      </c>
      <c r="N118" s="969">
        <f t="shared" si="84"/>
        <v>614</v>
      </c>
      <c r="O118" s="969">
        <f t="shared" si="85"/>
        <v>7.3095238095238093</v>
      </c>
      <c r="P118" s="969">
        <f t="shared" si="86"/>
        <v>0</v>
      </c>
      <c r="Q118" s="106">
        <f t="shared" si="87"/>
        <v>0</v>
      </c>
      <c r="R118" s="969">
        <f t="shared" si="88"/>
        <v>0</v>
      </c>
      <c r="S118" s="114">
        <v>1</v>
      </c>
      <c r="T118" s="106">
        <f t="shared" si="89"/>
        <v>0</v>
      </c>
      <c r="U118" s="969">
        <f t="shared" si="90"/>
        <v>614</v>
      </c>
      <c r="V118" s="969">
        <f t="shared" si="91"/>
        <v>614</v>
      </c>
      <c r="W118" s="114">
        <v>1</v>
      </c>
      <c r="X118" s="969">
        <f t="shared" si="92"/>
        <v>614</v>
      </c>
      <c r="Y118" s="969">
        <f t="shared" si="93"/>
        <v>614</v>
      </c>
      <c r="Z118" s="110">
        <f t="shared" si="94"/>
        <v>0</v>
      </c>
      <c r="AA118" s="106">
        <f t="shared" si="95"/>
        <v>95.333333333333329</v>
      </c>
      <c r="AB118" s="106">
        <f t="shared" si="96"/>
        <v>119</v>
      </c>
      <c r="AC118" s="106">
        <f t="shared" si="97"/>
        <v>102.33333333333333</v>
      </c>
      <c r="AD118" s="106">
        <f t="shared" si="98"/>
        <v>118</v>
      </c>
      <c r="AE118" s="106">
        <f t="shared" si="99"/>
        <v>-8.3333333333333329E-2</v>
      </c>
      <c r="AF118" s="106">
        <f t="shared" si="100"/>
        <v>0</v>
      </c>
      <c r="AG118" s="107"/>
      <c r="AH118" s="107"/>
      <c r="AI118" s="107"/>
    </row>
    <row r="119" spans="2:35">
      <c r="B119" s="104" t="s">
        <v>710</v>
      </c>
      <c r="C119" s="210">
        <v>1995</v>
      </c>
      <c r="D119" s="104">
        <f t="shared" si="82"/>
        <v>95</v>
      </c>
      <c r="E119" s="104">
        <v>9</v>
      </c>
      <c r="F119" s="113">
        <v>0</v>
      </c>
      <c r="G119" s="112" t="s">
        <v>214</v>
      </c>
      <c r="H119" s="104">
        <v>7</v>
      </c>
      <c r="I119" s="104">
        <f t="shared" si="83"/>
        <v>102</v>
      </c>
      <c r="L119" s="107">
        <v>552</v>
      </c>
      <c r="M119" s="106">
        <v>0</v>
      </c>
      <c r="N119" s="969">
        <f t="shared" si="84"/>
        <v>552</v>
      </c>
      <c r="O119" s="969">
        <f t="shared" si="85"/>
        <v>6.5714285714285721</v>
      </c>
      <c r="P119" s="969">
        <f t="shared" si="86"/>
        <v>0</v>
      </c>
      <c r="Q119" s="106">
        <f t="shared" si="87"/>
        <v>0</v>
      </c>
      <c r="R119" s="969">
        <f t="shared" si="88"/>
        <v>0</v>
      </c>
      <c r="S119" s="114">
        <v>1</v>
      </c>
      <c r="T119" s="106">
        <f t="shared" si="89"/>
        <v>0</v>
      </c>
      <c r="U119" s="969">
        <f t="shared" si="90"/>
        <v>552</v>
      </c>
      <c r="V119" s="969">
        <f t="shared" si="91"/>
        <v>552</v>
      </c>
      <c r="W119" s="114">
        <v>1</v>
      </c>
      <c r="X119" s="969">
        <f t="shared" si="92"/>
        <v>552</v>
      </c>
      <c r="Y119" s="969">
        <f t="shared" si="93"/>
        <v>552</v>
      </c>
      <c r="Z119" s="110">
        <f t="shared" si="94"/>
        <v>0</v>
      </c>
      <c r="AA119" s="106">
        <f t="shared" si="95"/>
        <v>95.666666666666671</v>
      </c>
      <c r="AB119" s="106">
        <f t="shared" si="96"/>
        <v>119</v>
      </c>
      <c r="AC119" s="106">
        <f t="shared" si="97"/>
        <v>102.66666666666667</v>
      </c>
      <c r="AD119" s="106">
        <f t="shared" si="98"/>
        <v>118</v>
      </c>
      <c r="AE119" s="106">
        <f t="shared" si="99"/>
        <v>-8.3333333333333329E-2</v>
      </c>
      <c r="AF119" s="106">
        <f t="shared" si="100"/>
        <v>0</v>
      </c>
      <c r="AG119" s="107"/>
      <c r="AH119" s="107"/>
      <c r="AI119" s="107"/>
    </row>
    <row r="120" spans="2:35">
      <c r="B120" s="104" t="s">
        <v>711</v>
      </c>
      <c r="C120" s="210">
        <v>1995</v>
      </c>
      <c r="D120" s="104">
        <f t="shared" si="82"/>
        <v>95</v>
      </c>
      <c r="E120" s="104">
        <v>11</v>
      </c>
      <c r="F120" s="113">
        <v>0</v>
      </c>
      <c r="G120" s="112" t="s">
        <v>214</v>
      </c>
      <c r="H120" s="104">
        <v>7</v>
      </c>
      <c r="I120" s="104">
        <f t="shared" si="83"/>
        <v>102</v>
      </c>
      <c r="L120" s="107">
        <v>306</v>
      </c>
      <c r="M120" s="106">
        <v>0</v>
      </c>
      <c r="N120" s="969">
        <f t="shared" si="84"/>
        <v>306</v>
      </c>
      <c r="O120" s="969">
        <f t="shared" si="85"/>
        <v>3.6428571428571428</v>
      </c>
      <c r="P120" s="969">
        <f t="shared" si="86"/>
        <v>0</v>
      </c>
      <c r="Q120" s="106">
        <f t="shared" si="87"/>
        <v>0</v>
      </c>
      <c r="R120" s="969">
        <f t="shared" si="88"/>
        <v>0</v>
      </c>
      <c r="S120" s="114">
        <v>1</v>
      </c>
      <c r="T120" s="106">
        <f t="shared" si="89"/>
        <v>0</v>
      </c>
      <c r="U120" s="969">
        <f t="shared" si="90"/>
        <v>306</v>
      </c>
      <c r="V120" s="969">
        <f t="shared" si="91"/>
        <v>306</v>
      </c>
      <c r="W120" s="114">
        <v>1</v>
      </c>
      <c r="X120" s="969">
        <f t="shared" si="92"/>
        <v>306</v>
      </c>
      <c r="Y120" s="969">
        <f t="shared" si="93"/>
        <v>306</v>
      </c>
      <c r="Z120" s="110">
        <f t="shared" si="94"/>
        <v>0</v>
      </c>
      <c r="AA120" s="106">
        <f t="shared" si="95"/>
        <v>95.833333333333329</v>
      </c>
      <c r="AB120" s="106">
        <f t="shared" si="96"/>
        <v>119</v>
      </c>
      <c r="AC120" s="106">
        <f t="shared" si="97"/>
        <v>102.83333333333333</v>
      </c>
      <c r="AD120" s="106">
        <f t="shared" si="98"/>
        <v>118</v>
      </c>
      <c r="AE120" s="106">
        <f t="shared" si="99"/>
        <v>-8.3333333333333329E-2</v>
      </c>
      <c r="AF120" s="106">
        <f t="shared" si="100"/>
        <v>0</v>
      </c>
      <c r="AG120" s="107"/>
      <c r="AH120" s="107"/>
      <c r="AI120" s="107"/>
    </row>
    <row r="121" spans="2:35">
      <c r="B121" s="104" t="s">
        <v>712</v>
      </c>
      <c r="C121" s="210">
        <v>1995</v>
      </c>
      <c r="D121" s="104">
        <f t="shared" si="82"/>
        <v>95</v>
      </c>
      <c r="E121" s="104">
        <v>11</v>
      </c>
      <c r="F121" s="113">
        <v>0</v>
      </c>
      <c r="G121" s="112" t="s">
        <v>214</v>
      </c>
      <c r="H121" s="104">
        <v>7</v>
      </c>
      <c r="I121" s="104">
        <f t="shared" si="83"/>
        <v>102</v>
      </c>
      <c r="L121" s="107">
        <v>484</v>
      </c>
      <c r="M121" s="106">
        <v>0</v>
      </c>
      <c r="N121" s="969">
        <f t="shared" si="84"/>
        <v>484</v>
      </c>
      <c r="O121" s="969">
        <f t="shared" si="85"/>
        <v>5.7619047619047619</v>
      </c>
      <c r="P121" s="969">
        <f t="shared" si="86"/>
        <v>0</v>
      </c>
      <c r="Q121" s="106">
        <f t="shared" si="87"/>
        <v>0</v>
      </c>
      <c r="R121" s="969">
        <f t="shared" si="88"/>
        <v>0</v>
      </c>
      <c r="S121" s="114">
        <v>1</v>
      </c>
      <c r="T121" s="106">
        <f t="shared" si="89"/>
        <v>0</v>
      </c>
      <c r="U121" s="969">
        <f t="shared" si="90"/>
        <v>484</v>
      </c>
      <c r="V121" s="969">
        <f t="shared" si="91"/>
        <v>484</v>
      </c>
      <c r="W121" s="114">
        <v>1</v>
      </c>
      <c r="X121" s="969">
        <f t="shared" si="92"/>
        <v>484</v>
      </c>
      <c r="Y121" s="969">
        <f t="shared" si="93"/>
        <v>484</v>
      </c>
      <c r="Z121" s="110">
        <f t="shared" si="94"/>
        <v>0</v>
      </c>
      <c r="AA121" s="106">
        <f t="shared" si="95"/>
        <v>95.833333333333329</v>
      </c>
      <c r="AB121" s="106">
        <f t="shared" si="96"/>
        <v>119</v>
      </c>
      <c r="AC121" s="106">
        <f t="shared" si="97"/>
        <v>102.83333333333333</v>
      </c>
      <c r="AD121" s="106">
        <f t="shared" si="98"/>
        <v>118</v>
      </c>
      <c r="AE121" s="106">
        <f t="shared" si="99"/>
        <v>-8.3333333333333329E-2</v>
      </c>
      <c r="AF121" s="106">
        <f t="shared" si="100"/>
        <v>0</v>
      </c>
      <c r="AG121" s="107"/>
      <c r="AH121" s="107"/>
      <c r="AI121" s="107"/>
    </row>
    <row r="122" spans="2:35">
      <c r="B122" s="104" t="s">
        <v>713</v>
      </c>
      <c r="C122" s="210">
        <v>1996</v>
      </c>
      <c r="D122" s="104">
        <f t="shared" si="82"/>
        <v>96</v>
      </c>
      <c r="E122" s="104">
        <v>1</v>
      </c>
      <c r="F122" s="113">
        <v>0</v>
      </c>
      <c r="G122" s="112" t="s">
        <v>214</v>
      </c>
      <c r="H122" s="104">
        <v>7</v>
      </c>
      <c r="I122" s="104">
        <f t="shared" si="83"/>
        <v>103</v>
      </c>
      <c r="L122" s="107">
        <v>544</v>
      </c>
      <c r="M122" s="106">
        <v>0</v>
      </c>
      <c r="N122" s="969">
        <f t="shared" si="84"/>
        <v>544</v>
      </c>
      <c r="O122" s="969">
        <f t="shared" si="85"/>
        <v>6.4761904761904754</v>
      </c>
      <c r="P122" s="969">
        <f t="shared" si="86"/>
        <v>0</v>
      </c>
      <c r="Q122" s="106">
        <f t="shared" si="87"/>
        <v>0</v>
      </c>
      <c r="R122" s="969">
        <f t="shared" si="88"/>
        <v>0</v>
      </c>
      <c r="S122" s="114">
        <v>1</v>
      </c>
      <c r="T122" s="106">
        <f t="shared" si="89"/>
        <v>0</v>
      </c>
      <c r="U122" s="969">
        <f t="shared" si="90"/>
        <v>544</v>
      </c>
      <c r="V122" s="969">
        <f t="shared" si="91"/>
        <v>544</v>
      </c>
      <c r="W122" s="114">
        <v>1</v>
      </c>
      <c r="X122" s="969">
        <f t="shared" si="92"/>
        <v>544</v>
      </c>
      <c r="Y122" s="969">
        <f t="shared" si="93"/>
        <v>544</v>
      </c>
      <c r="Z122" s="110">
        <f t="shared" si="94"/>
        <v>0</v>
      </c>
      <c r="AA122" s="106">
        <f t="shared" si="95"/>
        <v>96</v>
      </c>
      <c r="AB122" s="106">
        <f t="shared" si="96"/>
        <v>119</v>
      </c>
      <c r="AC122" s="106">
        <f t="shared" si="97"/>
        <v>103</v>
      </c>
      <c r="AD122" s="106">
        <f t="shared" si="98"/>
        <v>118</v>
      </c>
      <c r="AE122" s="106">
        <f t="shared" si="99"/>
        <v>-8.3333333333333329E-2</v>
      </c>
      <c r="AF122" s="106">
        <f t="shared" si="100"/>
        <v>0</v>
      </c>
      <c r="AG122" s="107"/>
      <c r="AH122" s="107"/>
      <c r="AI122" s="107"/>
    </row>
    <row r="123" spans="2:35">
      <c r="B123" s="104" t="s">
        <v>714</v>
      </c>
      <c r="C123" s="210">
        <v>1997</v>
      </c>
      <c r="D123" s="104">
        <f t="shared" si="82"/>
        <v>97</v>
      </c>
      <c r="E123" s="104">
        <v>9</v>
      </c>
      <c r="F123" s="113">
        <v>0</v>
      </c>
      <c r="G123" s="112" t="s">
        <v>214</v>
      </c>
      <c r="H123" s="104">
        <v>7</v>
      </c>
      <c r="I123" s="104">
        <f t="shared" si="83"/>
        <v>104</v>
      </c>
      <c r="L123" s="107">
        <v>183</v>
      </c>
      <c r="M123" s="106">
        <v>0</v>
      </c>
      <c r="N123" s="969">
        <f t="shared" si="84"/>
        <v>183</v>
      </c>
      <c r="O123" s="969">
        <f t="shared" si="85"/>
        <v>2.1785714285714284</v>
      </c>
      <c r="P123" s="969">
        <f t="shared" si="86"/>
        <v>0</v>
      </c>
      <c r="Q123" s="106">
        <f t="shared" si="87"/>
        <v>0</v>
      </c>
      <c r="R123" s="969">
        <f t="shared" si="88"/>
        <v>0</v>
      </c>
      <c r="S123" s="114">
        <v>1</v>
      </c>
      <c r="T123" s="106">
        <f t="shared" si="89"/>
        <v>0</v>
      </c>
      <c r="U123" s="969">
        <f t="shared" si="90"/>
        <v>183</v>
      </c>
      <c r="V123" s="969">
        <f t="shared" si="91"/>
        <v>183</v>
      </c>
      <c r="W123" s="114">
        <v>1</v>
      </c>
      <c r="X123" s="969">
        <f t="shared" si="92"/>
        <v>183</v>
      </c>
      <c r="Y123" s="969">
        <f t="shared" si="93"/>
        <v>183</v>
      </c>
      <c r="Z123" s="110">
        <f t="shared" si="94"/>
        <v>0</v>
      </c>
      <c r="AA123" s="106">
        <f t="shared" si="95"/>
        <v>97.666666666666671</v>
      </c>
      <c r="AB123" s="106">
        <f t="shared" si="96"/>
        <v>119</v>
      </c>
      <c r="AC123" s="106">
        <f t="shared" si="97"/>
        <v>104.66666666666667</v>
      </c>
      <c r="AD123" s="106">
        <f t="shared" si="98"/>
        <v>118</v>
      </c>
      <c r="AE123" s="106">
        <f t="shared" si="99"/>
        <v>-8.3333333333333329E-2</v>
      </c>
      <c r="AF123" s="106">
        <f t="shared" si="100"/>
        <v>0</v>
      </c>
      <c r="AG123" s="107"/>
      <c r="AH123" s="107"/>
      <c r="AI123" s="107"/>
    </row>
    <row r="124" spans="2:35">
      <c r="B124" s="104" t="s">
        <v>715</v>
      </c>
      <c r="C124" s="210">
        <v>1998</v>
      </c>
      <c r="D124" s="104">
        <f t="shared" si="82"/>
        <v>98</v>
      </c>
      <c r="E124" s="104">
        <v>1</v>
      </c>
      <c r="F124" s="113">
        <v>0</v>
      </c>
      <c r="G124" s="112" t="s">
        <v>214</v>
      </c>
      <c r="H124" s="104">
        <v>7</v>
      </c>
      <c r="I124" s="104">
        <f t="shared" si="83"/>
        <v>105</v>
      </c>
      <c r="L124" s="107">
        <v>4226</v>
      </c>
      <c r="M124" s="106">
        <v>0</v>
      </c>
      <c r="N124" s="969">
        <f t="shared" si="84"/>
        <v>4226</v>
      </c>
      <c r="O124" s="969">
        <f t="shared" si="85"/>
        <v>50.309523809523803</v>
      </c>
      <c r="P124" s="969">
        <f t="shared" si="86"/>
        <v>0</v>
      </c>
      <c r="Q124" s="106">
        <f t="shared" si="87"/>
        <v>0</v>
      </c>
      <c r="R124" s="969">
        <f t="shared" si="88"/>
        <v>0</v>
      </c>
      <c r="S124" s="114">
        <v>1</v>
      </c>
      <c r="T124" s="106">
        <f t="shared" si="89"/>
        <v>0</v>
      </c>
      <c r="U124" s="969">
        <f t="shared" si="90"/>
        <v>4226</v>
      </c>
      <c r="V124" s="969">
        <f t="shared" si="91"/>
        <v>4226</v>
      </c>
      <c r="W124" s="114">
        <v>1</v>
      </c>
      <c r="X124" s="969">
        <f t="shared" si="92"/>
        <v>4226</v>
      </c>
      <c r="Y124" s="969">
        <f t="shared" si="93"/>
        <v>4226</v>
      </c>
      <c r="Z124" s="110">
        <f t="shared" si="94"/>
        <v>0</v>
      </c>
      <c r="AA124" s="106">
        <f t="shared" si="95"/>
        <v>98</v>
      </c>
      <c r="AB124" s="106">
        <f t="shared" si="96"/>
        <v>119</v>
      </c>
      <c r="AC124" s="106">
        <f t="shared" si="97"/>
        <v>105</v>
      </c>
      <c r="AD124" s="106">
        <f t="shared" si="98"/>
        <v>118</v>
      </c>
      <c r="AE124" s="106">
        <f t="shared" si="99"/>
        <v>-8.3333333333333329E-2</v>
      </c>
      <c r="AF124" s="106">
        <f t="shared" si="100"/>
        <v>0</v>
      </c>
      <c r="AG124" s="107"/>
      <c r="AH124" s="107"/>
      <c r="AI124" s="107"/>
    </row>
    <row r="125" spans="2:35">
      <c r="B125" s="104" t="s">
        <v>716</v>
      </c>
      <c r="C125" s="210">
        <v>1998</v>
      </c>
      <c r="D125" s="104">
        <f t="shared" si="82"/>
        <v>98</v>
      </c>
      <c r="E125" s="104">
        <v>1</v>
      </c>
      <c r="F125" s="113">
        <v>0</v>
      </c>
      <c r="G125" s="112" t="s">
        <v>214</v>
      </c>
      <c r="H125" s="104">
        <v>7</v>
      </c>
      <c r="I125" s="104">
        <f t="shared" si="83"/>
        <v>105</v>
      </c>
      <c r="L125" s="107">
        <v>2580</v>
      </c>
      <c r="M125" s="106">
        <v>0</v>
      </c>
      <c r="N125" s="969">
        <f t="shared" si="84"/>
        <v>2580</v>
      </c>
      <c r="O125" s="969">
        <f t="shared" si="85"/>
        <v>30.714285714285712</v>
      </c>
      <c r="P125" s="969">
        <f t="shared" si="86"/>
        <v>0</v>
      </c>
      <c r="Q125" s="106">
        <f t="shared" si="87"/>
        <v>0</v>
      </c>
      <c r="R125" s="969">
        <f t="shared" si="88"/>
        <v>0</v>
      </c>
      <c r="S125" s="114">
        <v>1</v>
      </c>
      <c r="T125" s="106">
        <f t="shared" si="89"/>
        <v>0</v>
      </c>
      <c r="U125" s="969">
        <f t="shared" si="90"/>
        <v>2580</v>
      </c>
      <c r="V125" s="969">
        <f t="shared" si="91"/>
        <v>2580</v>
      </c>
      <c r="W125" s="114">
        <v>1</v>
      </c>
      <c r="X125" s="969">
        <f t="shared" si="92"/>
        <v>2580</v>
      </c>
      <c r="Y125" s="969">
        <f t="shared" si="93"/>
        <v>2580</v>
      </c>
      <c r="Z125" s="110">
        <f t="shared" si="94"/>
        <v>0</v>
      </c>
      <c r="AA125" s="106">
        <f t="shared" si="95"/>
        <v>98</v>
      </c>
      <c r="AB125" s="106">
        <f t="shared" si="96"/>
        <v>119</v>
      </c>
      <c r="AC125" s="106">
        <f t="shared" si="97"/>
        <v>105</v>
      </c>
      <c r="AD125" s="106">
        <f t="shared" si="98"/>
        <v>118</v>
      </c>
      <c r="AE125" s="106">
        <f t="shared" si="99"/>
        <v>-8.3333333333333329E-2</v>
      </c>
      <c r="AF125" s="106">
        <f t="shared" si="100"/>
        <v>0</v>
      </c>
      <c r="AG125" s="107"/>
      <c r="AH125" s="107"/>
      <c r="AI125" s="107"/>
    </row>
    <row r="126" spans="2:35">
      <c r="B126" s="104" t="s">
        <v>717</v>
      </c>
      <c r="C126" s="210">
        <v>1998</v>
      </c>
      <c r="D126" s="104">
        <f t="shared" si="82"/>
        <v>98</v>
      </c>
      <c r="E126" s="104">
        <v>8</v>
      </c>
      <c r="F126" s="113">
        <v>0</v>
      </c>
      <c r="G126" s="112" t="s">
        <v>214</v>
      </c>
      <c r="H126" s="104">
        <v>7</v>
      </c>
      <c r="I126" s="104">
        <f t="shared" si="83"/>
        <v>105</v>
      </c>
      <c r="L126" s="107">
        <v>555</v>
      </c>
      <c r="M126" s="106">
        <v>0</v>
      </c>
      <c r="N126" s="969">
        <f t="shared" si="84"/>
        <v>555</v>
      </c>
      <c r="O126" s="969">
        <f t="shared" si="85"/>
        <v>6.6071428571428577</v>
      </c>
      <c r="P126" s="969">
        <f t="shared" si="86"/>
        <v>0</v>
      </c>
      <c r="Q126" s="106">
        <f t="shared" si="87"/>
        <v>0</v>
      </c>
      <c r="R126" s="969">
        <f t="shared" si="88"/>
        <v>0</v>
      </c>
      <c r="S126" s="114">
        <v>1</v>
      </c>
      <c r="T126" s="106">
        <f t="shared" si="89"/>
        <v>0</v>
      </c>
      <c r="U126" s="969">
        <f t="shared" si="90"/>
        <v>555</v>
      </c>
      <c r="V126" s="969">
        <f t="shared" si="91"/>
        <v>555</v>
      </c>
      <c r="W126" s="114">
        <v>1</v>
      </c>
      <c r="X126" s="969">
        <f t="shared" si="92"/>
        <v>555</v>
      </c>
      <c r="Y126" s="969">
        <f t="shared" si="93"/>
        <v>555</v>
      </c>
      <c r="Z126" s="110">
        <f t="shared" si="94"/>
        <v>0</v>
      </c>
      <c r="AA126" s="106">
        <f t="shared" si="95"/>
        <v>98.583333333333329</v>
      </c>
      <c r="AB126" s="106">
        <f t="shared" si="96"/>
        <v>119</v>
      </c>
      <c r="AC126" s="106">
        <f t="shared" si="97"/>
        <v>105.58333333333333</v>
      </c>
      <c r="AD126" s="106">
        <f t="shared" si="98"/>
        <v>118</v>
      </c>
      <c r="AE126" s="106">
        <f t="shared" si="99"/>
        <v>-8.3333333333333329E-2</v>
      </c>
      <c r="AF126" s="106">
        <f t="shared" si="100"/>
        <v>0</v>
      </c>
      <c r="AG126" s="107"/>
      <c r="AH126" s="107"/>
      <c r="AI126" s="107"/>
    </row>
    <row r="127" spans="2:35">
      <c r="B127" s="104" t="s">
        <v>718</v>
      </c>
      <c r="C127" s="210">
        <v>1999</v>
      </c>
      <c r="D127" s="104">
        <f t="shared" si="82"/>
        <v>99</v>
      </c>
      <c r="E127" s="104">
        <v>3</v>
      </c>
      <c r="F127" s="113">
        <v>0</v>
      </c>
      <c r="G127" s="112" t="s">
        <v>214</v>
      </c>
      <c r="H127" s="104">
        <v>7</v>
      </c>
      <c r="I127" s="104">
        <f t="shared" si="83"/>
        <v>106</v>
      </c>
      <c r="L127" s="107">
        <v>1326</v>
      </c>
      <c r="M127" s="106">
        <v>0</v>
      </c>
      <c r="N127" s="969">
        <f t="shared" si="84"/>
        <v>1326</v>
      </c>
      <c r="O127" s="969">
        <f t="shared" si="85"/>
        <v>15.785714285714285</v>
      </c>
      <c r="P127" s="969">
        <f t="shared" si="86"/>
        <v>0</v>
      </c>
      <c r="Q127" s="106">
        <f t="shared" si="87"/>
        <v>0</v>
      </c>
      <c r="R127" s="969">
        <f t="shared" si="88"/>
        <v>0</v>
      </c>
      <c r="S127" s="114">
        <v>1</v>
      </c>
      <c r="T127" s="106">
        <f t="shared" si="89"/>
        <v>0</v>
      </c>
      <c r="U127" s="969">
        <f t="shared" si="90"/>
        <v>1326</v>
      </c>
      <c r="V127" s="969">
        <f t="shared" si="91"/>
        <v>1326</v>
      </c>
      <c r="W127" s="114">
        <v>1</v>
      </c>
      <c r="X127" s="969">
        <f t="shared" si="92"/>
        <v>1326</v>
      </c>
      <c r="Y127" s="969">
        <f t="shared" si="93"/>
        <v>1326</v>
      </c>
      <c r="Z127" s="110">
        <f t="shared" si="94"/>
        <v>0</v>
      </c>
      <c r="AA127" s="106">
        <f t="shared" si="95"/>
        <v>99.166666666666671</v>
      </c>
      <c r="AB127" s="106">
        <f t="shared" si="96"/>
        <v>119</v>
      </c>
      <c r="AC127" s="106">
        <f t="shared" si="97"/>
        <v>106.16666666666667</v>
      </c>
      <c r="AD127" s="106">
        <f t="shared" si="98"/>
        <v>118</v>
      </c>
      <c r="AE127" s="106">
        <f t="shared" si="99"/>
        <v>-8.3333333333333329E-2</v>
      </c>
      <c r="AF127" s="106">
        <f t="shared" si="100"/>
        <v>0</v>
      </c>
      <c r="AG127" s="107"/>
      <c r="AH127" s="107"/>
      <c r="AI127" s="107"/>
    </row>
    <row r="128" spans="2:35">
      <c r="B128" s="104" t="s">
        <v>719</v>
      </c>
      <c r="C128" s="210">
        <v>1999</v>
      </c>
      <c r="D128" s="104">
        <f t="shared" si="82"/>
        <v>99</v>
      </c>
      <c r="E128" s="104">
        <v>1</v>
      </c>
      <c r="F128" s="113">
        <v>0</v>
      </c>
      <c r="G128" s="112" t="s">
        <v>214</v>
      </c>
      <c r="H128" s="104">
        <v>10</v>
      </c>
      <c r="I128" s="104">
        <f t="shared" si="83"/>
        <v>109</v>
      </c>
      <c r="L128" s="107">
        <v>21785</v>
      </c>
      <c r="M128" s="106">
        <v>0</v>
      </c>
      <c r="N128" s="969">
        <f t="shared" si="84"/>
        <v>21785</v>
      </c>
      <c r="O128" s="969">
        <f t="shared" si="85"/>
        <v>181.54166666666666</v>
      </c>
      <c r="P128" s="969">
        <f t="shared" si="86"/>
        <v>0</v>
      </c>
      <c r="Q128" s="106">
        <f t="shared" si="87"/>
        <v>0</v>
      </c>
      <c r="R128" s="969">
        <f t="shared" si="88"/>
        <v>0</v>
      </c>
      <c r="S128" s="114">
        <v>1</v>
      </c>
      <c r="T128" s="106">
        <f t="shared" si="89"/>
        <v>0</v>
      </c>
      <c r="U128" s="969">
        <f t="shared" si="90"/>
        <v>21785</v>
      </c>
      <c r="V128" s="969">
        <f t="shared" si="91"/>
        <v>21785</v>
      </c>
      <c r="W128" s="114">
        <v>1</v>
      </c>
      <c r="X128" s="969">
        <f t="shared" si="92"/>
        <v>21785</v>
      </c>
      <c r="Y128" s="969">
        <f t="shared" si="93"/>
        <v>21785</v>
      </c>
      <c r="Z128" s="110">
        <f t="shared" si="94"/>
        <v>0</v>
      </c>
      <c r="AA128" s="106">
        <f t="shared" si="95"/>
        <v>99</v>
      </c>
      <c r="AB128" s="106">
        <f t="shared" si="96"/>
        <v>119</v>
      </c>
      <c r="AC128" s="106">
        <f t="shared" si="97"/>
        <v>109</v>
      </c>
      <c r="AD128" s="106">
        <f t="shared" si="98"/>
        <v>118</v>
      </c>
      <c r="AE128" s="106">
        <f t="shared" si="99"/>
        <v>-8.3333333333333329E-2</v>
      </c>
      <c r="AF128" s="106">
        <f t="shared" si="100"/>
        <v>0</v>
      </c>
      <c r="AG128" s="107"/>
      <c r="AH128" s="107"/>
      <c r="AI128" s="107"/>
    </row>
    <row r="129" spans="2:35">
      <c r="B129" s="104" t="s">
        <v>720</v>
      </c>
      <c r="C129" s="210">
        <v>2001</v>
      </c>
      <c r="D129" s="104">
        <f t="shared" si="82"/>
        <v>101</v>
      </c>
      <c r="E129" s="104">
        <v>11</v>
      </c>
      <c r="F129" s="113">
        <v>0</v>
      </c>
      <c r="G129" s="112" t="s">
        <v>214</v>
      </c>
      <c r="H129" s="104">
        <v>10</v>
      </c>
      <c r="I129" s="104">
        <f t="shared" si="83"/>
        <v>111</v>
      </c>
      <c r="L129" s="107">
        <v>2709</v>
      </c>
      <c r="M129" s="106">
        <v>0</v>
      </c>
      <c r="N129" s="969">
        <f t="shared" si="84"/>
        <v>2709</v>
      </c>
      <c r="O129" s="969">
        <f t="shared" si="85"/>
        <v>22.574999999999999</v>
      </c>
      <c r="P129" s="969">
        <f t="shared" si="86"/>
        <v>0</v>
      </c>
      <c r="Q129" s="106">
        <f t="shared" si="87"/>
        <v>0</v>
      </c>
      <c r="R129" s="969">
        <f t="shared" si="88"/>
        <v>0</v>
      </c>
      <c r="S129" s="114">
        <v>1</v>
      </c>
      <c r="T129" s="106">
        <f t="shared" si="89"/>
        <v>0</v>
      </c>
      <c r="U129" s="969">
        <f t="shared" si="90"/>
        <v>2709</v>
      </c>
      <c r="V129" s="969">
        <f t="shared" si="91"/>
        <v>2709</v>
      </c>
      <c r="W129" s="114">
        <v>1</v>
      </c>
      <c r="X129" s="969">
        <f t="shared" si="92"/>
        <v>2709</v>
      </c>
      <c r="Y129" s="969">
        <f t="shared" si="93"/>
        <v>2709</v>
      </c>
      <c r="Z129" s="110">
        <f t="shared" si="94"/>
        <v>0</v>
      </c>
      <c r="AA129" s="106">
        <f t="shared" si="95"/>
        <v>101.83333333333333</v>
      </c>
      <c r="AB129" s="106">
        <f t="shared" si="96"/>
        <v>119</v>
      </c>
      <c r="AC129" s="106">
        <f t="shared" si="97"/>
        <v>111.83333333333333</v>
      </c>
      <c r="AD129" s="106">
        <f t="shared" si="98"/>
        <v>118</v>
      </c>
      <c r="AE129" s="106">
        <f t="shared" si="99"/>
        <v>-8.3333333333333329E-2</v>
      </c>
      <c r="AF129" s="106">
        <f t="shared" si="100"/>
        <v>0</v>
      </c>
      <c r="AG129" s="107"/>
      <c r="AH129" s="107"/>
      <c r="AI129" s="107"/>
    </row>
    <row r="130" spans="2:35">
      <c r="B130" s="104" t="s">
        <v>716</v>
      </c>
      <c r="C130" s="210">
        <v>2003</v>
      </c>
      <c r="D130" s="104">
        <f t="shared" si="82"/>
        <v>103</v>
      </c>
      <c r="E130" s="104">
        <v>6</v>
      </c>
      <c r="F130" s="113">
        <v>0</v>
      </c>
      <c r="G130" s="112" t="s">
        <v>214</v>
      </c>
      <c r="H130" s="104">
        <v>10</v>
      </c>
      <c r="I130" s="104">
        <f t="shared" si="83"/>
        <v>113</v>
      </c>
      <c r="L130" s="107">
        <v>1826</v>
      </c>
      <c r="M130" s="106">
        <v>0</v>
      </c>
      <c r="N130" s="969">
        <f t="shared" si="84"/>
        <v>1826</v>
      </c>
      <c r="O130" s="969">
        <f t="shared" si="85"/>
        <v>15.216666666666667</v>
      </c>
      <c r="P130" s="969">
        <f t="shared" si="86"/>
        <v>0</v>
      </c>
      <c r="Q130" s="106">
        <f t="shared" si="87"/>
        <v>0</v>
      </c>
      <c r="R130" s="969">
        <f t="shared" si="88"/>
        <v>0</v>
      </c>
      <c r="S130" s="114">
        <v>1</v>
      </c>
      <c r="T130" s="106">
        <f t="shared" si="89"/>
        <v>0</v>
      </c>
      <c r="U130" s="969">
        <f t="shared" si="90"/>
        <v>1826</v>
      </c>
      <c r="V130" s="969">
        <f t="shared" si="91"/>
        <v>1826</v>
      </c>
      <c r="W130" s="114">
        <v>1</v>
      </c>
      <c r="X130" s="969">
        <f t="shared" si="92"/>
        <v>1826</v>
      </c>
      <c r="Y130" s="969">
        <f t="shared" si="93"/>
        <v>1826</v>
      </c>
      <c r="Z130" s="110">
        <f t="shared" si="94"/>
        <v>0</v>
      </c>
      <c r="AA130" s="106">
        <f t="shared" si="95"/>
        <v>103.41666666666667</v>
      </c>
      <c r="AB130" s="106">
        <f t="shared" si="96"/>
        <v>119</v>
      </c>
      <c r="AC130" s="106">
        <f t="shared" si="97"/>
        <v>113.41666666666667</v>
      </c>
      <c r="AD130" s="106">
        <f t="shared" si="98"/>
        <v>118</v>
      </c>
      <c r="AE130" s="106">
        <f t="shared" si="99"/>
        <v>-8.3333333333333329E-2</v>
      </c>
      <c r="AF130" s="106">
        <f t="shared" si="100"/>
        <v>0</v>
      </c>
      <c r="AG130" s="107"/>
      <c r="AH130" s="107"/>
      <c r="AI130" s="107"/>
    </row>
    <row r="131" spans="2:35">
      <c r="B131" s="104" t="s">
        <v>721</v>
      </c>
      <c r="C131" s="210">
        <v>2004</v>
      </c>
      <c r="D131" s="104">
        <f t="shared" si="82"/>
        <v>104</v>
      </c>
      <c r="E131" s="104">
        <v>10</v>
      </c>
      <c r="F131" s="113">
        <v>0</v>
      </c>
      <c r="G131" s="112" t="s">
        <v>214</v>
      </c>
      <c r="H131" s="104">
        <v>7</v>
      </c>
      <c r="I131" s="104">
        <f t="shared" si="83"/>
        <v>111</v>
      </c>
      <c r="L131" s="107">
        <v>223</v>
      </c>
      <c r="M131" s="106">
        <v>0</v>
      </c>
      <c r="N131" s="969">
        <f t="shared" si="84"/>
        <v>223</v>
      </c>
      <c r="O131" s="969">
        <f t="shared" si="85"/>
        <v>2.6547619047619047</v>
      </c>
      <c r="P131" s="969">
        <f t="shared" si="86"/>
        <v>0</v>
      </c>
      <c r="Q131" s="106">
        <f t="shared" si="87"/>
        <v>0</v>
      </c>
      <c r="R131" s="969">
        <f t="shared" si="88"/>
        <v>0</v>
      </c>
      <c r="S131" s="114">
        <v>1</v>
      </c>
      <c r="T131" s="106">
        <f t="shared" si="89"/>
        <v>0</v>
      </c>
      <c r="U131" s="969">
        <f t="shared" si="90"/>
        <v>223</v>
      </c>
      <c r="V131" s="969">
        <f t="shared" si="91"/>
        <v>223</v>
      </c>
      <c r="W131" s="114">
        <v>1</v>
      </c>
      <c r="X131" s="969">
        <f t="shared" si="92"/>
        <v>223</v>
      </c>
      <c r="Y131" s="969">
        <f t="shared" si="93"/>
        <v>223</v>
      </c>
      <c r="Z131" s="110">
        <f t="shared" si="94"/>
        <v>0</v>
      </c>
      <c r="AA131" s="106">
        <f t="shared" si="95"/>
        <v>104.75</v>
      </c>
      <c r="AB131" s="106">
        <f t="shared" si="96"/>
        <v>119</v>
      </c>
      <c r="AC131" s="106">
        <f t="shared" si="97"/>
        <v>111.75</v>
      </c>
      <c r="AD131" s="106">
        <f t="shared" si="98"/>
        <v>118</v>
      </c>
      <c r="AE131" s="106">
        <f t="shared" si="99"/>
        <v>-8.3333333333333329E-2</v>
      </c>
      <c r="AF131" s="106">
        <f t="shared" si="100"/>
        <v>0</v>
      </c>
      <c r="AG131" s="107"/>
      <c r="AH131" s="107"/>
      <c r="AI131" s="107"/>
    </row>
    <row r="132" spans="2:35">
      <c r="B132" s="104" t="s">
        <v>722</v>
      </c>
      <c r="C132" s="210">
        <v>2006</v>
      </c>
      <c r="D132" s="104">
        <f t="shared" si="82"/>
        <v>106</v>
      </c>
      <c r="E132" s="104">
        <v>6</v>
      </c>
      <c r="F132" s="113">
        <v>0</v>
      </c>
      <c r="G132" s="112" t="s">
        <v>214</v>
      </c>
      <c r="H132" s="104">
        <v>7</v>
      </c>
      <c r="I132" s="104">
        <f t="shared" si="83"/>
        <v>113</v>
      </c>
      <c r="L132" s="107">
        <v>4543</v>
      </c>
      <c r="M132" s="106">
        <v>0</v>
      </c>
      <c r="N132" s="969">
        <f t="shared" si="84"/>
        <v>4543</v>
      </c>
      <c r="O132" s="969">
        <f t="shared" si="85"/>
        <v>54.083333333333336</v>
      </c>
      <c r="P132" s="969">
        <f t="shared" si="86"/>
        <v>0</v>
      </c>
      <c r="Q132" s="106">
        <f t="shared" si="87"/>
        <v>0</v>
      </c>
      <c r="R132" s="969">
        <f t="shared" si="88"/>
        <v>0</v>
      </c>
      <c r="S132" s="114">
        <v>1</v>
      </c>
      <c r="T132" s="106">
        <f t="shared" si="89"/>
        <v>0</v>
      </c>
      <c r="U132" s="969">
        <f t="shared" si="90"/>
        <v>4543</v>
      </c>
      <c r="V132" s="969">
        <f t="shared" si="91"/>
        <v>4543</v>
      </c>
      <c r="W132" s="114">
        <v>1</v>
      </c>
      <c r="X132" s="969">
        <f t="shared" si="92"/>
        <v>4543</v>
      </c>
      <c r="Y132" s="969">
        <f t="shared" si="93"/>
        <v>4543</v>
      </c>
      <c r="Z132" s="110">
        <f t="shared" si="94"/>
        <v>0</v>
      </c>
      <c r="AA132" s="106">
        <f t="shared" si="95"/>
        <v>106.41666666666667</v>
      </c>
      <c r="AB132" s="106">
        <f t="shared" si="96"/>
        <v>119</v>
      </c>
      <c r="AC132" s="106">
        <f t="shared" si="97"/>
        <v>113.41666666666667</v>
      </c>
      <c r="AD132" s="106">
        <f t="shared" si="98"/>
        <v>118</v>
      </c>
      <c r="AE132" s="106">
        <f t="shared" si="99"/>
        <v>-8.3333333333333329E-2</v>
      </c>
      <c r="AF132" s="106">
        <f t="shared" si="100"/>
        <v>0</v>
      </c>
      <c r="AG132" s="107"/>
      <c r="AH132" s="107"/>
      <c r="AI132" s="107"/>
    </row>
    <row r="133" spans="2:35">
      <c r="B133" s="104" t="s">
        <v>723</v>
      </c>
      <c r="C133" s="210">
        <v>1991</v>
      </c>
      <c r="D133" s="104">
        <f t="shared" si="82"/>
        <v>91</v>
      </c>
      <c r="E133" s="104">
        <v>7</v>
      </c>
      <c r="F133" s="113">
        <v>0</v>
      </c>
      <c r="G133" s="112" t="s">
        <v>214</v>
      </c>
      <c r="H133" s="104">
        <v>7</v>
      </c>
      <c r="I133" s="104">
        <f t="shared" si="83"/>
        <v>98</v>
      </c>
      <c r="L133" s="107">
        <v>210</v>
      </c>
      <c r="M133" s="106">
        <v>0</v>
      </c>
      <c r="N133" s="969">
        <f t="shared" si="84"/>
        <v>210</v>
      </c>
      <c r="O133" s="969">
        <f t="shared" si="85"/>
        <v>2.5</v>
      </c>
      <c r="P133" s="969">
        <f t="shared" si="86"/>
        <v>0</v>
      </c>
      <c r="Q133" s="106">
        <f t="shared" si="87"/>
        <v>0</v>
      </c>
      <c r="R133" s="969">
        <f t="shared" si="88"/>
        <v>0</v>
      </c>
      <c r="S133" s="114">
        <v>1</v>
      </c>
      <c r="T133" s="106">
        <f t="shared" si="89"/>
        <v>0</v>
      </c>
      <c r="U133" s="969">
        <f t="shared" si="90"/>
        <v>210</v>
      </c>
      <c r="V133" s="969">
        <f t="shared" si="91"/>
        <v>210</v>
      </c>
      <c r="W133" s="114">
        <v>1</v>
      </c>
      <c r="X133" s="969">
        <f t="shared" si="92"/>
        <v>210</v>
      </c>
      <c r="Y133" s="969">
        <f t="shared" si="93"/>
        <v>210</v>
      </c>
      <c r="Z133" s="110">
        <f t="shared" si="94"/>
        <v>0</v>
      </c>
      <c r="AA133" s="106">
        <f t="shared" si="95"/>
        <v>91.5</v>
      </c>
      <c r="AB133" s="106">
        <f t="shared" si="96"/>
        <v>119</v>
      </c>
      <c r="AC133" s="106">
        <f t="shared" si="97"/>
        <v>98.5</v>
      </c>
      <c r="AD133" s="106">
        <f t="shared" si="98"/>
        <v>118</v>
      </c>
      <c r="AE133" s="106">
        <f t="shared" si="99"/>
        <v>-8.3333333333333329E-2</v>
      </c>
      <c r="AF133" s="106">
        <f t="shared" si="100"/>
        <v>0</v>
      </c>
      <c r="AG133" s="107"/>
      <c r="AH133" s="107"/>
      <c r="AI133" s="107"/>
    </row>
    <row r="134" spans="2:35">
      <c r="B134" s="104" t="s">
        <v>724</v>
      </c>
      <c r="C134" s="210">
        <v>1991</v>
      </c>
      <c r="D134" s="104">
        <f t="shared" si="82"/>
        <v>91</v>
      </c>
      <c r="E134" s="104">
        <v>10</v>
      </c>
      <c r="F134" s="113">
        <v>0</v>
      </c>
      <c r="G134" s="112" t="s">
        <v>214</v>
      </c>
      <c r="H134" s="104">
        <v>7</v>
      </c>
      <c r="I134" s="104">
        <f t="shared" si="83"/>
        <v>98</v>
      </c>
      <c r="L134" s="107">
        <v>3699</v>
      </c>
      <c r="M134" s="106">
        <v>0</v>
      </c>
      <c r="N134" s="969">
        <f t="shared" si="84"/>
        <v>3699</v>
      </c>
      <c r="O134" s="969">
        <f t="shared" si="85"/>
        <v>44.035714285714285</v>
      </c>
      <c r="P134" s="969">
        <f t="shared" si="86"/>
        <v>0</v>
      </c>
      <c r="Q134" s="106">
        <f t="shared" si="87"/>
        <v>0</v>
      </c>
      <c r="R134" s="969">
        <f t="shared" si="88"/>
        <v>0</v>
      </c>
      <c r="S134" s="114">
        <v>1</v>
      </c>
      <c r="T134" s="106">
        <f t="shared" si="89"/>
        <v>0</v>
      </c>
      <c r="U134" s="969">
        <f t="shared" si="90"/>
        <v>3699</v>
      </c>
      <c r="V134" s="969">
        <f t="shared" si="91"/>
        <v>3699</v>
      </c>
      <c r="W134" s="114">
        <v>1</v>
      </c>
      <c r="X134" s="969">
        <f t="shared" si="92"/>
        <v>3699</v>
      </c>
      <c r="Y134" s="969">
        <f t="shared" si="93"/>
        <v>3699</v>
      </c>
      <c r="Z134" s="110">
        <f t="shared" si="94"/>
        <v>0</v>
      </c>
      <c r="AA134" s="106">
        <f t="shared" si="95"/>
        <v>91.75</v>
      </c>
      <c r="AB134" s="106">
        <f t="shared" si="96"/>
        <v>119</v>
      </c>
      <c r="AC134" s="106">
        <f t="shared" si="97"/>
        <v>98.75</v>
      </c>
      <c r="AD134" s="106">
        <f t="shared" si="98"/>
        <v>118</v>
      </c>
      <c r="AE134" s="106">
        <f t="shared" si="99"/>
        <v>-8.3333333333333329E-2</v>
      </c>
      <c r="AF134" s="106">
        <f t="shared" si="100"/>
        <v>0</v>
      </c>
      <c r="AG134" s="107"/>
      <c r="AH134" s="107"/>
      <c r="AI134" s="107"/>
    </row>
    <row r="135" spans="2:35">
      <c r="B135" s="104" t="s">
        <v>725</v>
      </c>
      <c r="C135" s="210">
        <v>1991</v>
      </c>
      <c r="D135" s="104">
        <f t="shared" si="82"/>
        <v>91</v>
      </c>
      <c r="E135" s="104">
        <v>12</v>
      </c>
      <c r="F135" s="113">
        <v>0</v>
      </c>
      <c r="G135" s="112" t="s">
        <v>214</v>
      </c>
      <c r="H135" s="104">
        <v>7</v>
      </c>
      <c r="I135" s="104">
        <f t="shared" si="83"/>
        <v>98</v>
      </c>
      <c r="L135" s="107">
        <v>713</v>
      </c>
      <c r="M135" s="106">
        <v>0</v>
      </c>
      <c r="N135" s="969">
        <f t="shared" si="84"/>
        <v>713</v>
      </c>
      <c r="O135" s="969">
        <f t="shared" si="85"/>
        <v>8.488095238095239</v>
      </c>
      <c r="P135" s="969">
        <f t="shared" si="86"/>
        <v>0</v>
      </c>
      <c r="Q135" s="106">
        <f t="shared" si="87"/>
        <v>0</v>
      </c>
      <c r="R135" s="969">
        <f t="shared" si="88"/>
        <v>0</v>
      </c>
      <c r="S135" s="114">
        <v>1</v>
      </c>
      <c r="T135" s="106">
        <f t="shared" si="89"/>
        <v>0</v>
      </c>
      <c r="U135" s="969">
        <f t="shared" si="90"/>
        <v>713</v>
      </c>
      <c r="V135" s="969">
        <f t="shared" si="91"/>
        <v>713</v>
      </c>
      <c r="W135" s="114">
        <v>1</v>
      </c>
      <c r="X135" s="969">
        <f t="shared" si="92"/>
        <v>713</v>
      </c>
      <c r="Y135" s="969">
        <f t="shared" si="93"/>
        <v>713</v>
      </c>
      <c r="Z135" s="110">
        <f t="shared" si="94"/>
        <v>0</v>
      </c>
      <c r="AA135" s="106">
        <f t="shared" si="95"/>
        <v>91.916666666666671</v>
      </c>
      <c r="AB135" s="106">
        <f t="shared" si="96"/>
        <v>119</v>
      </c>
      <c r="AC135" s="106">
        <f t="shared" si="97"/>
        <v>98.916666666666671</v>
      </c>
      <c r="AD135" s="106">
        <f t="shared" si="98"/>
        <v>118</v>
      </c>
      <c r="AE135" s="106">
        <f t="shared" si="99"/>
        <v>-8.3333333333333329E-2</v>
      </c>
      <c r="AF135" s="106">
        <f t="shared" si="100"/>
        <v>0</v>
      </c>
      <c r="AG135" s="107"/>
      <c r="AH135" s="107"/>
      <c r="AI135" s="107"/>
    </row>
    <row r="136" spans="2:35">
      <c r="B136" s="104" t="s">
        <v>516</v>
      </c>
      <c r="C136" s="210">
        <v>1996</v>
      </c>
      <c r="D136" s="104">
        <f t="shared" si="82"/>
        <v>96</v>
      </c>
      <c r="E136" s="104">
        <v>12</v>
      </c>
      <c r="F136" s="113">
        <v>0</v>
      </c>
      <c r="G136" s="112" t="s">
        <v>214</v>
      </c>
      <c r="H136" s="104">
        <v>7</v>
      </c>
      <c r="I136" s="104">
        <f t="shared" si="83"/>
        <v>103</v>
      </c>
      <c r="L136" s="107">
        <v>1250</v>
      </c>
      <c r="M136" s="106">
        <v>0</v>
      </c>
      <c r="N136" s="969">
        <f t="shared" si="84"/>
        <v>1250</v>
      </c>
      <c r="O136" s="969">
        <f t="shared" si="85"/>
        <v>14.880952380952381</v>
      </c>
      <c r="P136" s="969">
        <f t="shared" si="86"/>
        <v>0</v>
      </c>
      <c r="Q136" s="106">
        <f t="shared" si="87"/>
        <v>0</v>
      </c>
      <c r="R136" s="969">
        <f t="shared" si="88"/>
        <v>0</v>
      </c>
      <c r="S136" s="114">
        <v>1</v>
      </c>
      <c r="T136" s="106">
        <f t="shared" si="89"/>
        <v>0</v>
      </c>
      <c r="U136" s="969">
        <f t="shared" si="90"/>
        <v>1250</v>
      </c>
      <c r="V136" s="969">
        <f t="shared" si="91"/>
        <v>1250</v>
      </c>
      <c r="W136" s="114">
        <v>1</v>
      </c>
      <c r="X136" s="969">
        <f t="shared" si="92"/>
        <v>1250</v>
      </c>
      <c r="Y136" s="969">
        <f t="shared" si="93"/>
        <v>1250</v>
      </c>
      <c r="Z136" s="110">
        <f t="shared" si="94"/>
        <v>0</v>
      </c>
      <c r="AA136" s="106">
        <f t="shared" si="95"/>
        <v>96.916666666666671</v>
      </c>
      <c r="AB136" s="106">
        <f t="shared" si="96"/>
        <v>119</v>
      </c>
      <c r="AC136" s="106">
        <f t="shared" si="97"/>
        <v>103.91666666666667</v>
      </c>
      <c r="AD136" s="106">
        <f t="shared" si="98"/>
        <v>118</v>
      </c>
      <c r="AE136" s="106">
        <f t="shared" si="99"/>
        <v>-8.3333333333333329E-2</v>
      </c>
      <c r="AF136" s="106">
        <f t="shared" si="100"/>
        <v>0</v>
      </c>
      <c r="AG136" s="107"/>
      <c r="AH136" s="107"/>
      <c r="AI136" s="107"/>
    </row>
    <row r="137" spans="2:35">
      <c r="B137" s="104" t="s">
        <v>52</v>
      </c>
      <c r="C137" s="210">
        <v>1997</v>
      </c>
      <c r="D137" s="104">
        <f t="shared" si="82"/>
        <v>97</v>
      </c>
      <c r="E137" s="104">
        <v>2</v>
      </c>
      <c r="F137" s="113">
        <v>0</v>
      </c>
      <c r="G137" s="112" t="s">
        <v>214</v>
      </c>
      <c r="H137" s="104">
        <v>10</v>
      </c>
      <c r="I137" s="104">
        <f t="shared" si="83"/>
        <v>107</v>
      </c>
      <c r="L137" s="107">
        <v>3032</v>
      </c>
      <c r="M137" s="106">
        <v>0</v>
      </c>
      <c r="N137" s="969">
        <f t="shared" si="84"/>
        <v>3032</v>
      </c>
      <c r="O137" s="969">
        <f t="shared" si="85"/>
        <v>25.266666666666666</v>
      </c>
      <c r="P137" s="969">
        <f t="shared" si="86"/>
        <v>0</v>
      </c>
      <c r="Q137" s="106">
        <f t="shared" si="87"/>
        <v>0</v>
      </c>
      <c r="R137" s="969">
        <f t="shared" si="88"/>
        <v>0</v>
      </c>
      <c r="S137" s="114">
        <v>1</v>
      </c>
      <c r="T137" s="106">
        <f t="shared" si="89"/>
        <v>0</v>
      </c>
      <c r="U137" s="969">
        <f t="shared" si="90"/>
        <v>3032</v>
      </c>
      <c r="V137" s="969">
        <f t="shared" si="91"/>
        <v>3032</v>
      </c>
      <c r="W137" s="114">
        <v>1</v>
      </c>
      <c r="X137" s="969">
        <f t="shared" si="92"/>
        <v>3032</v>
      </c>
      <c r="Y137" s="969">
        <f t="shared" si="93"/>
        <v>3032</v>
      </c>
      <c r="Z137" s="110">
        <f t="shared" si="94"/>
        <v>0</v>
      </c>
      <c r="AA137" s="106">
        <f t="shared" si="95"/>
        <v>97.083333333333329</v>
      </c>
      <c r="AB137" s="106">
        <f t="shared" si="96"/>
        <v>119</v>
      </c>
      <c r="AC137" s="106">
        <f t="shared" si="97"/>
        <v>107.08333333333333</v>
      </c>
      <c r="AD137" s="106">
        <f t="shared" si="98"/>
        <v>118</v>
      </c>
      <c r="AE137" s="106">
        <f t="shared" si="99"/>
        <v>-8.3333333333333329E-2</v>
      </c>
      <c r="AF137" s="106">
        <f t="shared" si="100"/>
        <v>0</v>
      </c>
      <c r="AG137" s="107"/>
      <c r="AH137" s="107"/>
      <c r="AI137" s="107"/>
    </row>
    <row r="138" spans="2:35">
      <c r="B138" s="104" t="s">
        <v>516</v>
      </c>
      <c r="C138" s="210">
        <v>1997</v>
      </c>
      <c r="D138" s="104">
        <f t="shared" si="82"/>
        <v>97</v>
      </c>
      <c r="E138" s="104">
        <v>3</v>
      </c>
      <c r="F138" s="113">
        <v>0</v>
      </c>
      <c r="G138" s="112" t="s">
        <v>214</v>
      </c>
      <c r="H138" s="104">
        <v>7</v>
      </c>
      <c r="I138" s="104">
        <f t="shared" si="83"/>
        <v>104</v>
      </c>
      <c r="L138" s="107">
        <v>237</v>
      </c>
      <c r="M138" s="106">
        <v>0</v>
      </c>
      <c r="N138" s="969">
        <f t="shared" si="84"/>
        <v>237</v>
      </c>
      <c r="O138" s="969">
        <f t="shared" si="85"/>
        <v>2.8214285714285712</v>
      </c>
      <c r="P138" s="969">
        <f t="shared" si="86"/>
        <v>0</v>
      </c>
      <c r="Q138" s="106">
        <f t="shared" si="87"/>
        <v>0</v>
      </c>
      <c r="R138" s="969">
        <f t="shared" si="88"/>
        <v>0</v>
      </c>
      <c r="S138" s="114">
        <v>1</v>
      </c>
      <c r="T138" s="106">
        <f t="shared" si="89"/>
        <v>0</v>
      </c>
      <c r="U138" s="969">
        <f t="shared" si="90"/>
        <v>237</v>
      </c>
      <c r="V138" s="969">
        <f t="shared" si="91"/>
        <v>237</v>
      </c>
      <c r="W138" s="114">
        <v>1</v>
      </c>
      <c r="X138" s="969">
        <f t="shared" si="92"/>
        <v>237</v>
      </c>
      <c r="Y138" s="969">
        <f t="shared" si="93"/>
        <v>237</v>
      </c>
      <c r="Z138" s="110">
        <f t="shared" si="94"/>
        <v>0</v>
      </c>
      <c r="AA138" s="106">
        <f t="shared" si="95"/>
        <v>97.166666666666671</v>
      </c>
      <c r="AB138" s="106">
        <f t="shared" si="96"/>
        <v>119</v>
      </c>
      <c r="AC138" s="106">
        <f t="shared" si="97"/>
        <v>104.16666666666667</v>
      </c>
      <c r="AD138" s="106">
        <f t="shared" si="98"/>
        <v>118</v>
      </c>
      <c r="AE138" s="106">
        <f t="shared" si="99"/>
        <v>-8.3333333333333329E-2</v>
      </c>
      <c r="AF138" s="106">
        <f t="shared" si="100"/>
        <v>0</v>
      </c>
      <c r="AG138" s="107"/>
      <c r="AH138" s="107"/>
      <c r="AI138" s="107"/>
    </row>
    <row r="139" spans="2:35">
      <c r="B139" s="104" t="s">
        <v>52</v>
      </c>
      <c r="C139" s="210">
        <v>1997</v>
      </c>
      <c r="D139" s="104">
        <f t="shared" si="82"/>
        <v>97</v>
      </c>
      <c r="E139" s="104">
        <v>3</v>
      </c>
      <c r="F139" s="113">
        <v>0</v>
      </c>
      <c r="G139" s="112" t="s">
        <v>214</v>
      </c>
      <c r="H139" s="104">
        <v>10</v>
      </c>
      <c r="I139" s="104">
        <f t="shared" si="83"/>
        <v>107</v>
      </c>
      <c r="L139" s="107">
        <v>3032</v>
      </c>
      <c r="M139" s="106">
        <v>0</v>
      </c>
      <c r="N139" s="969">
        <f t="shared" si="84"/>
        <v>3032</v>
      </c>
      <c r="O139" s="969">
        <f t="shared" si="85"/>
        <v>25.266666666666666</v>
      </c>
      <c r="P139" s="969">
        <f t="shared" si="86"/>
        <v>0</v>
      </c>
      <c r="Q139" s="106">
        <f t="shared" si="87"/>
        <v>0</v>
      </c>
      <c r="R139" s="969">
        <f t="shared" si="88"/>
        <v>0</v>
      </c>
      <c r="S139" s="114">
        <v>1</v>
      </c>
      <c r="T139" s="106">
        <f t="shared" si="89"/>
        <v>0</v>
      </c>
      <c r="U139" s="969">
        <f t="shared" si="90"/>
        <v>3032</v>
      </c>
      <c r="V139" s="969">
        <f t="shared" si="91"/>
        <v>3032</v>
      </c>
      <c r="W139" s="114">
        <v>1</v>
      </c>
      <c r="X139" s="969">
        <f t="shared" si="92"/>
        <v>3032</v>
      </c>
      <c r="Y139" s="969">
        <f t="shared" si="93"/>
        <v>3032</v>
      </c>
      <c r="Z139" s="110">
        <f t="shared" si="94"/>
        <v>0</v>
      </c>
      <c r="AA139" s="106">
        <f t="shared" si="95"/>
        <v>97.166666666666671</v>
      </c>
      <c r="AB139" s="106">
        <f t="shared" si="96"/>
        <v>119</v>
      </c>
      <c r="AC139" s="106">
        <f t="shared" si="97"/>
        <v>107.16666666666667</v>
      </c>
      <c r="AD139" s="106">
        <f t="shared" si="98"/>
        <v>118</v>
      </c>
      <c r="AE139" s="106">
        <f t="shared" si="99"/>
        <v>-8.3333333333333329E-2</v>
      </c>
      <c r="AF139" s="106">
        <f t="shared" si="100"/>
        <v>0</v>
      </c>
      <c r="AG139" s="107"/>
      <c r="AH139" s="107"/>
      <c r="AI139" s="107"/>
    </row>
    <row r="140" spans="2:35">
      <c r="B140" s="104" t="s">
        <v>52</v>
      </c>
      <c r="C140" s="210">
        <v>1997</v>
      </c>
      <c r="D140" s="104">
        <f t="shared" si="82"/>
        <v>97</v>
      </c>
      <c r="E140" s="104">
        <v>4</v>
      </c>
      <c r="F140" s="113">
        <v>0</v>
      </c>
      <c r="G140" s="112" t="s">
        <v>214</v>
      </c>
      <c r="H140" s="104">
        <v>10</v>
      </c>
      <c r="I140" s="104">
        <f t="shared" si="83"/>
        <v>107</v>
      </c>
      <c r="L140" s="107">
        <v>3032</v>
      </c>
      <c r="M140" s="106">
        <v>0</v>
      </c>
      <c r="N140" s="969">
        <f t="shared" si="84"/>
        <v>3032</v>
      </c>
      <c r="O140" s="969">
        <f t="shared" si="85"/>
        <v>25.266666666666666</v>
      </c>
      <c r="P140" s="969">
        <f t="shared" si="86"/>
        <v>0</v>
      </c>
      <c r="Q140" s="106">
        <f t="shared" si="87"/>
        <v>0</v>
      </c>
      <c r="R140" s="969">
        <f t="shared" si="88"/>
        <v>0</v>
      </c>
      <c r="S140" s="114">
        <v>1</v>
      </c>
      <c r="T140" s="106">
        <f t="shared" si="89"/>
        <v>0</v>
      </c>
      <c r="U140" s="969">
        <f t="shared" si="90"/>
        <v>3032</v>
      </c>
      <c r="V140" s="969">
        <f t="shared" si="91"/>
        <v>3032</v>
      </c>
      <c r="W140" s="114">
        <v>1</v>
      </c>
      <c r="X140" s="969">
        <f t="shared" si="92"/>
        <v>3032</v>
      </c>
      <c r="Y140" s="969">
        <f t="shared" si="93"/>
        <v>3032</v>
      </c>
      <c r="Z140" s="110">
        <f t="shared" si="94"/>
        <v>0</v>
      </c>
      <c r="AA140" s="106">
        <f t="shared" si="95"/>
        <v>97.25</v>
      </c>
      <c r="AB140" s="106">
        <f t="shared" si="96"/>
        <v>119</v>
      </c>
      <c r="AC140" s="106">
        <f t="shared" si="97"/>
        <v>107.25</v>
      </c>
      <c r="AD140" s="106">
        <f t="shared" si="98"/>
        <v>118</v>
      </c>
      <c r="AE140" s="106">
        <f t="shared" si="99"/>
        <v>-8.3333333333333329E-2</v>
      </c>
      <c r="AF140" s="106">
        <f t="shared" si="100"/>
        <v>0</v>
      </c>
      <c r="AG140" s="107"/>
      <c r="AH140" s="107"/>
      <c r="AI140" s="107"/>
    </row>
    <row r="141" spans="2:35">
      <c r="B141" s="104" t="s">
        <v>726</v>
      </c>
      <c r="C141" s="210">
        <v>1997</v>
      </c>
      <c r="D141" s="104">
        <f t="shared" si="82"/>
        <v>97</v>
      </c>
      <c r="E141" s="104">
        <v>5</v>
      </c>
      <c r="F141" s="113">
        <v>0</v>
      </c>
      <c r="G141" s="112" t="s">
        <v>214</v>
      </c>
      <c r="H141" s="104">
        <v>7</v>
      </c>
      <c r="I141" s="104">
        <f t="shared" si="83"/>
        <v>104</v>
      </c>
      <c r="L141" s="107">
        <v>434</v>
      </c>
      <c r="M141" s="106">
        <v>0</v>
      </c>
      <c r="N141" s="969">
        <f t="shared" si="84"/>
        <v>434</v>
      </c>
      <c r="O141" s="969">
        <f t="shared" si="85"/>
        <v>5.166666666666667</v>
      </c>
      <c r="P141" s="969">
        <f t="shared" si="86"/>
        <v>0</v>
      </c>
      <c r="Q141" s="106">
        <f t="shared" si="87"/>
        <v>0</v>
      </c>
      <c r="R141" s="969">
        <f t="shared" si="88"/>
        <v>0</v>
      </c>
      <c r="S141" s="114">
        <v>1</v>
      </c>
      <c r="T141" s="106">
        <f t="shared" si="89"/>
        <v>0</v>
      </c>
      <c r="U141" s="969">
        <f t="shared" si="90"/>
        <v>434</v>
      </c>
      <c r="V141" s="969">
        <f t="shared" si="91"/>
        <v>434</v>
      </c>
      <c r="W141" s="114">
        <v>1</v>
      </c>
      <c r="X141" s="969">
        <f t="shared" si="92"/>
        <v>434</v>
      </c>
      <c r="Y141" s="969">
        <f t="shared" si="93"/>
        <v>434</v>
      </c>
      <c r="Z141" s="110">
        <f t="shared" si="94"/>
        <v>0</v>
      </c>
      <c r="AA141" s="106">
        <f t="shared" si="95"/>
        <v>97.333333333333329</v>
      </c>
      <c r="AB141" s="106">
        <f t="shared" si="96"/>
        <v>119</v>
      </c>
      <c r="AC141" s="106">
        <f t="shared" si="97"/>
        <v>104.33333333333333</v>
      </c>
      <c r="AD141" s="106">
        <f t="shared" si="98"/>
        <v>118</v>
      </c>
      <c r="AE141" s="106">
        <f t="shared" si="99"/>
        <v>-8.3333333333333329E-2</v>
      </c>
      <c r="AF141" s="106">
        <f t="shared" si="100"/>
        <v>0</v>
      </c>
      <c r="AG141" s="107"/>
      <c r="AH141" s="107"/>
      <c r="AI141" s="107"/>
    </row>
    <row r="142" spans="2:35">
      <c r="B142" s="104" t="s">
        <v>727</v>
      </c>
      <c r="C142" s="210">
        <v>1997</v>
      </c>
      <c r="D142" s="104">
        <f t="shared" si="82"/>
        <v>97</v>
      </c>
      <c r="E142" s="104">
        <v>5</v>
      </c>
      <c r="F142" s="113">
        <v>0</v>
      </c>
      <c r="G142" s="112" t="s">
        <v>214</v>
      </c>
      <c r="H142" s="104">
        <v>7</v>
      </c>
      <c r="I142" s="104">
        <f t="shared" si="83"/>
        <v>104</v>
      </c>
      <c r="L142" s="107">
        <v>941</v>
      </c>
      <c r="M142" s="106">
        <v>0</v>
      </c>
      <c r="N142" s="969">
        <f t="shared" si="84"/>
        <v>941</v>
      </c>
      <c r="O142" s="969">
        <f t="shared" si="85"/>
        <v>11.202380952380951</v>
      </c>
      <c r="P142" s="969">
        <f t="shared" si="86"/>
        <v>0</v>
      </c>
      <c r="Q142" s="106">
        <f t="shared" si="87"/>
        <v>0</v>
      </c>
      <c r="R142" s="969">
        <f t="shared" si="88"/>
        <v>0</v>
      </c>
      <c r="S142" s="114">
        <v>1</v>
      </c>
      <c r="T142" s="106">
        <f t="shared" si="89"/>
        <v>0</v>
      </c>
      <c r="U142" s="969">
        <f t="shared" si="90"/>
        <v>941</v>
      </c>
      <c r="V142" s="969">
        <f t="shared" si="91"/>
        <v>941</v>
      </c>
      <c r="W142" s="114">
        <v>1</v>
      </c>
      <c r="X142" s="969">
        <f t="shared" si="92"/>
        <v>941</v>
      </c>
      <c r="Y142" s="969">
        <f t="shared" si="93"/>
        <v>941</v>
      </c>
      <c r="Z142" s="110">
        <f t="shared" si="94"/>
        <v>0</v>
      </c>
      <c r="AA142" s="106">
        <f t="shared" si="95"/>
        <v>97.333333333333329</v>
      </c>
      <c r="AB142" s="106">
        <f t="shared" si="96"/>
        <v>119</v>
      </c>
      <c r="AC142" s="106">
        <f t="shared" si="97"/>
        <v>104.33333333333333</v>
      </c>
      <c r="AD142" s="106">
        <f t="shared" si="98"/>
        <v>118</v>
      </c>
      <c r="AE142" s="106">
        <f t="shared" si="99"/>
        <v>-8.3333333333333329E-2</v>
      </c>
      <c r="AF142" s="106">
        <f t="shared" si="100"/>
        <v>0</v>
      </c>
      <c r="AG142" s="107"/>
      <c r="AH142" s="107"/>
      <c r="AI142" s="107"/>
    </row>
    <row r="143" spans="2:35">
      <c r="B143" s="104" t="s">
        <v>728</v>
      </c>
      <c r="C143" s="210">
        <v>1997</v>
      </c>
      <c r="D143" s="104">
        <f t="shared" si="82"/>
        <v>97</v>
      </c>
      <c r="E143" s="104">
        <v>9</v>
      </c>
      <c r="F143" s="113">
        <v>0</v>
      </c>
      <c r="G143" s="112" t="s">
        <v>214</v>
      </c>
      <c r="H143" s="104">
        <v>7</v>
      </c>
      <c r="I143" s="104">
        <f t="shared" ref="I143:I180" si="101">D143+H143</f>
        <v>104</v>
      </c>
      <c r="L143" s="349">
        <v>1300</v>
      </c>
      <c r="M143" s="106">
        <v>0</v>
      </c>
      <c r="N143" s="969">
        <f t="shared" ref="N143:N147" si="102">L143-(+L143*F143)</f>
        <v>1300</v>
      </c>
      <c r="O143" s="969">
        <f t="shared" ref="O143:O147" si="103">N143/H143/12</f>
        <v>15.476190476190476</v>
      </c>
      <c r="P143" s="969">
        <f t="shared" ref="P143:P147" si="104">IF(Q143&gt;0,0,IF(OR(AA143&gt;AB143,AC143&lt;AD143),0,IF(AND(AC143&gt;=AD143,AC143&lt;=AB143),O143*((AC143-AD143)*12),IF(AND(AD143&lt;=AA143,AB143&gt;=AA143),((AB143-AA143)*12)*O143,IF(AC143&gt;AB143,12*O143,0)))))</f>
        <v>0</v>
      </c>
      <c r="Q143" s="106">
        <f t="shared" ref="Q143:Q147" si="105">IF(M143=0,0,IF(AND(AE143&gt;=AD143,AE143&lt;=AC143),((AE143-AD143)*12)*O143,0))</f>
        <v>0</v>
      </c>
      <c r="R143" s="969">
        <f t="shared" ref="R143:R147" si="106">IF(Q143&gt;0,Q143,P143)</f>
        <v>0</v>
      </c>
      <c r="S143" s="114">
        <v>1</v>
      </c>
      <c r="T143" s="106">
        <f t="shared" ref="T143:T147" si="107">S143*SUM(P143:Q143)</f>
        <v>0</v>
      </c>
      <c r="U143" s="969">
        <f t="shared" ref="U143:U147" si="108">IF(AA143&gt;AB143,0,IF(AC143&lt;AD143,N143,IF(AND(AC143&gt;=AD143,AC143&lt;=AB143),(N143-R143),IF(AND(AD143&lt;=AA143,AB143&gt;=AA143),0,IF(AC143&gt;AB143,((AD143-AA143)*12)*O143,0)))))</f>
        <v>1300</v>
      </c>
      <c r="V143" s="969">
        <f t="shared" ref="V143:V147" si="109">U143*S143</f>
        <v>1300</v>
      </c>
      <c r="W143" s="114">
        <v>1</v>
      </c>
      <c r="X143" s="969">
        <f t="shared" ref="X143:X147" si="110">V143*W143</f>
        <v>1300</v>
      </c>
      <c r="Y143" s="969">
        <f t="shared" ref="Y143:Y147" si="111">IF(M143&gt;0,0,X143+T143*W143)*W143</f>
        <v>1300</v>
      </c>
      <c r="Z143" s="110">
        <f t="shared" ref="Z143:Z147" si="112">IF(M143&gt;0,(L143-X143)/2,IF(AA143&gt;=AD143,(((L143*S143)*W143)-Y143)/2,((((L143*S143)*W143)-X143)+(((L143*S143)*W143)-Y143))/2))</f>
        <v>0</v>
      </c>
      <c r="AA143" s="106">
        <f t="shared" ref="AA143:AA200" si="113">$D143+(($E143-1)/12)</f>
        <v>97.666666666666671</v>
      </c>
      <c r="AB143" s="106">
        <f t="shared" ref="AB143:AB200" si="114">($B$10+1)-($B$7/12)</f>
        <v>119</v>
      </c>
      <c r="AC143" s="106">
        <f t="shared" ref="AC143:AC200" si="115">$I143+(($E143-1)/12)</f>
        <v>104.66666666666667</v>
      </c>
      <c r="AD143" s="106">
        <f t="shared" ref="AD143:AD200" si="116">$B$9+($B$8/12)</f>
        <v>118</v>
      </c>
      <c r="AE143" s="106">
        <f t="shared" ref="AE143:AE200" si="117">$J143+(($K143-1)/12)</f>
        <v>-8.3333333333333329E-2</v>
      </c>
      <c r="AF143" s="106">
        <f t="shared" ref="AF143:AF200" si="118">L143-((X143+Y143)/2)-Z143</f>
        <v>0</v>
      </c>
      <c r="AG143" s="107"/>
      <c r="AH143" s="107"/>
      <c r="AI143" s="107"/>
    </row>
    <row r="144" spans="2:35">
      <c r="B144" s="104" t="s">
        <v>516</v>
      </c>
      <c r="C144" s="210">
        <v>1997</v>
      </c>
      <c r="D144" s="104">
        <f t="shared" si="82"/>
        <v>97</v>
      </c>
      <c r="E144" s="104">
        <v>10</v>
      </c>
      <c r="F144" s="113">
        <v>0</v>
      </c>
      <c r="G144" s="112" t="s">
        <v>214</v>
      </c>
      <c r="H144" s="104">
        <v>7</v>
      </c>
      <c r="I144" s="104">
        <f t="shared" si="83"/>
        <v>104</v>
      </c>
      <c r="L144" s="106">
        <v>216</v>
      </c>
      <c r="M144" s="107">
        <v>0</v>
      </c>
      <c r="N144" s="106">
        <f t="shared" si="102"/>
        <v>216</v>
      </c>
      <c r="O144" s="106">
        <f t="shared" si="103"/>
        <v>2.5714285714285716</v>
      </c>
      <c r="P144" s="106">
        <f t="shared" si="104"/>
        <v>0</v>
      </c>
      <c r="Q144" s="106">
        <f t="shared" si="105"/>
        <v>0</v>
      </c>
      <c r="R144" s="106">
        <f t="shared" si="106"/>
        <v>0</v>
      </c>
      <c r="S144" s="114">
        <v>1</v>
      </c>
      <c r="T144" s="106">
        <f t="shared" si="107"/>
        <v>0</v>
      </c>
      <c r="U144" s="106">
        <f t="shared" si="108"/>
        <v>216</v>
      </c>
      <c r="V144" s="106">
        <f t="shared" si="109"/>
        <v>216</v>
      </c>
      <c r="W144" s="114">
        <v>1</v>
      </c>
      <c r="X144" s="106">
        <f t="shared" si="110"/>
        <v>216</v>
      </c>
      <c r="Y144" s="106">
        <f t="shared" si="111"/>
        <v>216</v>
      </c>
      <c r="Z144" s="110">
        <f t="shared" si="112"/>
        <v>0</v>
      </c>
      <c r="AA144" s="106">
        <f t="shared" si="113"/>
        <v>97.75</v>
      </c>
      <c r="AB144" s="106">
        <f t="shared" si="114"/>
        <v>119</v>
      </c>
      <c r="AC144" s="106">
        <f t="shared" si="115"/>
        <v>104.75</v>
      </c>
      <c r="AD144" s="106">
        <f t="shared" si="116"/>
        <v>118</v>
      </c>
      <c r="AE144" s="106">
        <f t="shared" si="117"/>
        <v>-8.3333333333333329E-2</v>
      </c>
      <c r="AF144" s="106">
        <f t="shared" si="118"/>
        <v>0</v>
      </c>
      <c r="AG144" s="107"/>
      <c r="AH144" s="107"/>
      <c r="AI144" s="107"/>
    </row>
    <row r="145" spans="2:35">
      <c r="B145" s="104" t="s">
        <v>729</v>
      </c>
      <c r="C145" s="210">
        <v>1997</v>
      </c>
      <c r="D145" s="104">
        <f t="shared" si="82"/>
        <v>97</v>
      </c>
      <c r="E145" s="104">
        <v>11</v>
      </c>
      <c r="F145" s="113">
        <v>0</v>
      </c>
      <c r="G145" s="112" t="s">
        <v>214</v>
      </c>
      <c r="H145" s="104">
        <v>7</v>
      </c>
      <c r="I145" s="104">
        <f t="shared" si="83"/>
        <v>104</v>
      </c>
      <c r="L145" s="106">
        <v>2508</v>
      </c>
      <c r="M145" s="107">
        <v>0</v>
      </c>
      <c r="N145" s="106">
        <f t="shared" si="102"/>
        <v>2508</v>
      </c>
      <c r="O145" s="106">
        <f t="shared" si="103"/>
        <v>29.857142857142858</v>
      </c>
      <c r="P145" s="106">
        <f t="shared" si="104"/>
        <v>0</v>
      </c>
      <c r="Q145" s="106">
        <f t="shared" si="105"/>
        <v>0</v>
      </c>
      <c r="R145" s="106">
        <f t="shared" si="106"/>
        <v>0</v>
      </c>
      <c r="S145" s="114">
        <v>1</v>
      </c>
      <c r="T145" s="106">
        <f t="shared" si="107"/>
        <v>0</v>
      </c>
      <c r="U145" s="106">
        <f t="shared" si="108"/>
        <v>2508</v>
      </c>
      <c r="V145" s="106">
        <f t="shared" si="109"/>
        <v>2508</v>
      </c>
      <c r="W145" s="114">
        <v>1</v>
      </c>
      <c r="X145" s="106">
        <f t="shared" si="110"/>
        <v>2508</v>
      </c>
      <c r="Y145" s="106">
        <f t="shared" si="111"/>
        <v>2508</v>
      </c>
      <c r="Z145" s="110">
        <f t="shared" si="112"/>
        <v>0</v>
      </c>
      <c r="AA145" s="106">
        <f t="shared" si="113"/>
        <v>97.833333333333329</v>
      </c>
      <c r="AB145" s="106">
        <f t="shared" si="114"/>
        <v>119</v>
      </c>
      <c r="AC145" s="106">
        <f t="shared" si="115"/>
        <v>104.83333333333333</v>
      </c>
      <c r="AD145" s="106">
        <f t="shared" si="116"/>
        <v>118</v>
      </c>
      <c r="AE145" s="106">
        <f t="shared" si="117"/>
        <v>-8.3333333333333329E-2</v>
      </c>
      <c r="AF145" s="106">
        <f t="shared" si="118"/>
        <v>0</v>
      </c>
      <c r="AG145" s="107"/>
      <c r="AH145" s="107"/>
      <c r="AI145" s="107"/>
    </row>
    <row r="146" spans="2:35">
      <c r="B146" s="104" t="s">
        <v>729</v>
      </c>
      <c r="C146" s="210">
        <v>1998</v>
      </c>
      <c r="D146" s="104">
        <f t="shared" si="82"/>
        <v>98</v>
      </c>
      <c r="E146" s="104">
        <v>1</v>
      </c>
      <c r="F146" s="113">
        <v>0</v>
      </c>
      <c r="G146" s="112" t="s">
        <v>214</v>
      </c>
      <c r="H146" s="104">
        <v>7</v>
      </c>
      <c r="I146" s="104">
        <f t="shared" si="83"/>
        <v>105</v>
      </c>
      <c r="L146" s="106">
        <v>2537</v>
      </c>
      <c r="M146" s="119">
        <v>0</v>
      </c>
      <c r="N146" s="106">
        <f t="shared" si="102"/>
        <v>2537</v>
      </c>
      <c r="O146" s="106">
        <f t="shared" si="103"/>
        <v>30.202380952380953</v>
      </c>
      <c r="P146" s="106">
        <f t="shared" si="104"/>
        <v>0</v>
      </c>
      <c r="Q146" s="106">
        <f t="shared" si="105"/>
        <v>0</v>
      </c>
      <c r="R146" s="106">
        <f t="shared" si="106"/>
        <v>0</v>
      </c>
      <c r="S146" s="114">
        <v>1</v>
      </c>
      <c r="T146" s="106">
        <f t="shared" si="107"/>
        <v>0</v>
      </c>
      <c r="U146" s="106">
        <f t="shared" si="108"/>
        <v>2537</v>
      </c>
      <c r="V146" s="106">
        <f t="shared" si="109"/>
        <v>2537</v>
      </c>
      <c r="W146" s="114">
        <v>1</v>
      </c>
      <c r="X146" s="106">
        <f t="shared" si="110"/>
        <v>2537</v>
      </c>
      <c r="Y146" s="106">
        <f t="shared" si="111"/>
        <v>2537</v>
      </c>
      <c r="Z146" s="110">
        <f t="shared" si="112"/>
        <v>0</v>
      </c>
      <c r="AA146" s="106">
        <f t="shared" si="113"/>
        <v>98</v>
      </c>
      <c r="AB146" s="106">
        <f t="shared" si="114"/>
        <v>119</v>
      </c>
      <c r="AC146" s="106">
        <f t="shared" si="115"/>
        <v>105</v>
      </c>
      <c r="AD146" s="106">
        <f t="shared" si="116"/>
        <v>118</v>
      </c>
      <c r="AE146" s="106">
        <f t="shared" si="117"/>
        <v>-8.3333333333333329E-2</v>
      </c>
      <c r="AF146" s="106">
        <f t="shared" si="118"/>
        <v>0</v>
      </c>
      <c r="AG146" s="107"/>
      <c r="AH146" s="107"/>
      <c r="AI146" s="107"/>
    </row>
    <row r="147" spans="2:35">
      <c r="B147" s="104" t="s">
        <v>729</v>
      </c>
      <c r="C147" s="210">
        <v>1998</v>
      </c>
      <c r="D147" s="104">
        <f t="shared" si="82"/>
        <v>98</v>
      </c>
      <c r="E147" s="104">
        <v>2</v>
      </c>
      <c r="F147" s="113">
        <v>0</v>
      </c>
      <c r="G147" s="112" t="s">
        <v>214</v>
      </c>
      <c r="H147" s="104">
        <v>7</v>
      </c>
      <c r="I147" s="104">
        <f t="shared" si="83"/>
        <v>105</v>
      </c>
      <c r="L147" s="106">
        <v>473</v>
      </c>
      <c r="M147" s="119">
        <v>0</v>
      </c>
      <c r="N147" s="106">
        <f t="shared" si="102"/>
        <v>473</v>
      </c>
      <c r="O147" s="106">
        <f t="shared" si="103"/>
        <v>5.6309523809523805</v>
      </c>
      <c r="P147" s="106">
        <f t="shared" si="104"/>
        <v>0</v>
      </c>
      <c r="Q147" s="106">
        <f t="shared" si="105"/>
        <v>0</v>
      </c>
      <c r="R147" s="106">
        <f t="shared" si="106"/>
        <v>0</v>
      </c>
      <c r="S147" s="114">
        <v>1</v>
      </c>
      <c r="T147" s="106">
        <f t="shared" si="107"/>
        <v>0</v>
      </c>
      <c r="U147" s="106">
        <f t="shared" si="108"/>
        <v>473</v>
      </c>
      <c r="V147" s="106">
        <f t="shared" si="109"/>
        <v>473</v>
      </c>
      <c r="W147" s="114">
        <v>1</v>
      </c>
      <c r="X147" s="106">
        <f t="shared" si="110"/>
        <v>473</v>
      </c>
      <c r="Y147" s="106">
        <f t="shared" si="111"/>
        <v>473</v>
      </c>
      <c r="Z147" s="110">
        <f t="shared" si="112"/>
        <v>0</v>
      </c>
      <c r="AA147" s="106">
        <f t="shared" si="113"/>
        <v>98.083333333333329</v>
      </c>
      <c r="AB147" s="106">
        <f t="shared" si="114"/>
        <v>119</v>
      </c>
      <c r="AC147" s="106">
        <f t="shared" si="115"/>
        <v>105.08333333333333</v>
      </c>
      <c r="AD147" s="106">
        <f t="shared" si="116"/>
        <v>118</v>
      </c>
      <c r="AE147" s="106">
        <f t="shared" si="117"/>
        <v>-8.3333333333333329E-2</v>
      </c>
      <c r="AF147" s="106">
        <f t="shared" si="118"/>
        <v>0</v>
      </c>
      <c r="AG147" s="107"/>
      <c r="AH147" s="107"/>
      <c r="AI147" s="107"/>
    </row>
    <row r="148" spans="2:35">
      <c r="B148" s="104" t="s">
        <v>516</v>
      </c>
      <c r="C148" s="210">
        <v>1998</v>
      </c>
      <c r="D148" s="104">
        <f t="shared" si="82"/>
        <v>98</v>
      </c>
      <c r="E148" s="104">
        <v>2</v>
      </c>
      <c r="F148" s="113">
        <v>0</v>
      </c>
      <c r="G148" s="112" t="s">
        <v>214</v>
      </c>
      <c r="H148" s="104">
        <v>7</v>
      </c>
      <c r="I148" s="104">
        <f t="shared" si="83"/>
        <v>105</v>
      </c>
      <c r="L148" s="106">
        <v>162</v>
      </c>
      <c r="M148" s="119">
        <v>0</v>
      </c>
      <c r="N148" s="106">
        <f t="shared" ref="N148:N200" si="119">L148-(+L148*F148)</f>
        <v>162</v>
      </c>
      <c r="O148" s="106">
        <f t="shared" ref="O148:O200" si="120">N148/H148/12</f>
        <v>1.9285714285714286</v>
      </c>
      <c r="P148" s="106">
        <f t="shared" ref="P148:P200" si="121">IF(Q148&gt;0,0,IF(OR(AA148&gt;AB148,AC148&lt;AD148),0,IF(AND(AC148&gt;=AD148,AC148&lt;=AB148),O148*((AC148-AD148)*12),IF(AND(AD148&lt;=AA148,AB148&gt;=AA148),((AB148-AA148)*12)*O148,IF(AC148&gt;AB148,12*O148,0)))))</f>
        <v>0</v>
      </c>
      <c r="Q148" s="106">
        <f t="shared" ref="Q148:Q200" si="122">IF(M148=0,0,IF(AND(AE148&gt;=AD148,AE148&lt;=AC148),((AE148-AD148)*12)*O148,0))</f>
        <v>0</v>
      </c>
      <c r="R148" s="106">
        <f t="shared" ref="R148:R200" si="123">IF(Q148&gt;0,Q148,P148)</f>
        <v>0</v>
      </c>
      <c r="S148" s="114">
        <v>1</v>
      </c>
      <c r="T148" s="106">
        <f t="shared" ref="T148:T200" si="124">S148*SUM(P148:Q148)</f>
        <v>0</v>
      </c>
      <c r="U148" s="106">
        <f t="shared" ref="U148:U200" si="125">IF(AA148&gt;AB148,0,IF(AC148&lt;AD148,N148,IF(AND(AC148&gt;=AD148,AC148&lt;=AB148),(N148-R148),IF(AND(AD148&lt;=AA148,AB148&gt;=AA148),0,IF(AC148&gt;AB148,((AD148-AA148)*12)*O148,0)))))</f>
        <v>162</v>
      </c>
      <c r="V148" s="106">
        <f t="shared" ref="V148:V200" si="126">U148*S148</f>
        <v>162</v>
      </c>
      <c r="W148" s="114">
        <v>1</v>
      </c>
      <c r="X148" s="106">
        <f t="shared" ref="X148:X200" si="127">V148*W148</f>
        <v>162</v>
      </c>
      <c r="Y148" s="106">
        <f t="shared" ref="Y148:Y200" si="128">IF(M148&gt;0,0,X148+T148*W148)*W148</f>
        <v>162</v>
      </c>
      <c r="Z148" s="110">
        <f t="shared" ref="Z148:Z200" si="129">IF(M148&gt;0,(L148-X148)/2,IF(AA148&gt;=AD148,(((L148*S148)*W148)-Y148)/2,((((L148*S148)*W148)-X148)+(((L148*S148)*W148)-Y148))/2))</f>
        <v>0</v>
      </c>
      <c r="AA148" s="106">
        <f t="shared" si="113"/>
        <v>98.083333333333329</v>
      </c>
      <c r="AB148" s="106">
        <f t="shared" si="114"/>
        <v>119</v>
      </c>
      <c r="AC148" s="106">
        <f t="shared" si="115"/>
        <v>105.08333333333333</v>
      </c>
      <c r="AD148" s="106">
        <f t="shared" si="116"/>
        <v>118</v>
      </c>
      <c r="AE148" s="106">
        <f t="shared" si="117"/>
        <v>-8.3333333333333329E-2</v>
      </c>
      <c r="AF148" s="106">
        <f t="shared" ref="AF148:AF199" si="130">L148-((X148+Y148)/2)-Z148</f>
        <v>0</v>
      </c>
      <c r="AG148" s="107"/>
      <c r="AH148" s="107"/>
      <c r="AI148" s="107"/>
    </row>
    <row r="149" spans="2:35">
      <c r="B149" s="104" t="s">
        <v>729</v>
      </c>
      <c r="C149" s="210">
        <v>1998</v>
      </c>
      <c r="D149" s="104">
        <f t="shared" si="82"/>
        <v>98</v>
      </c>
      <c r="E149" s="104">
        <v>3</v>
      </c>
      <c r="F149" s="113">
        <v>0</v>
      </c>
      <c r="G149" s="112" t="s">
        <v>214</v>
      </c>
      <c r="H149" s="104">
        <v>7</v>
      </c>
      <c r="I149" s="104">
        <f t="shared" si="83"/>
        <v>105</v>
      </c>
      <c r="L149" s="106">
        <v>1145</v>
      </c>
      <c r="M149" s="119">
        <v>0</v>
      </c>
      <c r="N149" s="106">
        <f t="shared" si="119"/>
        <v>1145</v>
      </c>
      <c r="O149" s="106">
        <f t="shared" si="120"/>
        <v>13.630952380952381</v>
      </c>
      <c r="P149" s="106">
        <f t="shared" si="121"/>
        <v>0</v>
      </c>
      <c r="Q149" s="106">
        <f t="shared" si="122"/>
        <v>0</v>
      </c>
      <c r="R149" s="106">
        <f t="shared" si="123"/>
        <v>0</v>
      </c>
      <c r="S149" s="114">
        <v>1</v>
      </c>
      <c r="T149" s="106">
        <f t="shared" si="124"/>
        <v>0</v>
      </c>
      <c r="U149" s="106">
        <f t="shared" si="125"/>
        <v>1145</v>
      </c>
      <c r="V149" s="106">
        <f t="shared" si="126"/>
        <v>1145</v>
      </c>
      <c r="W149" s="114">
        <v>1</v>
      </c>
      <c r="X149" s="106">
        <f t="shared" si="127"/>
        <v>1145</v>
      </c>
      <c r="Y149" s="106">
        <f t="shared" si="128"/>
        <v>1145</v>
      </c>
      <c r="Z149" s="110">
        <f t="shared" si="129"/>
        <v>0</v>
      </c>
      <c r="AA149" s="106">
        <f t="shared" si="113"/>
        <v>98.166666666666671</v>
      </c>
      <c r="AB149" s="106">
        <f t="shared" si="114"/>
        <v>119</v>
      </c>
      <c r="AC149" s="106">
        <f t="shared" si="115"/>
        <v>105.16666666666667</v>
      </c>
      <c r="AD149" s="106">
        <f t="shared" si="116"/>
        <v>118</v>
      </c>
      <c r="AE149" s="106">
        <f t="shared" si="117"/>
        <v>-8.3333333333333329E-2</v>
      </c>
      <c r="AF149" s="106">
        <f t="shared" si="130"/>
        <v>0</v>
      </c>
      <c r="AG149" s="107"/>
      <c r="AH149" s="107"/>
      <c r="AI149" s="107"/>
    </row>
    <row r="150" spans="2:35">
      <c r="B150" s="104" t="s">
        <v>730</v>
      </c>
      <c r="C150" s="210">
        <v>1998</v>
      </c>
      <c r="D150" s="104">
        <f t="shared" si="82"/>
        <v>98</v>
      </c>
      <c r="E150" s="104">
        <v>3</v>
      </c>
      <c r="F150" s="113">
        <v>0</v>
      </c>
      <c r="G150" s="112" t="s">
        <v>214</v>
      </c>
      <c r="H150" s="104">
        <v>7</v>
      </c>
      <c r="I150" s="104">
        <f t="shared" si="83"/>
        <v>105</v>
      </c>
      <c r="L150" s="106">
        <v>4666</v>
      </c>
      <c r="M150" s="119">
        <v>0</v>
      </c>
      <c r="N150" s="106">
        <f t="shared" si="119"/>
        <v>4666</v>
      </c>
      <c r="O150" s="106">
        <f t="shared" si="120"/>
        <v>55.547619047619044</v>
      </c>
      <c r="P150" s="106">
        <f t="shared" si="121"/>
        <v>0</v>
      </c>
      <c r="Q150" s="106">
        <f t="shared" si="122"/>
        <v>0</v>
      </c>
      <c r="R150" s="106">
        <f t="shared" si="123"/>
        <v>0</v>
      </c>
      <c r="S150" s="114">
        <v>1</v>
      </c>
      <c r="T150" s="106">
        <f t="shared" si="124"/>
        <v>0</v>
      </c>
      <c r="U150" s="106">
        <f t="shared" si="125"/>
        <v>4666</v>
      </c>
      <c r="V150" s="106">
        <f t="shared" si="126"/>
        <v>4666</v>
      </c>
      <c r="W150" s="114">
        <v>1</v>
      </c>
      <c r="X150" s="106">
        <f t="shared" si="127"/>
        <v>4666</v>
      </c>
      <c r="Y150" s="106">
        <f t="shared" si="128"/>
        <v>4666</v>
      </c>
      <c r="Z150" s="110">
        <f t="shared" si="129"/>
        <v>0</v>
      </c>
      <c r="AA150" s="106">
        <f t="shared" si="113"/>
        <v>98.166666666666671</v>
      </c>
      <c r="AB150" s="106">
        <f t="shared" si="114"/>
        <v>119</v>
      </c>
      <c r="AC150" s="106">
        <f t="shared" si="115"/>
        <v>105.16666666666667</v>
      </c>
      <c r="AD150" s="106">
        <f t="shared" si="116"/>
        <v>118</v>
      </c>
      <c r="AE150" s="106">
        <f t="shared" si="117"/>
        <v>-8.3333333333333329E-2</v>
      </c>
      <c r="AF150" s="106">
        <f t="shared" si="130"/>
        <v>0</v>
      </c>
      <c r="AG150" s="107"/>
      <c r="AH150" s="107"/>
      <c r="AI150" s="107"/>
    </row>
    <row r="151" spans="2:35">
      <c r="B151" s="104" t="s">
        <v>731</v>
      </c>
      <c r="C151" s="210">
        <v>1998</v>
      </c>
      <c r="D151" s="104">
        <f t="shared" si="82"/>
        <v>98</v>
      </c>
      <c r="E151" s="104">
        <v>6</v>
      </c>
      <c r="F151" s="113">
        <v>0</v>
      </c>
      <c r="G151" s="112" t="s">
        <v>214</v>
      </c>
      <c r="H151" s="104">
        <v>7</v>
      </c>
      <c r="I151" s="104">
        <f t="shared" si="83"/>
        <v>105</v>
      </c>
      <c r="L151" s="106">
        <v>4663</v>
      </c>
      <c r="M151" s="119">
        <v>0</v>
      </c>
      <c r="N151" s="106">
        <f t="shared" si="119"/>
        <v>4663</v>
      </c>
      <c r="O151" s="106">
        <f t="shared" si="120"/>
        <v>55.511904761904759</v>
      </c>
      <c r="P151" s="106">
        <f t="shared" si="121"/>
        <v>0</v>
      </c>
      <c r="Q151" s="106">
        <f t="shared" si="122"/>
        <v>0</v>
      </c>
      <c r="R151" s="106">
        <f t="shared" si="123"/>
        <v>0</v>
      </c>
      <c r="S151" s="114">
        <v>1</v>
      </c>
      <c r="T151" s="106">
        <f t="shared" si="124"/>
        <v>0</v>
      </c>
      <c r="U151" s="106">
        <f t="shared" si="125"/>
        <v>4663</v>
      </c>
      <c r="V151" s="106">
        <f t="shared" si="126"/>
        <v>4663</v>
      </c>
      <c r="W151" s="114">
        <v>1</v>
      </c>
      <c r="X151" s="106">
        <f t="shared" si="127"/>
        <v>4663</v>
      </c>
      <c r="Y151" s="106">
        <f t="shared" si="128"/>
        <v>4663</v>
      </c>
      <c r="Z151" s="110">
        <f t="shared" si="129"/>
        <v>0</v>
      </c>
      <c r="AA151" s="106">
        <f t="shared" si="113"/>
        <v>98.416666666666671</v>
      </c>
      <c r="AB151" s="106">
        <f t="shared" si="114"/>
        <v>119</v>
      </c>
      <c r="AC151" s="106">
        <f t="shared" si="115"/>
        <v>105.41666666666667</v>
      </c>
      <c r="AD151" s="106">
        <f t="shared" si="116"/>
        <v>118</v>
      </c>
      <c r="AE151" s="106">
        <f t="shared" si="117"/>
        <v>-8.3333333333333329E-2</v>
      </c>
      <c r="AF151" s="106">
        <f t="shared" si="130"/>
        <v>0</v>
      </c>
      <c r="AG151" s="107"/>
      <c r="AH151" s="107"/>
      <c r="AI151" s="107"/>
    </row>
    <row r="152" spans="2:35">
      <c r="B152" s="104" t="s">
        <v>732</v>
      </c>
      <c r="C152" s="210">
        <v>1998</v>
      </c>
      <c r="D152" s="104">
        <f t="shared" si="82"/>
        <v>98</v>
      </c>
      <c r="E152" s="104">
        <v>12</v>
      </c>
      <c r="F152" s="113">
        <v>0</v>
      </c>
      <c r="G152" s="112" t="s">
        <v>214</v>
      </c>
      <c r="H152" s="104">
        <v>7</v>
      </c>
      <c r="I152" s="104">
        <f t="shared" si="83"/>
        <v>105</v>
      </c>
      <c r="L152" s="106">
        <v>8431</v>
      </c>
      <c r="M152" s="119">
        <v>0</v>
      </c>
      <c r="N152" s="106">
        <f t="shared" si="119"/>
        <v>8431</v>
      </c>
      <c r="O152" s="106">
        <f t="shared" si="120"/>
        <v>100.36904761904761</v>
      </c>
      <c r="P152" s="106">
        <f t="shared" si="121"/>
        <v>0</v>
      </c>
      <c r="Q152" s="106">
        <f t="shared" si="122"/>
        <v>0</v>
      </c>
      <c r="R152" s="106">
        <f t="shared" si="123"/>
        <v>0</v>
      </c>
      <c r="S152" s="114">
        <v>1</v>
      </c>
      <c r="T152" s="106">
        <f t="shared" si="124"/>
        <v>0</v>
      </c>
      <c r="U152" s="106">
        <f t="shared" si="125"/>
        <v>8431</v>
      </c>
      <c r="V152" s="106">
        <f t="shared" si="126"/>
        <v>8431</v>
      </c>
      <c r="W152" s="114">
        <v>1</v>
      </c>
      <c r="X152" s="106">
        <f t="shared" si="127"/>
        <v>8431</v>
      </c>
      <c r="Y152" s="106">
        <f t="shared" si="128"/>
        <v>8431</v>
      </c>
      <c r="Z152" s="110">
        <f t="shared" si="129"/>
        <v>0</v>
      </c>
      <c r="AA152" s="106">
        <f t="shared" si="113"/>
        <v>98.916666666666671</v>
      </c>
      <c r="AB152" s="106">
        <f t="shared" si="114"/>
        <v>119</v>
      </c>
      <c r="AC152" s="106">
        <f t="shared" si="115"/>
        <v>105.91666666666667</v>
      </c>
      <c r="AD152" s="106">
        <f t="shared" si="116"/>
        <v>118</v>
      </c>
      <c r="AE152" s="106">
        <f t="shared" si="117"/>
        <v>-8.3333333333333329E-2</v>
      </c>
      <c r="AF152" s="106">
        <f t="shared" si="130"/>
        <v>0</v>
      </c>
      <c r="AG152" s="107"/>
      <c r="AH152" s="107"/>
      <c r="AI152" s="107"/>
    </row>
    <row r="153" spans="2:35">
      <c r="B153" s="104" t="s">
        <v>733</v>
      </c>
      <c r="C153" s="210">
        <v>1998</v>
      </c>
      <c r="D153" s="104">
        <f t="shared" si="82"/>
        <v>98</v>
      </c>
      <c r="E153" s="104">
        <v>12</v>
      </c>
      <c r="F153" s="113">
        <v>0</v>
      </c>
      <c r="G153" s="112" t="s">
        <v>214</v>
      </c>
      <c r="H153" s="104">
        <v>7</v>
      </c>
      <c r="I153" s="104">
        <f t="shared" si="83"/>
        <v>105</v>
      </c>
      <c r="L153" s="106">
        <v>3191</v>
      </c>
      <c r="M153" s="119">
        <v>0</v>
      </c>
      <c r="N153" s="106">
        <f t="shared" si="119"/>
        <v>3191</v>
      </c>
      <c r="O153" s="106">
        <f t="shared" si="120"/>
        <v>37.988095238095234</v>
      </c>
      <c r="P153" s="106">
        <f t="shared" si="121"/>
        <v>0</v>
      </c>
      <c r="Q153" s="106">
        <f t="shared" si="122"/>
        <v>0</v>
      </c>
      <c r="R153" s="106">
        <f t="shared" si="123"/>
        <v>0</v>
      </c>
      <c r="S153" s="114">
        <v>1</v>
      </c>
      <c r="T153" s="106">
        <f t="shared" si="124"/>
        <v>0</v>
      </c>
      <c r="U153" s="106">
        <f t="shared" si="125"/>
        <v>3191</v>
      </c>
      <c r="V153" s="106">
        <f t="shared" si="126"/>
        <v>3191</v>
      </c>
      <c r="W153" s="114">
        <v>1</v>
      </c>
      <c r="X153" s="106">
        <f t="shared" si="127"/>
        <v>3191</v>
      </c>
      <c r="Y153" s="106">
        <f t="shared" si="128"/>
        <v>3191</v>
      </c>
      <c r="Z153" s="110">
        <f t="shared" si="129"/>
        <v>0</v>
      </c>
      <c r="AA153" s="106">
        <f t="shared" si="113"/>
        <v>98.916666666666671</v>
      </c>
      <c r="AB153" s="106">
        <f t="shared" si="114"/>
        <v>119</v>
      </c>
      <c r="AC153" s="106">
        <f t="shared" si="115"/>
        <v>105.91666666666667</v>
      </c>
      <c r="AD153" s="106">
        <f t="shared" si="116"/>
        <v>118</v>
      </c>
      <c r="AE153" s="106">
        <f t="shared" si="117"/>
        <v>-8.3333333333333329E-2</v>
      </c>
      <c r="AF153" s="106">
        <f t="shared" si="130"/>
        <v>0</v>
      </c>
      <c r="AG153" s="107"/>
      <c r="AH153" s="107"/>
      <c r="AI153" s="107"/>
    </row>
    <row r="154" spans="2:35">
      <c r="B154" s="104" t="s">
        <v>516</v>
      </c>
      <c r="C154" s="210">
        <v>1999</v>
      </c>
      <c r="D154" s="104">
        <f t="shared" si="82"/>
        <v>99</v>
      </c>
      <c r="E154" s="104">
        <v>3</v>
      </c>
      <c r="F154" s="113">
        <v>0</v>
      </c>
      <c r="G154" s="112" t="s">
        <v>214</v>
      </c>
      <c r="H154" s="104">
        <v>7</v>
      </c>
      <c r="I154" s="104">
        <f t="shared" si="83"/>
        <v>106</v>
      </c>
      <c r="L154" s="106">
        <v>1497</v>
      </c>
      <c r="M154" s="119">
        <v>0</v>
      </c>
      <c r="N154" s="106">
        <f t="shared" si="119"/>
        <v>1497</v>
      </c>
      <c r="O154" s="106">
        <f t="shared" si="120"/>
        <v>17.821428571428573</v>
      </c>
      <c r="P154" s="106">
        <f t="shared" si="121"/>
        <v>0</v>
      </c>
      <c r="Q154" s="106">
        <f t="shared" si="122"/>
        <v>0</v>
      </c>
      <c r="R154" s="106">
        <f t="shared" si="123"/>
        <v>0</v>
      </c>
      <c r="S154" s="114">
        <v>1</v>
      </c>
      <c r="T154" s="106">
        <f t="shared" si="124"/>
        <v>0</v>
      </c>
      <c r="U154" s="106">
        <f t="shared" si="125"/>
        <v>1497</v>
      </c>
      <c r="V154" s="106">
        <f t="shared" si="126"/>
        <v>1497</v>
      </c>
      <c r="W154" s="114">
        <v>1</v>
      </c>
      <c r="X154" s="106">
        <f t="shared" si="127"/>
        <v>1497</v>
      </c>
      <c r="Y154" s="106">
        <f t="shared" si="128"/>
        <v>1497</v>
      </c>
      <c r="Z154" s="110">
        <f t="shared" si="129"/>
        <v>0</v>
      </c>
      <c r="AA154" s="106">
        <f t="shared" si="113"/>
        <v>99.166666666666671</v>
      </c>
      <c r="AB154" s="106">
        <f t="shared" si="114"/>
        <v>119</v>
      </c>
      <c r="AC154" s="106">
        <f t="shared" si="115"/>
        <v>106.16666666666667</v>
      </c>
      <c r="AD154" s="106">
        <f t="shared" si="116"/>
        <v>118</v>
      </c>
      <c r="AE154" s="106">
        <f t="shared" si="117"/>
        <v>-8.3333333333333329E-2</v>
      </c>
      <c r="AF154" s="106">
        <f t="shared" si="130"/>
        <v>0</v>
      </c>
      <c r="AG154" s="107"/>
      <c r="AH154" s="107"/>
      <c r="AI154" s="107"/>
    </row>
    <row r="155" spans="2:35">
      <c r="B155" s="104" t="s">
        <v>734</v>
      </c>
      <c r="C155" s="210">
        <v>1999</v>
      </c>
      <c r="D155" s="104">
        <f t="shared" si="82"/>
        <v>99</v>
      </c>
      <c r="E155" s="104">
        <v>3</v>
      </c>
      <c r="F155" s="113">
        <v>0</v>
      </c>
      <c r="G155" s="112" t="s">
        <v>214</v>
      </c>
      <c r="H155" s="104">
        <v>7</v>
      </c>
      <c r="I155" s="104">
        <f t="shared" si="83"/>
        <v>106</v>
      </c>
      <c r="L155" s="106">
        <v>534</v>
      </c>
      <c r="M155" s="119">
        <v>0</v>
      </c>
      <c r="N155" s="106">
        <f t="shared" si="119"/>
        <v>534</v>
      </c>
      <c r="O155" s="106">
        <f t="shared" si="120"/>
        <v>6.3571428571428577</v>
      </c>
      <c r="P155" s="106">
        <f t="shared" si="121"/>
        <v>0</v>
      </c>
      <c r="Q155" s="106">
        <f t="shared" si="122"/>
        <v>0</v>
      </c>
      <c r="R155" s="106">
        <f t="shared" si="123"/>
        <v>0</v>
      </c>
      <c r="S155" s="114">
        <v>1</v>
      </c>
      <c r="T155" s="106">
        <f t="shared" si="124"/>
        <v>0</v>
      </c>
      <c r="U155" s="106">
        <f t="shared" si="125"/>
        <v>534</v>
      </c>
      <c r="V155" s="106">
        <f t="shared" si="126"/>
        <v>534</v>
      </c>
      <c r="W155" s="114">
        <v>1</v>
      </c>
      <c r="X155" s="106">
        <f t="shared" si="127"/>
        <v>534</v>
      </c>
      <c r="Y155" s="106">
        <f t="shared" si="128"/>
        <v>534</v>
      </c>
      <c r="Z155" s="110">
        <f t="shared" si="129"/>
        <v>0</v>
      </c>
      <c r="AA155" s="106">
        <f t="shared" si="113"/>
        <v>99.166666666666671</v>
      </c>
      <c r="AB155" s="106">
        <f t="shared" si="114"/>
        <v>119</v>
      </c>
      <c r="AC155" s="106">
        <f t="shared" si="115"/>
        <v>106.16666666666667</v>
      </c>
      <c r="AD155" s="106">
        <f t="shared" si="116"/>
        <v>118</v>
      </c>
      <c r="AE155" s="106">
        <f t="shared" si="117"/>
        <v>-8.3333333333333329E-2</v>
      </c>
      <c r="AF155" s="106">
        <f t="shared" si="130"/>
        <v>0</v>
      </c>
      <c r="AG155" s="107"/>
      <c r="AH155" s="107"/>
      <c r="AI155" s="107"/>
    </row>
    <row r="156" spans="2:35">
      <c r="B156" s="104" t="s">
        <v>690</v>
      </c>
      <c r="C156" s="210">
        <v>1999</v>
      </c>
      <c r="D156" s="104">
        <f t="shared" si="82"/>
        <v>99</v>
      </c>
      <c r="E156" s="104">
        <v>11</v>
      </c>
      <c r="F156" s="113">
        <v>0</v>
      </c>
      <c r="G156" s="112" t="s">
        <v>214</v>
      </c>
      <c r="H156" s="104">
        <v>7</v>
      </c>
      <c r="I156" s="104">
        <f t="shared" si="83"/>
        <v>106</v>
      </c>
      <c r="L156" s="106">
        <v>127</v>
      </c>
      <c r="M156" s="119">
        <v>0</v>
      </c>
      <c r="N156" s="106">
        <f t="shared" si="119"/>
        <v>127</v>
      </c>
      <c r="O156" s="106">
        <f t="shared" si="120"/>
        <v>1.5119047619047619</v>
      </c>
      <c r="P156" s="106">
        <f t="shared" si="121"/>
        <v>0</v>
      </c>
      <c r="Q156" s="106">
        <f t="shared" si="122"/>
        <v>0</v>
      </c>
      <c r="R156" s="106">
        <f t="shared" si="123"/>
        <v>0</v>
      </c>
      <c r="S156" s="114">
        <v>1</v>
      </c>
      <c r="T156" s="106">
        <f t="shared" si="124"/>
        <v>0</v>
      </c>
      <c r="U156" s="106">
        <f t="shared" si="125"/>
        <v>127</v>
      </c>
      <c r="V156" s="106">
        <f t="shared" si="126"/>
        <v>127</v>
      </c>
      <c r="W156" s="114">
        <v>1</v>
      </c>
      <c r="X156" s="106">
        <f t="shared" si="127"/>
        <v>127</v>
      </c>
      <c r="Y156" s="106">
        <f t="shared" si="128"/>
        <v>127</v>
      </c>
      <c r="Z156" s="110">
        <f t="shared" si="129"/>
        <v>0</v>
      </c>
      <c r="AA156" s="106">
        <f t="shared" si="113"/>
        <v>99.833333333333329</v>
      </c>
      <c r="AB156" s="106">
        <f t="shared" si="114"/>
        <v>119</v>
      </c>
      <c r="AC156" s="106">
        <f t="shared" si="115"/>
        <v>106.83333333333333</v>
      </c>
      <c r="AD156" s="106">
        <f t="shared" si="116"/>
        <v>118</v>
      </c>
      <c r="AE156" s="106">
        <f t="shared" si="117"/>
        <v>-8.3333333333333329E-2</v>
      </c>
      <c r="AF156" s="106">
        <f t="shared" si="130"/>
        <v>0</v>
      </c>
      <c r="AG156" s="107"/>
      <c r="AH156" s="107"/>
      <c r="AI156" s="107"/>
    </row>
    <row r="157" spans="2:35">
      <c r="B157" s="104" t="s">
        <v>735</v>
      </c>
      <c r="C157" s="210">
        <v>2000</v>
      </c>
      <c r="D157" s="104">
        <f t="shared" si="82"/>
        <v>100</v>
      </c>
      <c r="E157" s="104">
        <v>6</v>
      </c>
      <c r="F157" s="113">
        <v>0</v>
      </c>
      <c r="G157" s="112" t="s">
        <v>214</v>
      </c>
      <c r="H157" s="104">
        <v>7</v>
      </c>
      <c r="I157" s="104">
        <f t="shared" si="83"/>
        <v>107</v>
      </c>
      <c r="L157" s="106">
        <v>526</v>
      </c>
      <c r="M157" s="119">
        <v>0</v>
      </c>
      <c r="N157" s="106">
        <f t="shared" si="119"/>
        <v>526</v>
      </c>
      <c r="O157" s="106">
        <f t="shared" si="120"/>
        <v>6.2619047619047619</v>
      </c>
      <c r="P157" s="106">
        <f t="shared" si="121"/>
        <v>0</v>
      </c>
      <c r="Q157" s="106">
        <f t="shared" si="122"/>
        <v>0</v>
      </c>
      <c r="R157" s="106">
        <f t="shared" si="123"/>
        <v>0</v>
      </c>
      <c r="S157" s="114">
        <v>1</v>
      </c>
      <c r="T157" s="106">
        <f t="shared" si="124"/>
        <v>0</v>
      </c>
      <c r="U157" s="106">
        <f t="shared" si="125"/>
        <v>526</v>
      </c>
      <c r="V157" s="106">
        <f t="shared" si="126"/>
        <v>526</v>
      </c>
      <c r="W157" s="114">
        <v>1</v>
      </c>
      <c r="X157" s="106">
        <f t="shared" si="127"/>
        <v>526</v>
      </c>
      <c r="Y157" s="106">
        <f t="shared" si="128"/>
        <v>526</v>
      </c>
      <c r="Z157" s="110">
        <f t="shared" si="129"/>
        <v>0</v>
      </c>
      <c r="AA157" s="106">
        <f t="shared" si="113"/>
        <v>100.41666666666667</v>
      </c>
      <c r="AB157" s="106">
        <f t="shared" si="114"/>
        <v>119</v>
      </c>
      <c r="AC157" s="106">
        <f t="shared" si="115"/>
        <v>107.41666666666667</v>
      </c>
      <c r="AD157" s="106">
        <f t="shared" si="116"/>
        <v>118</v>
      </c>
      <c r="AE157" s="106">
        <f t="shared" si="117"/>
        <v>-8.3333333333333329E-2</v>
      </c>
      <c r="AF157" s="106">
        <f t="shared" si="130"/>
        <v>0</v>
      </c>
      <c r="AG157" s="107"/>
      <c r="AH157" s="107"/>
      <c r="AI157" s="107"/>
    </row>
    <row r="158" spans="2:35">
      <c r="B158" s="104" t="s">
        <v>734</v>
      </c>
      <c r="C158" s="210">
        <v>2001</v>
      </c>
      <c r="D158" s="104">
        <f t="shared" si="82"/>
        <v>101</v>
      </c>
      <c r="E158" s="104">
        <v>4</v>
      </c>
      <c r="F158" s="113">
        <v>0</v>
      </c>
      <c r="G158" s="112" t="s">
        <v>214</v>
      </c>
      <c r="H158" s="104">
        <v>7</v>
      </c>
      <c r="I158" s="104">
        <f t="shared" si="83"/>
        <v>108</v>
      </c>
      <c r="L158" s="106">
        <v>2432</v>
      </c>
      <c r="M158" s="119">
        <v>0</v>
      </c>
      <c r="N158" s="106">
        <f t="shared" si="119"/>
        <v>2432</v>
      </c>
      <c r="O158" s="106">
        <f t="shared" si="120"/>
        <v>28.952380952380953</v>
      </c>
      <c r="P158" s="106">
        <f t="shared" si="121"/>
        <v>0</v>
      </c>
      <c r="Q158" s="106">
        <f t="shared" si="122"/>
        <v>0</v>
      </c>
      <c r="R158" s="106">
        <f t="shared" si="123"/>
        <v>0</v>
      </c>
      <c r="S158" s="114">
        <v>1</v>
      </c>
      <c r="T158" s="106">
        <f t="shared" si="124"/>
        <v>0</v>
      </c>
      <c r="U158" s="106">
        <f t="shared" si="125"/>
        <v>2432</v>
      </c>
      <c r="V158" s="106">
        <f t="shared" si="126"/>
        <v>2432</v>
      </c>
      <c r="W158" s="114">
        <v>1</v>
      </c>
      <c r="X158" s="106">
        <f t="shared" si="127"/>
        <v>2432</v>
      </c>
      <c r="Y158" s="106">
        <f t="shared" si="128"/>
        <v>2432</v>
      </c>
      <c r="Z158" s="110">
        <f t="shared" si="129"/>
        <v>0</v>
      </c>
      <c r="AA158" s="106">
        <f t="shared" si="113"/>
        <v>101.25</v>
      </c>
      <c r="AB158" s="106">
        <f t="shared" si="114"/>
        <v>119</v>
      </c>
      <c r="AC158" s="106">
        <f t="shared" si="115"/>
        <v>108.25</v>
      </c>
      <c r="AD158" s="106">
        <f t="shared" si="116"/>
        <v>118</v>
      </c>
      <c r="AE158" s="106">
        <f t="shared" si="117"/>
        <v>-8.3333333333333329E-2</v>
      </c>
      <c r="AF158" s="106">
        <f t="shared" si="130"/>
        <v>0</v>
      </c>
      <c r="AG158" s="107"/>
      <c r="AH158" s="107"/>
      <c r="AI158" s="107"/>
    </row>
    <row r="159" spans="2:35">
      <c r="B159" s="104" t="s">
        <v>833</v>
      </c>
      <c r="C159" s="210">
        <v>2001</v>
      </c>
      <c r="D159" s="104">
        <f t="shared" si="82"/>
        <v>101</v>
      </c>
      <c r="E159" s="104">
        <v>4</v>
      </c>
      <c r="F159" s="113">
        <v>0</v>
      </c>
      <c r="G159" s="112" t="s">
        <v>214</v>
      </c>
      <c r="H159" s="104">
        <v>7</v>
      </c>
      <c r="I159" s="104">
        <f t="shared" si="83"/>
        <v>108</v>
      </c>
      <c r="L159" s="106">
        <v>1614</v>
      </c>
      <c r="M159" s="119">
        <v>0</v>
      </c>
      <c r="N159" s="106">
        <f t="shared" si="119"/>
        <v>1614</v>
      </c>
      <c r="O159" s="106">
        <f t="shared" si="120"/>
        <v>19.214285714285715</v>
      </c>
      <c r="P159" s="106">
        <f t="shared" si="121"/>
        <v>0</v>
      </c>
      <c r="Q159" s="106">
        <f t="shared" si="122"/>
        <v>0</v>
      </c>
      <c r="R159" s="106">
        <f t="shared" si="123"/>
        <v>0</v>
      </c>
      <c r="S159" s="114">
        <v>1</v>
      </c>
      <c r="T159" s="106">
        <f t="shared" si="124"/>
        <v>0</v>
      </c>
      <c r="U159" s="106">
        <f t="shared" si="125"/>
        <v>1614</v>
      </c>
      <c r="V159" s="106">
        <f t="shared" si="126"/>
        <v>1614</v>
      </c>
      <c r="W159" s="114">
        <v>1</v>
      </c>
      <c r="X159" s="106">
        <f t="shared" si="127"/>
        <v>1614</v>
      </c>
      <c r="Y159" s="106">
        <f t="shared" si="128"/>
        <v>1614</v>
      </c>
      <c r="Z159" s="110">
        <f t="shared" si="129"/>
        <v>0</v>
      </c>
      <c r="AA159" s="106">
        <f t="shared" si="113"/>
        <v>101.25</v>
      </c>
      <c r="AB159" s="106">
        <f t="shared" si="114"/>
        <v>119</v>
      </c>
      <c r="AC159" s="106">
        <f t="shared" si="115"/>
        <v>108.25</v>
      </c>
      <c r="AD159" s="106">
        <f t="shared" si="116"/>
        <v>118</v>
      </c>
      <c r="AE159" s="106">
        <f t="shared" si="117"/>
        <v>-8.3333333333333329E-2</v>
      </c>
      <c r="AF159" s="106">
        <f t="shared" si="130"/>
        <v>0</v>
      </c>
      <c r="AG159" s="107"/>
      <c r="AH159" s="107"/>
      <c r="AI159" s="107"/>
    </row>
    <row r="160" spans="2:35">
      <c r="B160" s="104" t="s">
        <v>736</v>
      </c>
      <c r="C160" s="210">
        <v>2001</v>
      </c>
      <c r="D160" s="104">
        <f t="shared" si="82"/>
        <v>101</v>
      </c>
      <c r="E160" s="104">
        <v>5</v>
      </c>
      <c r="F160" s="113">
        <v>0</v>
      </c>
      <c r="G160" s="112" t="s">
        <v>214</v>
      </c>
      <c r="H160" s="104">
        <v>7</v>
      </c>
      <c r="I160" s="104">
        <f t="shared" si="83"/>
        <v>108</v>
      </c>
      <c r="L160" s="106">
        <v>558</v>
      </c>
      <c r="M160" s="119">
        <v>0</v>
      </c>
      <c r="N160" s="106">
        <f t="shared" si="119"/>
        <v>558</v>
      </c>
      <c r="O160" s="106">
        <f t="shared" si="120"/>
        <v>6.6428571428571423</v>
      </c>
      <c r="P160" s="106">
        <f t="shared" si="121"/>
        <v>0</v>
      </c>
      <c r="Q160" s="106">
        <f t="shared" si="122"/>
        <v>0</v>
      </c>
      <c r="R160" s="106">
        <f t="shared" si="123"/>
        <v>0</v>
      </c>
      <c r="S160" s="114">
        <v>1</v>
      </c>
      <c r="T160" s="106">
        <f t="shared" si="124"/>
        <v>0</v>
      </c>
      <c r="U160" s="106">
        <f t="shared" si="125"/>
        <v>558</v>
      </c>
      <c r="V160" s="106">
        <f t="shared" si="126"/>
        <v>558</v>
      </c>
      <c r="W160" s="114">
        <v>1</v>
      </c>
      <c r="X160" s="106">
        <f t="shared" si="127"/>
        <v>558</v>
      </c>
      <c r="Y160" s="106">
        <f t="shared" si="128"/>
        <v>558</v>
      </c>
      <c r="Z160" s="110">
        <f t="shared" si="129"/>
        <v>0</v>
      </c>
      <c r="AA160" s="106">
        <f t="shared" si="113"/>
        <v>101.33333333333333</v>
      </c>
      <c r="AB160" s="106">
        <f t="shared" si="114"/>
        <v>119</v>
      </c>
      <c r="AC160" s="106">
        <f t="shared" si="115"/>
        <v>108.33333333333333</v>
      </c>
      <c r="AD160" s="106">
        <f t="shared" si="116"/>
        <v>118</v>
      </c>
      <c r="AE160" s="106">
        <f t="shared" si="117"/>
        <v>-8.3333333333333329E-2</v>
      </c>
      <c r="AF160" s="106">
        <f t="shared" si="130"/>
        <v>0</v>
      </c>
      <c r="AG160" s="107"/>
      <c r="AH160" s="107"/>
      <c r="AI160" s="107"/>
    </row>
    <row r="161" spans="2:35">
      <c r="B161" s="104" t="s">
        <v>737</v>
      </c>
      <c r="C161" s="210">
        <v>2001</v>
      </c>
      <c r="D161" s="104">
        <f t="shared" si="82"/>
        <v>101</v>
      </c>
      <c r="E161" s="104">
        <v>6</v>
      </c>
      <c r="F161" s="113">
        <v>0</v>
      </c>
      <c r="G161" s="112" t="s">
        <v>214</v>
      </c>
      <c r="H161" s="104">
        <v>7</v>
      </c>
      <c r="I161" s="104">
        <f t="shared" si="83"/>
        <v>108</v>
      </c>
      <c r="L161" s="106">
        <v>350</v>
      </c>
      <c r="M161" s="119">
        <v>0</v>
      </c>
      <c r="N161" s="106">
        <f t="shared" si="119"/>
        <v>350</v>
      </c>
      <c r="O161" s="106">
        <f t="shared" si="120"/>
        <v>4.166666666666667</v>
      </c>
      <c r="P161" s="106">
        <f t="shared" si="121"/>
        <v>0</v>
      </c>
      <c r="Q161" s="106">
        <f t="shared" si="122"/>
        <v>0</v>
      </c>
      <c r="R161" s="106">
        <f t="shared" si="123"/>
        <v>0</v>
      </c>
      <c r="S161" s="114">
        <v>1</v>
      </c>
      <c r="T161" s="106">
        <f t="shared" si="124"/>
        <v>0</v>
      </c>
      <c r="U161" s="106">
        <f t="shared" si="125"/>
        <v>350</v>
      </c>
      <c r="V161" s="106">
        <f t="shared" si="126"/>
        <v>350</v>
      </c>
      <c r="W161" s="114">
        <v>1</v>
      </c>
      <c r="X161" s="106">
        <f t="shared" si="127"/>
        <v>350</v>
      </c>
      <c r="Y161" s="106">
        <f t="shared" si="128"/>
        <v>350</v>
      </c>
      <c r="Z161" s="110">
        <f t="shared" si="129"/>
        <v>0</v>
      </c>
      <c r="AA161" s="106">
        <f t="shared" si="113"/>
        <v>101.41666666666667</v>
      </c>
      <c r="AB161" s="106">
        <f t="shared" si="114"/>
        <v>119</v>
      </c>
      <c r="AC161" s="106">
        <f t="shared" si="115"/>
        <v>108.41666666666667</v>
      </c>
      <c r="AD161" s="106">
        <f t="shared" si="116"/>
        <v>118</v>
      </c>
      <c r="AE161" s="106">
        <f t="shared" si="117"/>
        <v>-8.3333333333333329E-2</v>
      </c>
      <c r="AF161" s="106">
        <f t="shared" si="130"/>
        <v>0</v>
      </c>
      <c r="AG161" s="107"/>
      <c r="AH161" s="107"/>
      <c r="AI161" s="107"/>
    </row>
    <row r="162" spans="2:35">
      <c r="B162" s="104" t="s">
        <v>738</v>
      </c>
      <c r="C162" s="210">
        <v>2001</v>
      </c>
      <c r="D162" s="104">
        <f t="shared" si="82"/>
        <v>101</v>
      </c>
      <c r="E162" s="104">
        <v>7</v>
      </c>
      <c r="F162" s="113">
        <v>0</v>
      </c>
      <c r="G162" s="112" t="s">
        <v>214</v>
      </c>
      <c r="H162" s="104">
        <v>7</v>
      </c>
      <c r="I162" s="104">
        <f t="shared" si="83"/>
        <v>108</v>
      </c>
      <c r="L162" s="106">
        <v>182</v>
      </c>
      <c r="M162" s="119">
        <v>0</v>
      </c>
      <c r="N162" s="106">
        <f t="shared" si="119"/>
        <v>182</v>
      </c>
      <c r="O162" s="106">
        <f t="shared" si="120"/>
        <v>2.1666666666666665</v>
      </c>
      <c r="P162" s="106">
        <f t="shared" si="121"/>
        <v>0</v>
      </c>
      <c r="Q162" s="106">
        <f t="shared" si="122"/>
        <v>0</v>
      </c>
      <c r="R162" s="106">
        <f t="shared" si="123"/>
        <v>0</v>
      </c>
      <c r="S162" s="114">
        <v>1</v>
      </c>
      <c r="T162" s="106">
        <f t="shared" si="124"/>
        <v>0</v>
      </c>
      <c r="U162" s="106">
        <f t="shared" si="125"/>
        <v>182</v>
      </c>
      <c r="V162" s="106">
        <f t="shared" si="126"/>
        <v>182</v>
      </c>
      <c r="W162" s="114">
        <v>1</v>
      </c>
      <c r="X162" s="106">
        <f t="shared" si="127"/>
        <v>182</v>
      </c>
      <c r="Y162" s="106">
        <f t="shared" si="128"/>
        <v>182</v>
      </c>
      <c r="Z162" s="110">
        <f t="shared" si="129"/>
        <v>0</v>
      </c>
      <c r="AA162" s="106">
        <f t="shared" si="113"/>
        <v>101.5</v>
      </c>
      <c r="AB162" s="106">
        <f t="shared" si="114"/>
        <v>119</v>
      </c>
      <c r="AC162" s="106">
        <f t="shared" si="115"/>
        <v>108.5</v>
      </c>
      <c r="AD162" s="106">
        <f t="shared" si="116"/>
        <v>118</v>
      </c>
      <c r="AE162" s="106">
        <f t="shared" si="117"/>
        <v>-8.3333333333333329E-2</v>
      </c>
      <c r="AF162" s="106">
        <f t="shared" si="130"/>
        <v>0</v>
      </c>
      <c r="AG162" s="107"/>
      <c r="AH162" s="107"/>
      <c r="AI162" s="107"/>
    </row>
    <row r="163" spans="2:35">
      <c r="B163" s="104" t="s">
        <v>739</v>
      </c>
      <c r="C163" s="210">
        <v>2001</v>
      </c>
      <c r="D163" s="104">
        <f t="shared" si="82"/>
        <v>101</v>
      </c>
      <c r="E163" s="104">
        <v>9</v>
      </c>
      <c r="F163" s="113">
        <v>0</v>
      </c>
      <c r="G163" s="112" t="s">
        <v>214</v>
      </c>
      <c r="H163" s="104">
        <v>7</v>
      </c>
      <c r="I163" s="104">
        <f t="shared" si="83"/>
        <v>108</v>
      </c>
      <c r="L163" s="106">
        <v>80</v>
      </c>
      <c r="M163" s="119">
        <v>0</v>
      </c>
      <c r="N163" s="106">
        <f t="shared" si="119"/>
        <v>80</v>
      </c>
      <c r="O163" s="106">
        <f t="shared" si="120"/>
        <v>0.95238095238095244</v>
      </c>
      <c r="P163" s="106">
        <f t="shared" si="121"/>
        <v>0</v>
      </c>
      <c r="Q163" s="106">
        <f t="shared" si="122"/>
        <v>0</v>
      </c>
      <c r="R163" s="106">
        <f t="shared" si="123"/>
        <v>0</v>
      </c>
      <c r="S163" s="114">
        <v>1</v>
      </c>
      <c r="T163" s="106">
        <f t="shared" si="124"/>
        <v>0</v>
      </c>
      <c r="U163" s="106">
        <f t="shared" si="125"/>
        <v>80</v>
      </c>
      <c r="V163" s="106">
        <f t="shared" si="126"/>
        <v>80</v>
      </c>
      <c r="W163" s="114">
        <v>1</v>
      </c>
      <c r="X163" s="106">
        <f t="shared" si="127"/>
        <v>80</v>
      </c>
      <c r="Y163" s="106">
        <f t="shared" si="128"/>
        <v>80</v>
      </c>
      <c r="Z163" s="110">
        <f t="shared" si="129"/>
        <v>0</v>
      </c>
      <c r="AA163" s="106">
        <f t="shared" si="113"/>
        <v>101.66666666666667</v>
      </c>
      <c r="AB163" s="106">
        <f t="shared" si="114"/>
        <v>119</v>
      </c>
      <c r="AC163" s="106">
        <f t="shared" si="115"/>
        <v>108.66666666666667</v>
      </c>
      <c r="AD163" s="106">
        <f t="shared" si="116"/>
        <v>118</v>
      </c>
      <c r="AE163" s="106">
        <f t="shared" si="117"/>
        <v>-8.3333333333333329E-2</v>
      </c>
      <c r="AF163" s="106">
        <f t="shared" si="130"/>
        <v>0</v>
      </c>
      <c r="AG163" s="107"/>
      <c r="AH163" s="107"/>
      <c r="AI163" s="107"/>
    </row>
    <row r="164" spans="2:35">
      <c r="B164" s="104" t="s">
        <v>516</v>
      </c>
      <c r="C164" s="210">
        <v>2004</v>
      </c>
      <c r="D164" s="104">
        <f t="shared" si="82"/>
        <v>104</v>
      </c>
      <c r="E164" s="104">
        <v>1</v>
      </c>
      <c r="F164" s="113">
        <v>0</v>
      </c>
      <c r="G164" s="112" t="s">
        <v>214</v>
      </c>
      <c r="H164" s="104">
        <v>7</v>
      </c>
      <c r="I164" s="104">
        <f t="shared" si="83"/>
        <v>111</v>
      </c>
      <c r="L164" s="106">
        <v>465</v>
      </c>
      <c r="M164" s="119">
        <v>0</v>
      </c>
      <c r="N164" s="106">
        <f t="shared" si="119"/>
        <v>465</v>
      </c>
      <c r="O164" s="106">
        <f t="shared" si="120"/>
        <v>5.5357142857142856</v>
      </c>
      <c r="P164" s="106">
        <f t="shared" si="121"/>
        <v>0</v>
      </c>
      <c r="Q164" s="106">
        <f t="shared" si="122"/>
        <v>0</v>
      </c>
      <c r="R164" s="106">
        <f t="shared" si="123"/>
        <v>0</v>
      </c>
      <c r="S164" s="114">
        <v>1</v>
      </c>
      <c r="T164" s="106">
        <f t="shared" si="124"/>
        <v>0</v>
      </c>
      <c r="U164" s="106">
        <f t="shared" si="125"/>
        <v>465</v>
      </c>
      <c r="V164" s="106">
        <f t="shared" si="126"/>
        <v>465</v>
      </c>
      <c r="W164" s="114">
        <v>1</v>
      </c>
      <c r="X164" s="106">
        <f t="shared" si="127"/>
        <v>465</v>
      </c>
      <c r="Y164" s="106">
        <f t="shared" si="128"/>
        <v>465</v>
      </c>
      <c r="Z164" s="110">
        <f t="shared" si="129"/>
        <v>0</v>
      </c>
      <c r="AA164" s="106">
        <f t="shared" si="113"/>
        <v>104</v>
      </c>
      <c r="AB164" s="106">
        <f t="shared" si="114"/>
        <v>119</v>
      </c>
      <c r="AC164" s="106">
        <f t="shared" si="115"/>
        <v>111</v>
      </c>
      <c r="AD164" s="106">
        <f t="shared" si="116"/>
        <v>118</v>
      </c>
      <c r="AE164" s="106">
        <f t="shared" si="117"/>
        <v>-8.3333333333333329E-2</v>
      </c>
      <c r="AF164" s="106">
        <f t="shared" si="130"/>
        <v>0</v>
      </c>
      <c r="AG164" s="107"/>
      <c r="AH164" s="107"/>
      <c r="AI164" s="107"/>
    </row>
    <row r="165" spans="2:35">
      <c r="B165" s="104" t="s">
        <v>516</v>
      </c>
      <c r="C165" s="210">
        <v>2004</v>
      </c>
      <c r="D165" s="104">
        <f t="shared" si="82"/>
        <v>104</v>
      </c>
      <c r="E165" s="104">
        <v>6</v>
      </c>
      <c r="F165" s="113">
        <v>0</v>
      </c>
      <c r="G165" s="112" t="s">
        <v>214</v>
      </c>
      <c r="H165" s="104">
        <v>7</v>
      </c>
      <c r="I165" s="104">
        <f t="shared" si="83"/>
        <v>111</v>
      </c>
      <c r="L165" s="106">
        <v>468</v>
      </c>
      <c r="M165" s="119">
        <v>0</v>
      </c>
      <c r="N165" s="106">
        <f t="shared" si="119"/>
        <v>468</v>
      </c>
      <c r="O165" s="106">
        <f t="shared" si="120"/>
        <v>5.5714285714285721</v>
      </c>
      <c r="P165" s="106">
        <f t="shared" si="121"/>
        <v>0</v>
      </c>
      <c r="Q165" s="106">
        <f t="shared" si="122"/>
        <v>0</v>
      </c>
      <c r="R165" s="106">
        <f t="shared" si="123"/>
        <v>0</v>
      </c>
      <c r="S165" s="114">
        <v>1</v>
      </c>
      <c r="T165" s="106">
        <f t="shared" si="124"/>
        <v>0</v>
      </c>
      <c r="U165" s="106">
        <f t="shared" si="125"/>
        <v>468</v>
      </c>
      <c r="V165" s="106">
        <f t="shared" si="126"/>
        <v>468</v>
      </c>
      <c r="W165" s="114">
        <v>1</v>
      </c>
      <c r="X165" s="106">
        <f t="shared" si="127"/>
        <v>468</v>
      </c>
      <c r="Y165" s="106">
        <f t="shared" si="128"/>
        <v>468</v>
      </c>
      <c r="Z165" s="110">
        <f t="shared" si="129"/>
        <v>0</v>
      </c>
      <c r="AA165" s="106">
        <f t="shared" si="113"/>
        <v>104.41666666666667</v>
      </c>
      <c r="AB165" s="106">
        <f t="shared" si="114"/>
        <v>119</v>
      </c>
      <c r="AC165" s="106">
        <f t="shared" si="115"/>
        <v>111.41666666666667</v>
      </c>
      <c r="AD165" s="106">
        <f t="shared" si="116"/>
        <v>118</v>
      </c>
      <c r="AE165" s="106">
        <f t="shared" si="117"/>
        <v>-8.3333333333333329E-2</v>
      </c>
      <c r="AF165" s="106">
        <f t="shared" si="130"/>
        <v>0</v>
      </c>
      <c r="AG165" s="107"/>
      <c r="AH165" s="107"/>
      <c r="AI165" s="107"/>
    </row>
    <row r="166" spans="2:35">
      <c r="B166" s="104" t="s">
        <v>516</v>
      </c>
      <c r="C166" s="210">
        <v>2004</v>
      </c>
      <c r="D166" s="104">
        <f t="shared" si="82"/>
        <v>104</v>
      </c>
      <c r="E166" s="104">
        <v>8</v>
      </c>
      <c r="F166" s="113">
        <v>0</v>
      </c>
      <c r="G166" s="112" t="s">
        <v>214</v>
      </c>
      <c r="H166" s="104">
        <v>7</v>
      </c>
      <c r="I166" s="104">
        <f t="shared" si="83"/>
        <v>111</v>
      </c>
      <c r="L166" s="106">
        <v>512</v>
      </c>
      <c r="M166" s="119">
        <v>0</v>
      </c>
      <c r="N166" s="106">
        <f t="shared" si="119"/>
        <v>512</v>
      </c>
      <c r="O166" s="106">
        <f t="shared" si="120"/>
        <v>6.0952380952380949</v>
      </c>
      <c r="P166" s="106">
        <f t="shared" si="121"/>
        <v>0</v>
      </c>
      <c r="Q166" s="106">
        <f t="shared" si="122"/>
        <v>0</v>
      </c>
      <c r="R166" s="106">
        <f t="shared" si="123"/>
        <v>0</v>
      </c>
      <c r="S166" s="114">
        <v>1</v>
      </c>
      <c r="T166" s="106">
        <f t="shared" si="124"/>
        <v>0</v>
      </c>
      <c r="U166" s="106">
        <f t="shared" si="125"/>
        <v>512</v>
      </c>
      <c r="V166" s="106">
        <f t="shared" si="126"/>
        <v>512</v>
      </c>
      <c r="W166" s="114">
        <v>1</v>
      </c>
      <c r="X166" s="106">
        <f t="shared" si="127"/>
        <v>512</v>
      </c>
      <c r="Y166" s="106">
        <f t="shared" si="128"/>
        <v>512</v>
      </c>
      <c r="Z166" s="110">
        <f t="shared" si="129"/>
        <v>0</v>
      </c>
      <c r="AA166" s="106">
        <f t="shared" si="113"/>
        <v>104.58333333333333</v>
      </c>
      <c r="AB166" s="106">
        <f t="shared" si="114"/>
        <v>119</v>
      </c>
      <c r="AC166" s="106">
        <f t="shared" si="115"/>
        <v>111.58333333333333</v>
      </c>
      <c r="AD166" s="106">
        <f t="shared" si="116"/>
        <v>118</v>
      </c>
      <c r="AE166" s="106">
        <f t="shared" si="117"/>
        <v>-8.3333333333333329E-2</v>
      </c>
      <c r="AF166" s="106">
        <f t="shared" si="130"/>
        <v>0</v>
      </c>
      <c r="AG166" s="107"/>
      <c r="AH166" s="107"/>
      <c r="AI166" s="107"/>
    </row>
    <row r="167" spans="2:35">
      <c r="B167" s="104" t="s">
        <v>516</v>
      </c>
      <c r="C167" s="210">
        <v>2006</v>
      </c>
      <c r="D167" s="104">
        <f t="shared" si="82"/>
        <v>106</v>
      </c>
      <c r="E167" s="104">
        <v>8</v>
      </c>
      <c r="F167" s="113">
        <v>0</v>
      </c>
      <c r="G167" s="112" t="s">
        <v>214</v>
      </c>
      <c r="H167" s="104">
        <v>7</v>
      </c>
      <c r="I167" s="104">
        <f t="shared" si="83"/>
        <v>113</v>
      </c>
      <c r="L167" s="106">
        <v>332</v>
      </c>
      <c r="M167" s="119">
        <v>0</v>
      </c>
      <c r="N167" s="106">
        <f t="shared" si="119"/>
        <v>332</v>
      </c>
      <c r="O167" s="106">
        <f t="shared" si="120"/>
        <v>3.9523809523809526</v>
      </c>
      <c r="P167" s="106">
        <f t="shared" si="121"/>
        <v>0</v>
      </c>
      <c r="Q167" s="106">
        <f t="shared" si="122"/>
        <v>0</v>
      </c>
      <c r="R167" s="106">
        <f t="shared" si="123"/>
        <v>0</v>
      </c>
      <c r="S167" s="114">
        <v>1</v>
      </c>
      <c r="T167" s="106">
        <f t="shared" si="124"/>
        <v>0</v>
      </c>
      <c r="U167" s="106">
        <f t="shared" si="125"/>
        <v>332</v>
      </c>
      <c r="V167" s="106">
        <f t="shared" si="126"/>
        <v>332</v>
      </c>
      <c r="W167" s="114">
        <v>1</v>
      </c>
      <c r="X167" s="106">
        <f t="shared" si="127"/>
        <v>332</v>
      </c>
      <c r="Y167" s="106">
        <f t="shared" si="128"/>
        <v>332</v>
      </c>
      <c r="Z167" s="110">
        <f t="shared" si="129"/>
        <v>0</v>
      </c>
      <c r="AA167" s="106">
        <f t="shared" si="113"/>
        <v>106.58333333333333</v>
      </c>
      <c r="AB167" s="106">
        <f t="shared" si="114"/>
        <v>119</v>
      </c>
      <c r="AC167" s="106">
        <f t="shared" si="115"/>
        <v>113.58333333333333</v>
      </c>
      <c r="AD167" s="106">
        <f t="shared" si="116"/>
        <v>118</v>
      </c>
      <c r="AE167" s="106">
        <f t="shared" si="117"/>
        <v>-8.3333333333333329E-2</v>
      </c>
      <c r="AF167" s="106">
        <f t="shared" si="130"/>
        <v>0</v>
      </c>
      <c r="AG167" s="107"/>
      <c r="AH167" s="107"/>
      <c r="AI167" s="107"/>
    </row>
    <row r="168" spans="2:35">
      <c r="B168" s="104" t="s">
        <v>740</v>
      </c>
      <c r="C168" s="210">
        <v>2007</v>
      </c>
      <c r="D168" s="104">
        <f t="shared" si="82"/>
        <v>107</v>
      </c>
      <c r="E168" s="104">
        <v>2</v>
      </c>
      <c r="F168" s="113">
        <v>0</v>
      </c>
      <c r="G168" s="112" t="s">
        <v>214</v>
      </c>
      <c r="H168" s="104">
        <v>7</v>
      </c>
      <c r="I168" s="104">
        <f t="shared" si="83"/>
        <v>114</v>
      </c>
      <c r="L168" s="106">
        <v>1400</v>
      </c>
      <c r="M168" s="119">
        <v>0</v>
      </c>
      <c r="N168" s="106">
        <f t="shared" si="119"/>
        <v>1400</v>
      </c>
      <c r="O168" s="106">
        <f t="shared" si="120"/>
        <v>16.666666666666668</v>
      </c>
      <c r="P168" s="106">
        <f t="shared" si="121"/>
        <v>0</v>
      </c>
      <c r="Q168" s="106">
        <f t="shared" si="122"/>
        <v>0</v>
      </c>
      <c r="R168" s="106">
        <f t="shared" si="123"/>
        <v>0</v>
      </c>
      <c r="S168" s="114">
        <v>1</v>
      </c>
      <c r="T168" s="106">
        <f t="shared" si="124"/>
        <v>0</v>
      </c>
      <c r="U168" s="106">
        <f t="shared" si="125"/>
        <v>1400</v>
      </c>
      <c r="V168" s="106">
        <f t="shared" si="126"/>
        <v>1400</v>
      </c>
      <c r="W168" s="114">
        <v>1</v>
      </c>
      <c r="X168" s="106">
        <f t="shared" si="127"/>
        <v>1400</v>
      </c>
      <c r="Y168" s="106">
        <f t="shared" si="128"/>
        <v>1400</v>
      </c>
      <c r="Z168" s="110">
        <f t="shared" si="129"/>
        <v>0</v>
      </c>
      <c r="AA168" s="106">
        <f t="shared" si="113"/>
        <v>107.08333333333333</v>
      </c>
      <c r="AB168" s="106">
        <f t="shared" si="114"/>
        <v>119</v>
      </c>
      <c r="AC168" s="106">
        <f t="shared" si="115"/>
        <v>114.08333333333333</v>
      </c>
      <c r="AD168" s="106">
        <f t="shared" si="116"/>
        <v>118</v>
      </c>
      <c r="AE168" s="106">
        <f t="shared" si="117"/>
        <v>-8.3333333333333329E-2</v>
      </c>
      <c r="AF168" s="106">
        <f t="shared" si="130"/>
        <v>0</v>
      </c>
      <c r="AG168" s="107"/>
      <c r="AH168" s="107"/>
      <c r="AI168" s="107"/>
    </row>
    <row r="169" spans="2:35">
      <c r="B169" s="104" t="s">
        <v>697</v>
      </c>
      <c r="C169" s="210">
        <v>2007</v>
      </c>
      <c r="D169" s="104">
        <f t="shared" si="82"/>
        <v>107</v>
      </c>
      <c r="E169" s="104">
        <v>9</v>
      </c>
      <c r="F169" s="113">
        <v>0</v>
      </c>
      <c r="G169" s="112" t="s">
        <v>214</v>
      </c>
      <c r="H169" s="104">
        <v>5</v>
      </c>
      <c r="I169" s="104">
        <f t="shared" si="83"/>
        <v>112</v>
      </c>
      <c r="L169" s="106">
        <v>1883</v>
      </c>
      <c r="M169" s="119">
        <v>0</v>
      </c>
      <c r="N169" s="106">
        <f t="shared" si="119"/>
        <v>1883</v>
      </c>
      <c r="O169" s="106">
        <f t="shared" si="120"/>
        <v>31.383333333333336</v>
      </c>
      <c r="P169" s="106">
        <f t="shared" si="121"/>
        <v>0</v>
      </c>
      <c r="Q169" s="106">
        <f t="shared" si="122"/>
        <v>0</v>
      </c>
      <c r="R169" s="106">
        <f t="shared" si="123"/>
        <v>0</v>
      </c>
      <c r="S169" s="114">
        <v>1</v>
      </c>
      <c r="T169" s="106">
        <f t="shared" si="124"/>
        <v>0</v>
      </c>
      <c r="U169" s="106">
        <f t="shared" si="125"/>
        <v>1883</v>
      </c>
      <c r="V169" s="106">
        <f t="shared" si="126"/>
        <v>1883</v>
      </c>
      <c r="W169" s="114">
        <v>1</v>
      </c>
      <c r="X169" s="106">
        <f t="shared" si="127"/>
        <v>1883</v>
      </c>
      <c r="Y169" s="106">
        <f t="shared" si="128"/>
        <v>1883</v>
      </c>
      <c r="Z169" s="110">
        <f t="shared" si="129"/>
        <v>0</v>
      </c>
      <c r="AA169" s="106">
        <f t="shared" si="113"/>
        <v>107.66666666666667</v>
      </c>
      <c r="AB169" s="106">
        <f t="shared" si="114"/>
        <v>119</v>
      </c>
      <c r="AC169" s="106">
        <f t="shared" si="115"/>
        <v>112.66666666666667</v>
      </c>
      <c r="AD169" s="106">
        <f t="shared" si="116"/>
        <v>118</v>
      </c>
      <c r="AE169" s="106">
        <f t="shared" si="117"/>
        <v>-8.3333333333333329E-2</v>
      </c>
      <c r="AF169" s="106">
        <f t="shared" si="130"/>
        <v>0</v>
      </c>
      <c r="AG169" s="107"/>
      <c r="AH169" s="107"/>
      <c r="AI169" s="107"/>
    </row>
    <row r="170" spans="2:35">
      <c r="B170" s="104" t="s">
        <v>704</v>
      </c>
      <c r="C170" s="210">
        <v>2007</v>
      </c>
      <c r="D170" s="104">
        <f t="shared" si="82"/>
        <v>107</v>
      </c>
      <c r="E170" s="104">
        <v>1</v>
      </c>
      <c r="F170" s="113">
        <v>0</v>
      </c>
      <c r="G170" s="112" t="s">
        <v>214</v>
      </c>
      <c r="H170" s="104">
        <v>7</v>
      </c>
      <c r="I170" s="104">
        <f t="shared" si="83"/>
        <v>114</v>
      </c>
      <c r="L170" s="106">
        <v>283</v>
      </c>
      <c r="M170" s="119">
        <v>0</v>
      </c>
      <c r="N170" s="106">
        <f t="shared" si="119"/>
        <v>283</v>
      </c>
      <c r="O170" s="106">
        <f t="shared" si="120"/>
        <v>3.3690476190476191</v>
      </c>
      <c r="P170" s="106">
        <f t="shared" si="121"/>
        <v>0</v>
      </c>
      <c r="Q170" s="106">
        <f t="shared" si="122"/>
        <v>0</v>
      </c>
      <c r="R170" s="106">
        <f t="shared" si="123"/>
        <v>0</v>
      </c>
      <c r="S170" s="114">
        <v>1</v>
      </c>
      <c r="T170" s="106">
        <f t="shared" si="124"/>
        <v>0</v>
      </c>
      <c r="U170" s="106">
        <f t="shared" si="125"/>
        <v>283</v>
      </c>
      <c r="V170" s="106">
        <f t="shared" si="126"/>
        <v>283</v>
      </c>
      <c r="W170" s="114">
        <v>1</v>
      </c>
      <c r="X170" s="106">
        <f t="shared" si="127"/>
        <v>283</v>
      </c>
      <c r="Y170" s="106">
        <f t="shared" si="128"/>
        <v>283</v>
      </c>
      <c r="Z170" s="110">
        <f t="shared" si="129"/>
        <v>0</v>
      </c>
      <c r="AA170" s="106">
        <f t="shared" si="113"/>
        <v>107</v>
      </c>
      <c r="AB170" s="106">
        <f t="shared" si="114"/>
        <v>119</v>
      </c>
      <c r="AC170" s="106">
        <f t="shared" si="115"/>
        <v>114</v>
      </c>
      <c r="AD170" s="106">
        <f t="shared" si="116"/>
        <v>118</v>
      </c>
      <c r="AE170" s="106">
        <f t="shared" si="117"/>
        <v>-8.3333333333333329E-2</v>
      </c>
      <c r="AF170" s="106">
        <f t="shared" si="130"/>
        <v>0</v>
      </c>
      <c r="AG170" s="107"/>
      <c r="AH170" s="107"/>
      <c r="AI170" s="107"/>
    </row>
    <row r="171" spans="2:35">
      <c r="B171" s="104" t="s">
        <v>741</v>
      </c>
      <c r="C171" s="210">
        <v>2007</v>
      </c>
      <c r="D171" s="104">
        <f t="shared" si="82"/>
        <v>107</v>
      </c>
      <c r="E171" s="104">
        <v>6</v>
      </c>
      <c r="F171" s="113">
        <v>0</v>
      </c>
      <c r="G171" s="112" t="s">
        <v>214</v>
      </c>
      <c r="H171" s="104">
        <v>5</v>
      </c>
      <c r="I171" s="104">
        <f t="shared" si="83"/>
        <v>112</v>
      </c>
      <c r="L171" s="106">
        <v>52761</v>
      </c>
      <c r="M171" s="119">
        <v>0</v>
      </c>
      <c r="N171" s="106">
        <f t="shared" si="119"/>
        <v>52761</v>
      </c>
      <c r="O171" s="106">
        <f t="shared" si="120"/>
        <v>879.35</v>
      </c>
      <c r="P171" s="106">
        <f t="shared" si="121"/>
        <v>0</v>
      </c>
      <c r="Q171" s="106">
        <f t="shared" si="122"/>
        <v>0</v>
      </c>
      <c r="R171" s="106">
        <f t="shared" si="123"/>
        <v>0</v>
      </c>
      <c r="S171" s="114">
        <v>1</v>
      </c>
      <c r="T171" s="106">
        <f t="shared" si="124"/>
        <v>0</v>
      </c>
      <c r="U171" s="106">
        <f t="shared" si="125"/>
        <v>52761</v>
      </c>
      <c r="V171" s="106">
        <f t="shared" si="126"/>
        <v>52761</v>
      </c>
      <c r="W171" s="114">
        <v>1</v>
      </c>
      <c r="X171" s="106">
        <f t="shared" si="127"/>
        <v>52761</v>
      </c>
      <c r="Y171" s="106">
        <f t="shared" si="128"/>
        <v>52761</v>
      </c>
      <c r="Z171" s="110">
        <f t="shared" si="129"/>
        <v>0</v>
      </c>
      <c r="AA171" s="106">
        <f t="shared" si="113"/>
        <v>107.41666666666667</v>
      </c>
      <c r="AB171" s="106">
        <f t="shared" si="114"/>
        <v>119</v>
      </c>
      <c r="AC171" s="106">
        <f t="shared" si="115"/>
        <v>112.41666666666667</v>
      </c>
      <c r="AD171" s="106">
        <f t="shared" si="116"/>
        <v>118</v>
      </c>
      <c r="AE171" s="106">
        <f t="shared" si="117"/>
        <v>-8.3333333333333329E-2</v>
      </c>
      <c r="AF171" s="106">
        <f t="shared" si="130"/>
        <v>0</v>
      </c>
      <c r="AG171" s="107"/>
      <c r="AH171" s="107"/>
      <c r="AI171" s="107"/>
    </row>
    <row r="172" spans="2:35">
      <c r="B172" s="104" t="s">
        <v>742</v>
      </c>
      <c r="C172" s="210">
        <v>2008</v>
      </c>
      <c r="D172" s="104">
        <f t="shared" si="82"/>
        <v>108</v>
      </c>
      <c r="E172" s="104">
        <v>2</v>
      </c>
      <c r="F172" s="113">
        <v>0</v>
      </c>
      <c r="G172" s="112" t="s">
        <v>214</v>
      </c>
      <c r="H172" s="104">
        <v>7</v>
      </c>
      <c r="I172" s="104">
        <f t="shared" si="83"/>
        <v>115</v>
      </c>
      <c r="L172" s="106">
        <v>108</v>
      </c>
      <c r="M172" s="119">
        <v>0</v>
      </c>
      <c r="N172" s="106">
        <f t="shared" si="119"/>
        <v>108</v>
      </c>
      <c r="O172" s="106">
        <f t="shared" si="120"/>
        <v>1.2857142857142858</v>
      </c>
      <c r="P172" s="106">
        <f t="shared" si="121"/>
        <v>0</v>
      </c>
      <c r="Q172" s="106">
        <f t="shared" si="122"/>
        <v>0</v>
      </c>
      <c r="R172" s="106">
        <f t="shared" si="123"/>
        <v>0</v>
      </c>
      <c r="S172" s="114">
        <v>1</v>
      </c>
      <c r="T172" s="106">
        <f t="shared" si="124"/>
        <v>0</v>
      </c>
      <c r="U172" s="106">
        <f t="shared" si="125"/>
        <v>108</v>
      </c>
      <c r="V172" s="106">
        <f t="shared" si="126"/>
        <v>108</v>
      </c>
      <c r="W172" s="114">
        <v>1</v>
      </c>
      <c r="X172" s="106">
        <f t="shared" si="127"/>
        <v>108</v>
      </c>
      <c r="Y172" s="106">
        <f t="shared" si="128"/>
        <v>108</v>
      </c>
      <c r="Z172" s="110">
        <f t="shared" si="129"/>
        <v>0</v>
      </c>
      <c r="AA172" s="106">
        <f t="shared" si="113"/>
        <v>108.08333333333333</v>
      </c>
      <c r="AB172" s="106">
        <f t="shared" si="114"/>
        <v>119</v>
      </c>
      <c r="AC172" s="106">
        <f t="shared" si="115"/>
        <v>115.08333333333333</v>
      </c>
      <c r="AD172" s="106">
        <f t="shared" si="116"/>
        <v>118</v>
      </c>
      <c r="AE172" s="106">
        <f t="shared" si="117"/>
        <v>-8.3333333333333329E-2</v>
      </c>
      <c r="AF172" s="106">
        <f t="shared" si="130"/>
        <v>0</v>
      </c>
      <c r="AG172" s="107"/>
      <c r="AH172" s="107"/>
      <c r="AI172" s="107"/>
    </row>
    <row r="173" spans="2:35">
      <c r="B173" s="104" t="s">
        <v>743</v>
      </c>
      <c r="C173" s="210">
        <v>2008</v>
      </c>
      <c r="D173" s="104">
        <f t="shared" si="82"/>
        <v>108</v>
      </c>
      <c r="E173" s="104">
        <v>2</v>
      </c>
      <c r="F173" s="113">
        <v>0</v>
      </c>
      <c r="G173" s="112" t="s">
        <v>214</v>
      </c>
      <c r="H173" s="104">
        <v>5</v>
      </c>
      <c r="I173" s="104">
        <f t="shared" si="83"/>
        <v>113</v>
      </c>
      <c r="L173" s="106">
        <v>967</v>
      </c>
      <c r="M173" s="119">
        <v>0</v>
      </c>
      <c r="N173" s="106">
        <f t="shared" si="119"/>
        <v>967</v>
      </c>
      <c r="O173" s="106">
        <f t="shared" si="120"/>
        <v>16.116666666666667</v>
      </c>
      <c r="P173" s="106">
        <f t="shared" si="121"/>
        <v>0</v>
      </c>
      <c r="Q173" s="106">
        <f t="shared" si="122"/>
        <v>0</v>
      </c>
      <c r="R173" s="106">
        <f t="shared" si="123"/>
        <v>0</v>
      </c>
      <c r="S173" s="114">
        <v>1</v>
      </c>
      <c r="T173" s="106">
        <f t="shared" si="124"/>
        <v>0</v>
      </c>
      <c r="U173" s="106">
        <f t="shared" si="125"/>
        <v>967</v>
      </c>
      <c r="V173" s="106">
        <f t="shared" si="126"/>
        <v>967</v>
      </c>
      <c r="W173" s="114">
        <v>1</v>
      </c>
      <c r="X173" s="106">
        <f t="shared" si="127"/>
        <v>967</v>
      </c>
      <c r="Y173" s="106">
        <f t="shared" si="128"/>
        <v>967</v>
      </c>
      <c r="Z173" s="110">
        <f t="shared" si="129"/>
        <v>0</v>
      </c>
      <c r="AA173" s="106">
        <f t="shared" si="113"/>
        <v>108.08333333333333</v>
      </c>
      <c r="AB173" s="106">
        <f t="shared" si="114"/>
        <v>119</v>
      </c>
      <c r="AC173" s="106">
        <f t="shared" si="115"/>
        <v>113.08333333333333</v>
      </c>
      <c r="AD173" s="106">
        <f t="shared" si="116"/>
        <v>118</v>
      </c>
      <c r="AE173" s="106">
        <f t="shared" si="117"/>
        <v>-8.3333333333333329E-2</v>
      </c>
      <c r="AF173" s="106">
        <f t="shared" si="130"/>
        <v>0</v>
      </c>
      <c r="AG173" s="107"/>
      <c r="AH173" s="107"/>
      <c r="AI173" s="107"/>
    </row>
    <row r="174" spans="2:35">
      <c r="B174" s="104" t="s">
        <v>744</v>
      </c>
      <c r="C174" s="210">
        <v>2008</v>
      </c>
      <c r="D174" s="104">
        <f t="shared" si="82"/>
        <v>108</v>
      </c>
      <c r="E174" s="104">
        <v>5</v>
      </c>
      <c r="F174" s="113">
        <v>0</v>
      </c>
      <c r="G174" s="112" t="s">
        <v>214</v>
      </c>
      <c r="H174" s="104">
        <v>7</v>
      </c>
      <c r="I174" s="104">
        <f t="shared" si="83"/>
        <v>115</v>
      </c>
      <c r="L174" s="106">
        <v>561</v>
      </c>
      <c r="M174" s="119">
        <v>0</v>
      </c>
      <c r="N174" s="106">
        <f t="shared" si="119"/>
        <v>561</v>
      </c>
      <c r="O174" s="106">
        <f t="shared" si="120"/>
        <v>6.6785714285714279</v>
      </c>
      <c r="P174" s="106">
        <f t="shared" si="121"/>
        <v>0</v>
      </c>
      <c r="Q174" s="106">
        <f t="shared" si="122"/>
        <v>0</v>
      </c>
      <c r="R174" s="106">
        <f t="shared" si="123"/>
        <v>0</v>
      </c>
      <c r="S174" s="114">
        <v>1</v>
      </c>
      <c r="T174" s="106">
        <f t="shared" si="124"/>
        <v>0</v>
      </c>
      <c r="U174" s="106">
        <f t="shared" si="125"/>
        <v>561</v>
      </c>
      <c r="V174" s="106">
        <f t="shared" si="126"/>
        <v>561</v>
      </c>
      <c r="W174" s="114">
        <v>1</v>
      </c>
      <c r="X174" s="106">
        <f t="shared" si="127"/>
        <v>561</v>
      </c>
      <c r="Y174" s="106">
        <f t="shared" si="128"/>
        <v>561</v>
      </c>
      <c r="Z174" s="110">
        <f t="shared" si="129"/>
        <v>0</v>
      </c>
      <c r="AA174" s="106">
        <f t="shared" si="113"/>
        <v>108.33333333333333</v>
      </c>
      <c r="AB174" s="106">
        <f t="shared" si="114"/>
        <v>119</v>
      </c>
      <c r="AC174" s="106">
        <f t="shared" si="115"/>
        <v>115.33333333333333</v>
      </c>
      <c r="AD174" s="106">
        <f t="shared" si="116"/>
        <v>118</v>
      </c>
      <c r="AE174" s="106">
        <f t="shared" si="117"/>
        <v>-8.3333333333333329E-2</v>
      </c>
      <c r="AF174" s="106">
        <f t="shared" si="130"/>
        <v>0</v>
      </c>
      <c r="AG174" s="107"/>
      <c r="AH174" s="107"/>
      <c r="AI174" s="107"/>
    </row>
    <row r="175" spans="2:35">
      <c r="B175" s="104" t="s">
        <v>745</v>
      </c>
      <c r="C175" s="210">
        <v>2008</v>
      </c>
      <c r="D175" s="104">
        <f t="shared" ref="D175:D200" si="131">+C175-1900</f>
        <v>108</v>
      </c>
      <c r="E175" s="104">
        <v>11</v>
      </c>
      <c r="F175" s="113">
        <v>0</v>
      </c>
      <c r="G175" s="112" t="s">
        <v>214</v>
      </c>
      <c r="H175" s="104">
        <v>7</v>
      </c>
      <c r="I175" s="104">
        <f t="shared" ref="I175:I200" si="132">D175+H175</f>
        <v>115</v>
      </c>
      <c r="L175" s="106">
        <v>28298</v>
      </c>
      <c r="M175" s="119">
        <v>0</v>
      </c>
      <c r="N175" s="106">
        <f t="shared" si="119"/>
        <v>28298</v>
      </c>
      <c r="O175" s="106">
        <f t="shared" si="120"/>
        <v>336.88095238095235</v>
      </c>
      <c r="P175" s="106">
        <f t="shared" si="121"/>
        <v>0</v>
      </c>
      <c r="Q175" s="106">
        <f t="shared" si="122"/>
        <v>0</v>
      </c>
      <c r="R175" s="106">
        <f t="shared" si="123"/>
        <v>0</v>
      </c>
      <c r="S175" s="114">
        <v>1</v>
      </c>
      <c r="T175" s="106">
        <f t="shared" si="124"/>
        <v>0</v>
      </c>
      <c r="U175" s="106">
        <f t="shared" si="125"/>
        <v>28298</v>
      </c>
      <c r="V175" s="106">
        <f t="shared" si="126"/>
        <v>28298</v>
      </c>
      <c r="W175" s="114">
        <v>1</v>
      </c>
      <c r="X175" s="106">
        <f t="shared" si="127"/>
        <v>28298</v>
      </c>
      <c r="Y175" s="106">
        <f t="shared" si="128"/>
        <v>28298</v>
      </c>
      <c r="Z175" s="110">
        <f t="shared" si="129"/>
        <v>0</v>
      </c>
      <c r="AA175" s="106">
        <f t="shared" si="113"/>
        <v>108.83333333333333</v>
      </c>
      <c r="AB175" s="106">
        <f t="shared" si="114"/>
        <v>119</v>
      </c>
      <c r="AC175" s="106">
        <f t="shared" si="115"/>
        <v>115.83333333333333</v>
      </c>
      <c r="AD175" s="106">
        <f t="shared" si="116"/>
        <v>118</v>
      </c>
      <c r="AE175" s="106">
        <f t="shared" si="117"/>
        <v>-8.3333333333333329E-2</v>
      </c>
      <c r="AF175" s="106">
        <f t="shared" si="130"/>
        <v>0</v>
      </c>
      <c r="AG175" s="107"/>
      <c r="AH175" s="107"/>
      <c r="AI175" s="107"/>
    </row>
    <row r="176" spans="2:35">
      <c r="B176" s="104" t="s">
        <v>746</v>
      </c>
      <c r="C176" s="210">
        <v>2011</v>
      </c>
      <c r="D176" s="104">
        <f t="shared" si="131"/>
        <v>111</v>
      </c>
      <c r="E176" s="104">
        <v>6</v>
      </c>
      <c r="F176" s="113">
        <v>0</v>
      </c>
      <c r="G176" s="112" t="s">
        <v>214</v>
      </c>
      <c r="H176" s="104">
        <v>10</v>
      </c>
      <c r="I176" s="104">
        <f t="shared" si="132"/>
        <v>121</v>
      </c>
      <c r="L176" s="106">
        <v>30912</v>
      </c>
      <c r="M176" s="119">
        <v>0</v>
      </c>
      <c r="N176" s="106">
        <f t="shared" si="119"/>
        <v>30912</v>
      </c>
      <c r="O176" s="106">
        <f t="shared" si="120"/>
        <v>257.59999999999997</v>
      </c>
      <c r="P176" s="106">
        <f t="shared" si="121"/>
        <v>3091.2</v>
      </c>
      <c r="Q176" s="106">
        <f t="shared" si="122"/>
        <v>0</v>
      </c>
      <c r="R176" s="106">
        <f t="shared" si="123"/>
        <v>3091.2</v>
      </c>
      <c r="S176" s="114">
        <v>1</v>
      </c>
      <c r="T176" s="106">
        <f t="shared" si="124"/>
        <v>3091.2</v>
      </c>
      <c r="U176" s="106">
        <f t="shared" si="125"/>
        <v>20350.399999999983</v>
      </c>
      <c r="V176" s="106">
        <f t="shared" si="126"/>
        <v>20350.399999999983</v>
      </c>
      <c r="W176" s="114">
        <v>1</v>
      </c>
      <c r="X176" s="106">
        <f t="shared" si="127"/>
        <v>20350.399999999983</v>
      </c>
      <c r="Y176" s="106">
        <f t="shared" si="128"/>
        <v>23441.599999999984</v>
      </c>
      <c r="Z176" s="110">
        <f t="shared" si="129"/>
        <v>9016.0000000000164</v>
      </c>
      <c r="AA176" s="106">
        <f t="shared" si="113"/>
        <v>111.41666666666667</v>
      </c>
      <c r="AB176" s="106">
        <f t="shared" si="114"/>
        <v>119</v>
      </c>
      <c r="AC176" s="106">
        <f t="shared" si="115"/>
        <v>121.41666666666667</v>
      </c>
      <c r="AD176" s="106">
        <f t="shared" si="116"/>
        <v>118</v>
      </c>
      <c r="AE176" s="106">
        <f t="shared" si="117"/>
        <v>-8.3333333333333329E-2</v>
      </c>
      <c r="AF176" s="106">
        <f t="shared" si="130"/>
        <v>0</v>
      </c>
      <c r="AG176" s="107"/>
      <c r="AH176" s="107"/>
      <c r="AI176" s="107"/>
    </row>
    <row r="177" spans="2:35">
      <c r="B177" s="104" t="s">
        <v>747</v>
      </c>
      <c r="C177" s="210">
        <v>2011</v>
      </c>
      <c r="D177" s="104">
        <f t="shared" si="131"/>
        <v>111</v>
      </c>
      <c r="E177" s="104">
        <v>6</v>
      </c>
      <c r="F177" s="113">
        <v>0</v>
      </c>
      <c r="G177" s="112" t="s">
        <v>214</v>
      </c>
      <c r="H177" s="104">
        <v>3</v>
      </c>
      <c r="I177" s="104">
        <f t="shared" si="132"/>
        <v>114</v>
      </c>
      <c r="L177" s="106">
        <v>3991</v>
      </c>
      <c r="M177" s="119">
        <v>0</v>
      </c>
      <c r="N177" s="106">
        <f t="shared" si="119"/>
        <v>3991</v>
      </c>
      <c r="O177" s="106">
        <f t="shared" si="120"/>
        <v>110.8611111111111</v>
      </c>
      <c r="P177" s="106">
        <f t="shared" si="121"/>
        <v>0</v>
      </c>
      <c r="Q177" s="106">
        <f t="shared" si="122"/>
        <v>0</v>
      </c>
      <c r="R177" s="106">
        <f t="shared" si="123"/>
        <v>0</v>
      </c>
      <c r="S177" s="114">
        <v>1</v>
      </c>
      <c r="T177" s="106">
        <f t="shared" si="124"/>
        <v>0</v>
      </c>
      <c r="U177" s="106">
        <f t="shared" si="125"/>
        <v>3991</v>
      </c>
      <c r="V177" s="106">
        <f t="shared" si="126"/>
        <v>3991</v>
      </c>
      <c r="W177" s="114">
        <v>1</v>
      </c>
      <c r="X177" s="106">
        <f t="shared" si="127"/>
        <v>3991</v>
      </c>
      <c r="Y177" s="106">
        <f t="shared" si="128"/>
        <v>3991</v>
      </c>
      <c r="Z177" s="110">
        <f t="shared" si="129"/>
        <v>0</v>
      </c>
      <c r="AA177" s="106">
        <f t="shared" si="113"/>
        <v>111.41666666666667</v>
      </c>
      <c r="AB177" s="106">
        <f t="shared" si="114"/>
        <v>119</v>
      </c>
      <c r="AC177" s="106">
        <f t="shared" si="115"/>
        <v>114.41666666666667</v>
      </c>
      <c r="AD177" s="106">
        <f t="shared" si="116"/>
        <v>118</v>
      </c>
      <c r="AE177" s="106">
        <f t="shared" si="117"/>
        <v>-8.3333333333333329E-2</v>
      </c>
      <c r="AF177" s="106">
        <f t="shared" si="130"/>
        <v>0</v>
      </c>
      <c r="AG177" s="107"/>
      <c r="AH177" s="107"/>
      <c r="AI177" s="107"/>
    </row>
    <row r="178" spans="2:35">
      <c r="B178" s="104" t="s">
        <v>748</v>
      </c>
      <c r="C178" s="210">
        <v>2011</v>
      </c>
      <c r="D178" s="104">
        <f t="shared" si="131"/>
        <v>111</v>
      </c>
      <c r="E178" s="104">
        <v>6</v>
      </c>
      <c r="F178" s="113">
        <v>0</v>
      </c>
      <c r="G178" s="112" t="s">
        <v>214</v>
      </c>
      <c r="H178" s="104">
        <v>10</v>
      </c>
      <c r="I178" s="104">
        <f t="shared" si="132"/>
        <v>121</v>
      </c>
      <c r="L178" s="106">
        <v>53018</v>
      </c>
      <c r="M178" s="119">
        <v>0</v>
      </c>
      <c r="N178" s="106">
        <f t="shared" si="119"/>
        <v>53018</v>
      </c>
      <c r="O178" s="106">
        <f t="shared" si="120"/>
        <v>441.81666666666666</v>
      </c>
      <c r="P178" s="106">
        <f t="shared" si="121"/>
        <v>5301.8</v>
      </c>
      <c r="Q178" s="106">
        <f t="shared" si="122"/>
        <v>0</v>
      </c>
      <c r="R178" s="106">
        <f t="shared" si="123"/>
        <v>5301.8</v>
      </c>
      <c r="S178" s="114">
        <v>1</v>
      </c>
      <c r="T178" s="106">
        <f t="shared" si="124"/>
        <v>5301.8</v>
      </c>
      <c r="U178" s="106">
        <f t="shared" si="125"/>
        <v>34903.516666666641</v>
      </c>
      <c r="V178" s="106">
        <f t="shared" si="126"/>
        <v>34903.516666666641</v>
      </c>
      <c r="W178" s="114">
        <v>1</v>
      </c>
      <c r="X178" s="106">
        <f t="shared" si="127"/>
        <v>34903.516666666641</v>
      </c>
      <c r="Y178" s="106">
        <f t="shared" si="128"/>
        <v>40205.316666666644</v>
      </c>
      <c r="Z178" s="110">
        <f t="shared" si="129"/>
        <v>15463.583333333358</v>
      </c>
      <c r="AA178" s="106">
        <f t="shared" si="113"/>
        <v>111.41666666666667</v>
      </c>
      <c r="AB178" s="106">
        <f t="shared" si="114"/>
        <v>119</v>
      </c>
      <c r="AC178" s="106">
        <f t="shared" si="115"/>
        <v>121.41666666666667</v>
      </c>
      <c r="AD178" s="106">
        <f t="shared" si="116"/>
        <v>118</v>
      </c>
      <c r="AE178" s="106">
        <f t="shared" si="117"/>
        <v>-8.3333333333333329E-2</v>
      </c>
      <c r="AF178" s="106">
        <f t="shared" si="130"/>
        <v>0</v>
      </c>
      <c r="AG178" s="107"/>
      <c r="AH178" s="107"/>
      <c r="AI178" s="107"/>
    </row>
    <row r="179" spans="2:35">
      <c r="B179" s="104" t="s">
        <v>749</v>
      </c>
      <c r="C179" s="210">
        <v>2011</v>
      </c>
      <c r="D179" s="104">
        <f t="shared" si="131"/>
        <v>111</v>
      </c>
      <c r="E179" s="104">
        <v>3</v>
      </c>
      <c r="F179" s="113">
        <v>0</v>
      </c>
      <c r="G179" s="112" t="s">
        <v>214</v>
      </c>
      <c r="H179" s="104">
        <v>3</v>
      </c>
      <c r="I179" s="104">
        <f t="shared" si="132"/>
        <v>114</v>
      </c>
      <c r="L179" s="106">
        <v>12933</v>
      </c>
      <c r="M179" s="119">
        <v>0</v>
      </c>
      <c r="N179" s="106">
        <f t="shared" si="119"/>
        <v>12933</v>
      </c>
      <c r="O179" s="106">
        <f t="shared" si="120"/>
        <v>359.25</v>
      </c>
      <c r="P179" s="106">
        <f t="shared" si="121"/>
        <v>0</v>
      </c>
      <c r="Q179" s="106">
        <f t="shared" si="122"/>
        <v>0</v>
      </c>
      <c r="R179" s="106">
        <f t="shared" si="123"/>
        <v>0</v>
      </c>
      <c r="S179" s="114">
        <v>1</v>
      </c>
      <c r="T179" s="106">
        <f t="shared" si="124"/>
        <v>0</v>
      </c>
      <c r="U179" s="106">
        <f t="shared" si="125"/>
        <v>12933</v>
      </c>
      <c r="V179" s="106">
        <f t="shared" si="126"/>
        <v>12933</v>
      </c>
      <c r="W179" s="114">
        <v>1</v>
      </c>
      <c r="X179" s="106">
        <f t="shared" si="127"/>
        <v>12933</v>
      </c>
      <c r="Y179" s="106">
        <f t="shared" si="128"/>
        <v>12933</v>
      </c>
      <c r="Z179" s="110">
        <f t="shared" si="129"/>
        <v>0</v>
      </c>
      <c r="AA179" s="106">
        <f t="shared" si="113"/>
        <v>111.16666666666667</v>
      </c>
      <c r="AB179" s="106">
        <f t="shared" si="114"/>
        <v>119</v>
      </c>
      <c r="AC179" s="106">
        <f t="shared" si="115"/>
        <v>114.16666666666667</v>
      </c>
      <c r="AD179" s="106">
        <f t="shared" si="116"/>
        <v>118</v>
      </c>
      <c r="AE179" s="106">
        <f t="shared" si="117"/>
        <v>-8.3333333333333329E-2</v>
      </c>
      <c r="AF179" s="106">
        <f t="shared" si="130"/>
        <v>0</v>
      </c>
      <c r="AG179" s="107"/>
      <c r="AH179" s="107"/>
      <c r="AI179" s="107"/>
    </row>
    <row r="180" spans="2:35">
      <c r="B180" s="104" t="s">
        <v>749</v>
      </c>
      <c r="C180" s="210">
        <v>2011</v>
      </c>
      <c r="D180" s="104">
        <f t="shared" si="131"/>
        <v>111</v>
      </c>
      <c r="E180" s="104">
        <v>8</v>
      </c>
      <c r="F180" s="113">
        <v>0</v>
      </c>
      <c r="G180" s="112" t="s">
        <v>214</v>
      </c>
      <c r="H180" s="104">
        <v>3</v>
      </c>
      <c r="I180" s="104">
        <f t="shared" si="101"/>
        <v>114</v>
      </c>
      <c r="L180" s="106">
        <v>18946</v>
      </c>
      <c r="M180" s="119">
        <v>0</v>
      </c>
      <c r="N180" s="106">
        <f t="shared" si="119"/>
        <v>18946</v>
      </c>
      <c r="O180" s="106">
        <f t="shared" si="120"/>
        <v>526.27777777777771</v>
      </c>
      <c r="P180" s="106">
        <f t="shared" si="121"/>
        <v>0</v>
      </c>
      <c r="Q180" s="106">
        <f t="shared" si="122"/>
        <v>0</v>
      </c>
      <c r="R180" s="106">
        <f t="shared" si="123"/>
        <v>0</v>
      </c>
      <c r="S180" s="114">
        <v>1</v>
      </c>
      <c r="T180" s="106">
        <f t="shared" si="124"/>
        <v>0</v>
      </c>
      <c r="U180" s="106">
        <f t="shared" si="125"/>
        <v>18946</v>
      </c>
      <c r="V180" s="106">
        <f t="shared" si="126"/>
        <v>18946</v>
      </c>
      <c r="W180" s="114">
        <v>1</v>
      </c>
      <c r="X180" s="106">
        <f t="shared" si="127"/>
        <v>18946</v>
      </c>
      <c r="Y180" s="106">
        <f t="shared" si="128"/>
        <v>18946</v>
      </c>
      <c r="Z180" s="110">
        <f t="shared" si="129"/>
        <v>0</v>
      </c>
      <c r="AA180" s="106">
        <f t="shared" si="113"/>
        <v>111.58333333333333</v>
      </c>
      <c r="AB180" s="106">
        <f t="shared" si="114"/>
        <v>119</v>
      </c>
      <c r="AC180" s="106">
        <f t="shared" si="115"/>
        <v>114.58333333333333</v>
      </c>
      <c r="AD180" s="106">
        <f t="shared" si="116"/>
        <v>118</v>
      </c>
      <c r="AE180" s="106">
        <f t="shared" si="117"/>
        <v>-8.3333333333333329E-2</v>
      </c>
      <c r="AF180" s="106">
        <f t="shared" si="130"/>
        <v>0</v>
      </c>
      <c r="AG180" s="107"/>
      <c r="AH180" s="107"/>
      <c r="AI180" s="107"/>
    </row>
    <row r="181" spans="2:35">
      <c r="B181" s="104" t="s">
        <v>749</v>
      </c>
      <c r="C181" s="210">
        <v>2011</v>
      </c>
      <c r="D181" s="104">
        <f t="shared" si="131"/>
        <v>111</v>
      </c>
      <c r="E181" s="104">
        <v>9</v>
      </c>
      <c r="F181" s="113">
        <v>0</v>
      </c>
      <c r="G181" s="112" t="s">
        <v>214</v>
      </c>
      <c r="H181" s="104">
        <v>3</v>
      </c>
      <c r="I181" s="104">
        <f t="shared" si="132"/>
        <v>114</v>
      </c>
      <c r="L181" s="106">
        <v>2987</v>
      </c>
      <c r="M181" s="119">
        <v>0</v>
      </c>
      <c r="N181" s="106">
        <f t="shared" si="119"/>
        <v>2987</v>
      </c>
      <c r="O181" s="106">
        <f t="shared" si="120"/>
        <v>82.972222222222214</v>
      </c>
      <c r="P181" s="106">
        <f t="shared" si="121"/>
        <v>0</v>
      </c>
      <c r="Q181" s="106">
        <f t="shared" si="122"/>
        <v>0</v>
      </c>
      <c r="R181" s="106">
        <f t="shared" si="123"/>
        <v>0</v>
      </c>
      <c r="S181" s="114">
        <v>1</v>
      </c>
      <c r="T181" s="106">
        <f t="shared" si="124"/>
        <v>0</v>
      </c>
      <c r="U181" s="106">
        <f t="shared" si="125"/>
        <v>2987</v>
      </c>
      <c r="V181" s="106">
        <f t="shared" si="126"/>
        <v>2987</v>
      </c>
      <c r="W181" s="114">
        <v>1</v>
      </c>
      <c r="X181" s="106">
        <f t="shared" si="127"/>
        <v>2987</v>
      </c>
      <c r="Y181" s="106">
        <f t="shared" si="128"/>
        <v>2987</v>
      </c>
      <c r="Z181" s="110">
        <f t="shared" si="129"/>
        <v>0</v>
      </c>
      <c r="AA181" s="106">
        <f t="shared" si="113"/>
        <v>111.66666666666667</v>
      </c>
      <c r="AB181" s="106">
        <f t="shared" si="114"/>
        <v>119</v>
      </c>
      <c r="AC181" s="106">
        <f t="shared" si="115"/>
        <v>114.66666666666667</v>
      </c>
      <c r="AD181" s="106">
        <f t="shared" si="116"/>
        <v>118</v>
      </c>
      <c r="AE181" s="106">
        <f t="shared" si="117"/>
        <v>-8.3333333333333329E-2</v>
      </c>
      <c r="AF181" s="106">
        <f t="shared" si="130"/>
        <v>0</v>
      </c>
      <c r="AG181" s="107"/>
      <c r="AH181" s="107"/>
      <c r="AI181" s="107"/>
    </row>
    <row r="182" spans="2:35">
      <c r="B182" s="104" t="s">
        <v>750</v>
      </c>
      <c r="C182" s="210">
        <v>2011</v>
      </c>
      <c r="D182" s="104">
        <f t="shared" si="131"/>
        <v>111</v>
      </c>
      <c r="E182" s="104">
        <v>10</v>
      </c>
      <c r="F182" s="113">
        <v>0</v>
      </c>
      <c r="G182" s="112" t="s">
        <v>214</v>
      </c>
      <c r="H182" s="104">
        <v>10</v>
      </c>
      <c r="I182" s="104">
        <f t="shared" si="132"/>
        <v>121</v>
      </c>
      <c r="L182" s="106">
        <v>10542</v>
      </c>
      <c r="M182" s="119">
        <v>0</v>
      </c>
      <c r="N182" s="106">
        <f t="shared" si="119"/>
        <v>10542</v>
      </c>
      <c r="O182" s="106">
        <f t="shared" si="120"/>
        <v>87.850000000000009</v>
      </c>
      <c r="P182" s="106">
        <f t="shared" si="121"/>
        <v>1054.2</v>
      </c>
      <c r="Q182" s="106">
        <f t="shared" si="122"/>
        <v>0</v>
      </c>
      <c r="R182" s="106">
        <f t="shared" si="123"/>
        <v>1054.2</v>
      </c>
      <c r="S182" s="114">
        <v>1</v>
      </c>
      <c r="T182" s="106">
        <f t="shared" si="124"/>
        <v>1054.2</v>
      </c>
      <c r="U182" s="106">
        <f t="shared" si="125"/>
        <v>6588.7500000000009</v>
      </c>
      <c r="V182" s="106">
        <f t="shared" si="126"/>
        <v>6588.7500000000009</v>
      </c>
      <c r="W182" s="114">
        <v>1</v>
      </c>
      <c r="X182" s="106">
        <f t="shared" si="127"/>
        <v>6588.7500000000009</v>
      </c>
      <c r="Y182" s="106">
        <f t="shared" si="128"/>
        <v>7642.9500000000007</v>
      </c>
      <c r="Z182" s="110">
        <f t="shared" si="129"/>
        <v>3426.1499999999992</v>
      </c>
      <c r="AA182" s="106">
        <f t="shared" si="113"/>
        <v>111.75</v>
      </c>
      <c r="AB182" s="106">
        <f t="shared" si="114"/>
        <v>119</v>
      </c>
      <c r="AC182" s="106">
        <f t="shared" si="115"/>
        <v>121.75</v>
      </c>
      <c r="AD182" s="106">
        <f t="shared" si="116"/>
        <v>118</v>
      </c>
      <c r="AE182" s="106">
        <f t="shared" si="117"/>
        <v>-8.3333333333333329E-2</v>
      </c>
      <c r="AF182" s="106">
        <f t="shared" si="130"/>
        <v>0</v>
      </c>
      <c r="AG182" s="107"/>
      <c r="AH182" s="107"/>
      <c r="AI182" s="107"/>
    </row>
    <row r="183" spans="2:35">
      <c r="B183" s="104" t="s">
        <v>641</v>
      </c>
      <c r="C183" s="210">
        <v>2011</v>
      </c>
      <c r="D183" s="104">
        <f t="shared" si="131"/>
        <v>111</v>
      </c>
      <c r="E183" s="104">
        <v>12</v>
      </c>
      <c r="F183" s="113">
        <v>0</v>
      </c>
      <c r="G183" s="112" t="s">
        <v>214</v>
      </c>
      <c r="H183" s="104">
        <v>7</v>
      </c>
      <c r="I183" s="104">
        <f t="shared" si="132"/>
        <v>118</v>
      </c>
      <c r="L183" s="106">
        <v>18358</v>
      </c>
      <c r="M183" s="119">
        <v>0</v>
      </c>
      <c r="N183" s="106">
        <f t="shared" si="119"/>
        <v>18358</v>
      </c>
      <c r="O183" s="106">
        <f t="shared" si="120"/>
        <v>218.54761904761904</v>
      </c>
      <c r="P183" s="106">
        <f t="shared" si="121"/>
        <v>2404.0238095238219</v>
      </c>
      <c r="Q183" s="106">
        <f t="shared" si="122"/>
        <v>0</v>
      </c>
      <c r="R183" s="106">
        <f t="shared" si="123"/>
        <v>2404.0238095238219</v>
      </c>
      <c r="S183" s="114">
        <v>1</v>
      </c>
      <c r="T183" s="106">
        <f t="shared" si="124"/>
        <v>2404.0238095238219</v>
      </c>
      <c r="U183" s="106">
        <f t="shared" si="125"/>
        <v>15953.976190476178</v>
      </c>
      <c r="V183" s="106">
        <f t="shared" si="126"/>
        <v>15953.976190476178</v>
      </c>
      <c r="W183" s="114">
        <v>1</v>
      </c>
      <c r="X183" s="106">
        <f t="shared" si="127"/>
        <v>15953.976190476178</v>
      </c>
      <c r="Y183" s="106">
        <f t="shared" si="128"/>
        <v>18358</v>
      </c>
      <c r="Z183" s="110">
        <f t="shared" si="129"/>
        <v>1202.011904761911</v>
      </c>
      <c r="AA183" s="106">
        <f t="shared" si="113"/>
        <v>111.91666666666667</v>
      </c>
      <c r="AB183" s="106">
        <f t="shared" si="114"/>
        <v>119</v>
      </c>
      <c r="AC183" s="106">
        <f t="shared" si="115"/>
        <v>118.91666666666667</v>
      </c>
      <c r="AD183" s="106">
        <f t="shared" si="116"/>
        <v>118</v>
      </c>
      <c r="AE183" s="106">
        <f t="shared" si="117"/>
        <v>-8.3333333333333329E-2</v>
      </c>
      <c r="AF183" s="106">
        <f t="shared" si="130"/>
        <v>0</v>
      </c>
      <c r="AG183" s="107"/>
      <c r="AH183" s="107"/>
      <c r="AI183" s="107"/>
    </row>
    <row r="184" spans="2:35">
      <c r="B184" s="104" t="s">
        <v>751</v>
      </c>
      <c r="C184" s="210">
        <v>2012</v>
      </c>
      <c r="D184" s="104">
        <f t="shared" si="131"/>
        <v>112</v>
      </c>
      <c r="E184" s="104">
        <v>8</v>
      </c>
      <c r="F184" s="113">
        <v>0</v>
      </c>
      <c r="G184" s="112" t="s">
        <v>214</v>
      </c>
      <c r="H184" s="104">
        <v>7</v>
      </c>
      <c r="I184" s="104">
        <f t="shared" si="132"/>
        <v>119</v>
      </c>
      <c r="L184" s="106">
        <v>18003</v>
      </c>
      <c r="M184" s="119">
        <v>0</v>
      </c>
      <c r="N184" s="106">
        <f t="shared" si="119"/>
        <v>18003</v>
      </c>
      <c r="O184" s="106">
        <f t="shared" si="120"/>
        <v>214.32142857142856</v>
      </c>
      <c r="P184" s="106">
        <f t="shared" si="121"/>
        <v>2571.8571428571427</v>
      </c>
      <c r="Q184" s="106">
        <f t="shared" si="122"/>
        <v>0</v>
      </c>
      <c r="R184" s="106">
        <f t="shared" si="123"/>
        <v>2571.8571428571427</v>
      </c>
      <c r="S184" s="114">
        <v>1</v>
      </c>
      <c r="T184" s="106">
        <f t="shared" si="124"/>
        <v>2571.8571428571427</v>
      </c>
      <c r="U184" s="106">
        <f t="shared" si="125"/>
        <v>13930.892857142868</v>
      </c>
      <c r="V184" s="106">
        <f t="shared" si="126"/>
        <v>13930.892857142868</v>
      </c>
      <c r="W184" s="114">
        <v>1</v>
      </c>
      <c r="X184" s="106">
        <f t="shared" si="127"/>
        <v>13930.892857142868</v>
      </c>
      <c r="Y184" s="106">
        <f t="shared" si="128"/>
        <v>16502.750000000011</v>
      </c>
      <c r="Z184" s="110">
        <f t="shared" si="129"/>
        <v>2786.1785714285606</v>
      </c>
      <c r="AA184" s="106">
        <f t="shared" si="113"/>
        <v>112.58333333333333</v>
      </c>
      <c r="AB184" s="106">
        <f t="shared" si="114"/>
        <v>119</v>
      </c>
      <c r="AC184" s="106">
        <f t="shared" si="115"/>
        <v>119.58333333333333</v>
      </c>
      <c r="AD184" s="106">
        <f t="shared" si="116"/>
        <v>118</v>
      </c>
      <c r="AE184" s="106">
        <f t="shared" si="117"/>
        <v>-8.3333333333333329E-2</v>
      </c>
      <c r="AF184" s="106">
        <f t="shared" si="130"/>
        <v>0</v>
      </c>
      <c r="AG184" s="107"/>
      <c r="AH184" s="107"/>
      <c r="AI184" s="107"/>
    </row>
    <row r="185" spans="2:35">
      <c r="B185" s="104" t="s">
        <v>752</v>
      </c>
      <c r="C185" s="210">
        <v>2012</v>
      </c>
      <c r="D185" s="104">
        <f t="shared" si="131"/>
        <v>112</v>
      </c>
      <c r="E185" s="104">
        <v>9</v>
      </c>
      <c r="F185" s="113">
        <v>0</v>
      </c>
      <c r="G185" s="112" t="s">
        <v>214</v>
      </c>
      <c r="H185" s="104">
        <v>7</v>
      </c>
      <c r="I185" s="104">
        <f t="shared" si="132"/>
        <v>119</v>
      </c>
      <c r="L185" s="106">
        <v>1280</v>
      </c>
      <c r="M185" s="119">
        <v>0</v>
      </c>
      <c r="N185" s="106">
        <f t="shared" si="119"/>
        <v>1280</v>
      </c>
      <c r="O185" s="106">
        <f t="shared" si="120"/>
        <v>15.238095238095239</v>
      </c>
      <c r="P185" s="106">
        <f t="shared" si="121"/>
        <v>182.85714285714286</v>
      </c>
      <c r="Q185" s="106">
        <f t="shared" si="122"/>
        <v>0</v>
      </c>
      <c r="R185" s="106">
        <f t="shared" si="123"/>
        <v>182.85714285714286</v>
      </c>
      <c r="S185" s="114">
        <v>1</v>
      </c>
      <c r="T185" s="106">
        <f t="shared" si="124"/>
        <v>182.85714285714286</v>
      </c>
      <c r="U185" s="106">
        <f t="shared" si="125"/>
        <v>975.23809523809439</v>
      </c>
      <c r="V185" s="106">
        <f t="shared" si="126"/>
        <v>975.23809523809439</v>
      </c>
      <c r="W185" s="114">
        <v>1</v>
      </c>
      <c r="X185" s="106">
        <f t="shared" si="127"/>
        <v>975.23809523809439</v>
      </c>
      <c r="Y185" s="106">
        <f t="shared" si="128"/>
        <v>1158.0952380952372</v>
      </c>
      <c r="Z185" s="110">
        <f t="shared" si="129"/>
        <v>213.33333333333422</v>
      </c>
      <c r="AA185" s="106">
        <f t="shared" si="113"/>
        <v>112.66666666666667</v>
      </c>
      <c r="AB185" s="106">
        <f t="shared" si="114"/>
        <v>119</v>
      </c>
      <c r="AC185" s="106">
        <f t="shared" si="115"/>
        <v>119.66666666666667</v>
      </c>
      <c r="AD185" s="106">
        <f t="shared" si="116"/>
        <v>118</v>
      </c>
      <c r="AE185" s="106">
        <f t="shared" si="117"/>
        <v>-8.3333333333333329E-2</v>
      </c>
      <c r="AF185" s="106">
        <f t="shared" si="130"/>
        <v>0</v>
      </c>
      <c r="AG185" s="107"/>
      <c r="AH185" s="107"/>
      <c r="AI185" s="107"/>
    </row>
    <row r="186" spans="2:35">
      <c r="B186" s="104" t="s">
        <v>753</v>
      </c>
      <c r="C186" s="210">
        <v>2013</v>
      </c>
      <c r="D186" s="104">
        <f t="shared" si="131"/>
        <v>113</v>
      </c>
      <c r="E186" s="104">
        <v>6</v>
      </c>
      <c r="F186" s="113">
        <v>0</v>
      </c>
      <c r="G186" s="112" t="s">
        <v>214</v>
      </c>
      <c r="H186" s="104">
        <v>7</v>
      </c>
      <c r="I186" s="104">
        <f t="shared" si="132"/>
        <v>120</v>
      </c>
      <c r="L186" s="106">
        <v>164365</v>
      </c>
      <c r="M186" s="119">
        <v>0</v>
      </c>
      <c r="N186" s="106">
        <f t="shared" si="119"/>
        <v>164365</v>
      </c>
      <c r="O186" s="106">
        <f t="shared" si="120"/>
        <v>1956.7261904761906</v>
      </c>
      <c r="P186" s="106">
        <f t="shared" si="121"/>
        <v>23480.714285714286</v>
      </c>
      <c r="Q186" s="106">
        <f t="shared" si="122"/>
        <v>0</v>
      </c>
      <c r="R186" s="106">
        <f t="shared" si="123"/>
        <v>23480.714285714286</v>
      </c>
      <c r="S186" s="114">
        <v>1</v>
      </c>
      <c r="T186" s="106">
        <f t="shared" si="124"/>
        <v>23480.714285714286</v>
      </c>
      <c r="U186" s="106">
        <f t="shared" si="125"/>
        <v>107619.94047619037</v>
      </c>
      <c r="V186" s="106">
        <f t="shared" si="126"/>
        <v>107619.94047619037</v>
      </c>
      <c r="W186" s="114">
        <v>1</v>
      </c>
      <c r="X186" s="106">
        <f t="shared" si="127"/>
        <v>107619.94047619037</v>
      </c>
      <c r="Y186" s="106">
        <f t="shared" si="128"/>
        <v>131100.65476190465</v>
      </c>
      <c r="Z186" s="110">
        <f t="shared" si="129"/>
        <v>45004.702380952491</v>
      </c>
      <c r="AA186" s="106">
        <f t="shared" si="113"/>
        <v>113.41666666666667</v>
      </c>
      <c r="AB186" s="106">
        <f t="shared" si="114"/>
        <v>119</v>
      </c>
      <c r="AC186" s="106">
        <f t="shared" si="115"/>
        <v>120.41666666666667</v>
      </c>
      <c r="AD186" s="106">
        <f t="shared" si="116"/>
        <v>118</v>
      </c>
      <c r="AE186" s="106">
        <f t="shared" si="117"/>
        <v>-8.3333333333333329E-2</v>
      </c>
      <c r="AF186" s="106">
        <f t="shared" si="130"/>
        <v>0</v>
      </c>
      <c r="AG186" s="107"/>
      <c r="AH186" s="107"/>
      <c r="AI186" s="107"/>
    </row>
    <row r="187" spans="2:35">
      <c r="B187" s="104" t="s">
        <v>754</v>
      </c>
      <c r="C187" s="210">
        <v>2013</v>
      </c>
      <c r="D187" s="104">
        <f t="shared" si="131"/>
        <v>113</v>
      </c>
      <c r="E187" s="104">
        <v>6</v>
      </c>
      <c r="F187" s="113">
        <v>0</v>
      </c>
      <c r="G187" s="112" t="s">
        <v>214</v>
      </c>
      <c r="H187" s="104">
        <v>7</v>
      </c>
      <c r="I187" s="104">
        <f t="shared" si="132"/>
        <v>120</v>
      </c>
      <c r="L187" s="106">
        <v>4654</v>
      </c>
      <c r="M187" s="119">
        <v>0</v>
      </c>
      <c r="N187" s="106">
        <f t="shared" si="119"/>
        <v>4654</v>
      </c>
      <c r="O187" s="106">
        <f t="shared" si="120"/>
        <v>55.404761904761905</v>
      </c>
      <c r="P187" s="106">
        <f t="shared" si="121"/>
        <v>664.85714285714289</v>
      </c>
      <c r="Q187" s="106">
        <f t="shared" si="122"/>
        <v>0</v>
      </c>
      <c r="R187" s="106">
        <f t="shared" si="123"/>
        <v>664.85714285714289</v>
      </c>
      <c r="S187" s="114">
        <v>1</v>
      </c>
      <c r="T187" s="106">
        <f t="shared" si="124"/>
        <v>664.85714285714289</v>
      </c>
      <c r="U187" s="106">
        <f t="shared" si="125"/>
        <v>3047.2619047619014</v>
      </c>
      <c r="V187" s="106">
        <f t="shared" si="126"/>
        <v>3047.2619047619014</v>
      </c>
      <c r="W187" s="114">
        <v>1</v>
      </c>
      <c r="X187" s="106">
        <f t="shared" si="127"/>
        <v>3047.2619047619014</v>
      </c>
      <c r="Y187" s="106">
        <f t="shared" si="128"/>
        <v>3712.1190476190441</v>
      </c>
      <c r="Z187" s="110">
        <f t="shared" si="129"/>
        <v>1274.3095238095273</v>
      </c>
      <c r="AA187" s="106">
        <f t="shared" si="113"/>
        <v>113.41666666666667</v>
      </c>
      <c r="AB187" s="106">
        <f t="shared" si="114"/>
        <v>119</v>
      </c>
      <c r="AC187" s="106">
        <f t="shared" si="115"/>
        <v>120.41666666666667</v>
      </c>
      <c r="AD187" s="106">
        <f t="shared" si="116"/>
        <v>118</v>
      </c>
      <c r="AE187" s="106">
        <f t="shared" si="117"/>
        <v>-8.3333333333333329E-2</v>
      </c>
      <c r="AF187" s="106">
        <f t="shared" si="130"/>
        <v>0</v>
      </c>
      <c r="AG187" s="107"/>
      <c r="AH187" s="107"/>
      <c r="AI187" s="107"/>
    </row>
    <row r="188" spans="2:35">
      <c r="B188" s="104" t="s">
        <v>135</v>
      </c>
      <c r="C188" s="210">
        <v>2013</v>
      </c>
      <c r="D188" s="104">
        <f t="shared" si="131"/>
        <v>113</v>
      </c>
      <c r="E188" s="104">
        <v>4</v>
      </c>
      <c r="F188" s="113">
        <v>0</v>
      </c>
      <c r="G188" s="112" t="s">
        <v>214</v>
      </c>
      <c r="H188" s="104">
        <v>10</v>
      </c>
      <c r="I188" s="104">
        <f t="shared" si="132"/>
        <v>123</v>
      </c>
      <c r="L188" s="106">
        <v>6273</v>
      </c>
      <c r="M188" s="119">
        <v>0</v>
      </c>
      <c r="N188" s="106">
        <f t="shared" si="119"/>
        <v>6273</v>
      </c>
      <c r="O188" s="106">
        <f t="shared" si="120"/>
        <v>52.274999999999999</v>
      </c>
      <c r="P188" s="106">
        <f t="shared" si="121"/>
        <v>627.29999999999995</v>
      </c>
      <c r="Q188" s="106">
        <f t="shared" si="122"/>
        <v>0</v>
      </c>
      <c r="R188" s="106">
        <f t="shared" si="123"/>
        <v>627.29999999999995</v>
      </c>
      <c r="S188" s="114">
        <v>1</v>
      </c>
      <c r="T188" s="106">
        <f t="shared" si="124"/>
        <v>627.29999999999995</v>
      </c>
      <c r="U188" s="106">
        <f t="shared" si="125"/>
        <v>2979.6749999999997</v>
      </c>
      <c r="V188" s="106">
        <f t="shared" si="126"/>
        <v>2979.6749999999997</v>
      </c>
      <c r="W188" s="114">
        <v>1</v>
      </c>
      <c r="X188" s="106">
        <f t="shared" si="127"/>
        <v>2979.6749999999997</v>
      </c>
      <c r="Y188" s="106">
        <f t="shared" si="128"/>
        <v>3606.9749999999995</v>
      </c>
      <c r="Z188" s="110">
        <f t="shared" si="129"/>
        <v>2979.6750000000002</v>
      </c>
      <c r="AA188" s="106">
        <f t="shared" si="113"/>
        <v>113.25</v>
      </c>
      <c r="AB188" s="106">
        <f t="shared" si="114"/>
        <v>119</v>
      </c>
      <c r="AC188" s="106">
        <f t="shared" si="115"/>
        <v>123.25</v>
      </c>
      <c r="AD188" s="106">
        <f t="shared" si="116"/>
        <v>118</v>
      </c>
      <c r="AE188" s="106">
        <f t="shared" si="117"/>
        <v>-8.3333333333333329E-2</v>
      </c>
      <c r="AF188" s="106">
        <f t="shared" si="130"/>
        <v>0</v>
      </c>
      <c r="AG188" s="107"/>
      <c r="AH188" s="107"/>
      <c r="AI188" s="107"/>
    </row>
    <row r="189" spans="2:35">
      <c r="B189" s="104" t="s">
        <v>755</v>
      </c>
      <c r="C189" s="210">
        <v>2013</v>
      </c>
      <c r="D189" s="104">
        <f t="shared" si="131"/>
        <v>113</v>
      </c>
      <c r="E189" s="104">
        <v>5</v>
      </c>
      <c r="F189" s="113">
        <v>0</v>
      </c>
      <c r="G189" s="112" t="s">
        <v>214</v>
      </c>
      <c r="H189" s="104">
        <v>10</v>
      </c>
      <c r="I189" s="104">
        <f t="shared" si="132"/>
        <v>123</v>
      </c>
      <c r="L189" s="106">
        <v>315407</v>
      </c>
      <c r="M189" s="119">
        <v>0</v>
      </c>
      <c r="N189" s="106">
        <f t="shared" si="119"/>
        <v>315407</v>
      </c>
      <c r="O189" s="106">
        <f t="shared" si="120"/>
        <v>2628.3916666666669</v>
      </c>
      <c r="P189" s="106">
        <f t="shared" si="121"/>
        <v>31540.700000000004</v>
      </c>
      <c r="Q189" s="106">
        <f t="shared" si="122"/>
        <v>0</v>
      </c>
      <c r="R189" s="106">
        <f t="shared" si="123"/>
        <v>31540.700000000004</v>
      </c>
      <c r="S189" s="114">
        <v>1</v>
      </c>
      <c r="T189" s="106">
        <f t="shared" si="124"/>
        <v>31540.700000000004</v>
      </c>
      <c r="U189" s="106">
        <f t="shared" si="125"/>
        <v>147189.93333333349</v>
      </c>
      <c r="V189" s="106">
        <f t="shared" si="126"/>
        <v>147189.93333333349</v>
      </c>
      <c r="W189" s="114">
        <v>1</v>
      </c>
      <c r="X189" s="106">
        <f t="shared" si="127"/>
        <v>147189.93333333349</v>
      </c>
      <c r="Y189" s="106">
        <f t="shared" si="128"/>
        <v>178730.63333333351</v>
      </c>
      <c r="Z189" s="110">
        <f t="shared" si="129"/>
        <v>152446.7166666665</v>
      </c>
      <c r="AA189" s="106">
        <f t="shared" si="113"/>
        <v>113.33333333333333</v>
      </c>
      <c r="AB189" s="106">
        <f t="shared" si="114"/>
        <v>119</v>
      </c>
      <c r="AC189" s="106">
        <f t="shared" si="115"/>
        <v>123.33333333333333</v>
      </c>
      <c r="AD189" s="106">
        <f t="shared" si="116"/>
        <v>118</v>
      </c>
      <c r="AE189" s="106">
        <f t="shared" si="117"/>
        <v>-8.3333333333333329E-2</v>
      </c>
      <c r="AF189" s="106">
        <f t="shared" si="130"/>
        <v>0</v>
      </c>
      <c r="AG189" s="107"/>
      <c r="AH189" s="107"/>
      <c r="AI189" s="107"/>
    </row>
    <row r="190" spans="2:35">
      <c r="B190" s="104" t="s">
        <v>135</v>
      </c>
      <c r="C190" s="210">
        <v>2013</v>
      </c>
      <c r="D190" s="104">
        <f t="shared" si="131"/>
        <v>113</v>
      </c>
      <c r="E190" s="104">
        <v>6</v>
      </c>
      <c r="F190" s="113">
        <v>0</v>
      </c>
      <c r="G190" s="112" t="s">
        <v>214</v>
      </c>
      <c r="H190" s="104">
        <v>10</v>
      </c>
      <c r="I190" s="104">
        <f t="shared" si="132"/>
        <v>123</v>
      </c>
      <c r="L190" s="106">
        <v>11360</v>
      </c>
      <c r="M190" s="119">
        <v>0</v>
      </c>
      <c r="N190" s="106">
        <f t="shared" si="119"/>
        <v>11360</v>
      </c>
      <c r="O190" s="106">
        <f t="shared" si="120"/>
        <v>94.666666666666671</v>
      </c>
      <c r="P190" s="106">
        <f t="shared" si="121"/>
        <v>1136</v>
      </c>
      <c r="Q190" s="106">
        <f t="shared" si="122"/>
        <v>0</v>
      </c>
      <c r="R190" s="106">
        <f t="shared" si="123"/>
        <v>1136</v>
      </c>
      <c r="S190" s="114">
        <v>1</v>
      </c>
      <c r="T190" s="106">
        <f t="shared" si="124"/>
        <v>1136</v>
      </c>
      <c r="U190" s="106">
        <f t="shared" si="125"/>
        <v>5206.6666666666615</v>
      </c>
      <c r="V190" s="106">
        <f t="shared" si="126"/>
        <v>5206.6666666666615</v>
      </c>
      <c r="W190" s="114">
        <v>1</v>
      </c>
      <c r="X190" s="106">
        <f t="shared" si="127"/>
        <v>5206.6666666666615</v>
      </c>
      <c r="Y190" s="106">
        <f t="shared" si="128"/>
        <v>6342.6666666666615</v>
      </c>
      <c r="Z190" s="110">
        <f t="shared" si="129"/>
        <v>5585.3333333333385</v>
      </c>
      <c r="AA190" s="106">
        <f t="shared" si="113"/>
        <v>113.41666666666667</v>
      </c>
      <c r="AB190" s="106">
        <f t="shared" si="114"/>
        <v>119</v>
      </c>
      <c r="AC190" s="106">
        <f t="shared" si="115"/>
        <v>123.41666666666667</v>
      </c>
      <c r="AD190" s="106">
        <f t="shared" si="116"/>
        <v>118</v>
      </c>
      <c r="AE190" s="106">
        <f t="shared" si="117"/>
        <v>-8.3333333333333329E-2</v>
      </c>
      <c r="AF190" s="106">
        <f t="shared" si="130"/>
        <v>0</v>
      </c>
      <c r="AG190" s="107"/>
      <c r="AH190" s="107"/>
      <c r="AI190" s="107"/>
    </row>
    <row r="191" spans="2:35">
      <c r="B191" s="104" t="s">
        <v>756</v>
      </c>
      <c r="C191" s="210">
        <v>2013</v>
      </c>
      <c r="D191" s="104">
        <f t="shared" si="131"/>
        <v>113</v>
      </c>
      <c r="E191" s="104">
        <v>7</v>
      </c>
      <c r="F191" s="113">
        <v>0</v>
      </c>
      <c r="G191" s="112" t="s">
        <v>214</v>
      </c>
      <c r="H191" s="104">
        <v>7</v>
      </c>
      <c r="I191" s="104">
        <f t="shared" si="132"/>
        <v>120</v>
      </c>
      <c r="L191" s="106">
        <v>170382</v>
      </c>
      <c r="M191" s="119">
        <v>0</v>
      </c>
      <c r="N191" s="106">
        <f t="shared" si="119"/>
        <v>170382</v>
      </c>
      <c r="O191" s="106">
        <f t="shared" si="120"/>
        <v>2028.3571428571429</v>
      </c>
      <c r="P191" s="106">
        <f t="shared" si="121"/>
        <v>24340.285714285714</v>
      </c>
      <c r="Q191" s="106">
        <f t="shared" si="122"/>
        <v>0</v>
      </c>
      <c r="R191" s="106">
        <f t="shared" si="123"/>
        <v>24340.285714285714</v>
      </c>
      <c r="S191" s="114">
        <v>1</v>
      </c>
      <c r="T191" s="106">
        <f t="shared" si="124"/>
        <v>24340.285714285714</v>
      </c>
      <c r="U191" s="106">
        <f t="shared" si="125"/>
        <v>109531.28571428571</v>
      </c>
      <c r="V191" s="106">
        <f t="shared" si="126"/>
        <v>109531.28571428571</v>
      </c>
      <c r="W191" s="114">
        <v>1</v>
      </c>
      <c r="X191" s="106">
        <f t="shared" si="127"/>
        <v>109531.28571428571</v>
      </c>
      <c r="Y191" s="106">
        <f t="shared" si="128"/>
        <v>133871.57142857142</v>
      </c>
      <c r="Z191" s="110">
        <f t="shared" si="129"/>
        <v>48680.571428571435</v>
      </c>
      <c r="AA191" s="106">
        <f t="shared" si="113"/>
        <v>113.5</v>
      </c>
      <c r="AB191" s="106">
        <f t="shared" si="114"/>
        <v>119</v>
      </c>
      <c r="AC191" s="106">
        <f t="shared" si="115"/>
        <v>120.5</v>
      </c>
      <c r="AD191" s="106">
        <f t="shared" si="116"/>
        <v>118</v>
      </c>
      <c r="AE191" s="106">
        <f t="shared" si="117"/>
        <v>-8.3333333333333329E-2</v>
      </c>
      <c r="AF191" s="106">
        <f t="shared" si="130"/>
        <v>0</v>
      </c>
      <c r="AG191" s="107"/>
      <c r="AH191" s="107"/>
      <c r="AI191" s="107"/>
    </row>
    <row r="192" spans="2:35">
      <c r="B192" s="104" t="s">
        <v>746</v>
      </c>
      <c r="C192" s="210">
        <v>2013</v>
      </c>
      <c r="D192" s="104">
        <f t="shared" si="131"/>
        <v>113</v>
      </c>
      <c r="E192" s="104">
        <v>7</v>
      </c>
      <c r="F192" s="113">
        <v>0</v>
      </c>
      <c r="G192" s="112" t="s">
        <v>214</v>
      </c>
      <c r="H192" s="104">
        <v>10</v>
      </c>
      <c r="I192" s="104">
        <f t="shared" si="132"/>
        <v>123</v>
      </c>
      <c r="L192" s="106">
        <v>11868</v>
      </c>
      <c r="M192" s="119">
        <v>0</v>
      </c>
      <c r="N192" s="106">
        <f t="shared" si="119"/>
        <v>11868</v>
      </c>
      <c r="O192" s="106">
        <f t="shared" si="120"/>
        <v>98.899999999999991</v>
      </c>
      <c r="P192" s="106">
        <f t="shared" si="121"/>
        <v>1186.8</v>
      </c>
      <c r="Q192" s="106">
        <f t="shared" si="122"/>
        <v>0</v>
      </c>
      <c r="R192" s="106">
        <f t="shared" si="123"/>
        <v>1186.8</v>
      </c>
      <c r="S192" s="114">
        <v>1</v>
      </c>
      <c r="T192" s="106">
        <f t="shared" si="124"/>
        <v>1186.8</v>
      </c>
      <c r="U192" s="106">
        <f t="shared" si="125"/>
        <v>5340.5999999999995</v>
      </c>
      <c r="V192" s="106">
        <f t="shared" si="126"/>
        <v>5340.5999999999995</v>
      </c>
      <c r="W192" s="114">
        <v>1</v>
      </c>
      <c r="X192" s="106">
        <f t="shared" si="127"/>
        <v>5340.5999999999995</v>
      </c>
      <c r="Y192" s="106">
        <f t="shared" si="128"/>
        <v>6527.4</v>
      </c>
      <c r="Z192" s="110">
        <f t="shared" si="129"/>
        <v>5934</v>
      </c>
      <c r="AA192" s="106">
        <f t="shared" si="113"/>
        <v>113.5</v>
      </c>
      <c r="AB192" s="106">
        <f t="shared" si="114"/>
        <v>119</v>
      </c>
      <c r="AC192" s="106">
        <f t="shared" si="115"/>
        <v>123.5</v>
      </c>
      <c r="AD192" s="106">
        <f t="shared" si="116"/>
        <v>118</v>
      </c>
      <c r="AE192" s="106">
        <f t="shared" si="117"/>
        <v>-8.3333333333333329E-2</v>
      </c>
      <c r="AF192" s="106">
        <f t="shared" si="130"/>
        <v>0</v>
      </c>
      <c r="AG192" s="107"/>
      <c r="AH192" s="107"/>
      <c r="AI192" s="107"/>
    </row>
    <row r="193" spans="2:37">
      <c r="B193" s="104" t="s">
        <v>757</v>
      </c>
      <c r="C193" s="210">
        <v>2013</v>
      </c>
      <c r="D193" s="104">
        <f t="shared" si="131"/>
        <v>113</v>
      </c>
      <c r="E193" s="104">
        <v>8</v>
      </c>
      <c r="F193" s="113">
        <v>0</v>
      </c>
      <c r="G193" s="112" t="s">
        <v>214</v>
      </c>
      <c r="H193" s="104">
        <v>10</v>
      </c>
      <c r="I193" s="104">
        <f t="shared" si="132"/>
        <v>123</v>
      </c>
      <c r="L193" s="106">
        <v>36126</v>
      </c>
      <c r="M193" s="119">
        <v>0</v>
      </c>
      <c r="N193" s="106">
        <f t="shared" si="119"/>
        <v>36126</v>
      </c>
      <c r="O193" s="106">
        <f t="shared" si="120"/>
        <v>301.05</v>
      </c>
      <c r="P193" s="106">
        <f t="shared" si="121"/>
        <v>3612.6000000000004</v>
      </c>
      <c r="Q193" s="106">
        <f t="shared" si="122"/>
        <v>0</v>
      </c>
      <c r="R193" s="106">
        <f t="shared" si="123"/>
        <v>3612.6000000000004</v>
      </c>
      <c r="S193" s="114">
        <v>1</v>
      </c>
      <c r="T193" s="106">
        <f t="shared" si="124"/>
        <v>3612.6000000000004</v>
      </c>
      <c r="U193" s="106">
        <f t="shared" si="125"/>
        <v>15955.650000000018</v>
      </c>
      <c r="V193" s="106">
        <f t="shared" si="126"/>
        <v>15955.650000000018</v>
      </c>
      <c r="W193" s="114">
        <v>1</v>
      </c>
      <c r="X193" s="106">
        <f t="shared" si="127"/>
        <v>15955.650000000018</v>
      </c>
      <c r="Y193" s="106">
        <f t="shared" si="128"/>
        <v>19568.250000000018</v>
      </c>
      <c r="Z193" s="110">
        <f t="shared" si="129"/>
        <v>18364.049999999981</v>
      </c>
      <c r="AA193" s="106">
        <f t="shared" si="113"/>
        <v>113.58333333333333</v>
      </c>
      <c r="AB193" s="106">
        <f t="shared" si="114"/>
        <v>119</v>
      </c>
      <c r="AC193" s="106">
        <f t="shared" si="115"/>
        <v>123.58333333333333</v>
      </c>
      <c r="AD193" s="106">
        <f t="shared" si="116"/>
        <v>118</v>
      </c>
      <c r="AE193" s="106">
        <f t="shared" si="117"/>
        <v>-8.3333333333333329E-2</v>
      </c>
      <c r="AF193" s="106">
        <f t="shared" si="130"/>
        <v>0</v>
      </c>
      <c r="AG193" s="107"/>
      <c r="AH193" s="107"/>
      <c r="AI193" s="107"/>
    </row>
    <row r="194" spans="2:37">
      <c r="B194" s="104" t="s">
        <v>758</v>
      </c>
      <c r="C194" s="210">
        <v>2013</v>
      </c>
      <c r="D194" s="104">
        <f t="shared" si="131"/>
        <v>113</v>
      </c>
      <c r="E194" s="104">
        <v>8</v>
      </c>
      <c r="F194" s="113">
        <v>0</v>
      </c>
      <c r="G194" s="112" t="s">
        <v>214</v>
      </c>
      <c r="H194" s="104">
        <v>7</v>
      </c>
      <c r="I194" s="104">
        <f t="shared" si="132"/>
        <v>120</v>
      </c>
      <c r="L194" s="106">
        <v>2277</v>
      </c>
      <c r="M194" s="119">
        <v>0</v>
      </c>
      <c r="N194" s="106">
        <f t="shared" si="119"/>
        <v>2277</v>
      </c>
      <c r="O194" s="106">
        <f t="shared" si="120"/>
        <v>27.107142857142858</v>
      </c>
      <c r="P194" s="106">
        <f t="shared" si="121"/>
        <v>325.28571428571428</v>
      </c>
      <c r="Q194" s="106">
        <f t="shared" si="122"/>
        <v>0</v>
      </c>
      <c r="R194" s="106">
        <f t="shared" si="123"/>
        <v>325.28571428571428</v>
      </c>
      <c r="S194" s="114">
        <v>1</v>
      </c>
      <c r="T194" s="106">
        <f t="shared" si="124"/>
        <v>325.28571428571428</v>
      </c>
      <c r="U194" s="106">
        <f t="shared" si="125"/>
        <v>1436.6785714285729</v>
      </c>
      <c r="V194" s="106">
        <f t="shared" si="126"/>
        <v>1436.6785714285729</v>
      </c>
      <c r="W194" s="114">
        <v>1</v>
      </c>
      <c r="X194" s="106">
        <f t="shared" si="127"/>
        <v>1436.6785714285729</v>
      </c>
      <c r="Y194" s="106">
        <f t="shared" si="128"/>
        <v>1761.9642857142871</v>
      </c>
      <c r="Z194" s="110">
        <f t="shared" si="129"/>
        <v>677.67857142856997</v>
      </c>
      <c r="AA194" s="106">
        <f t="shared" si="113"/>
        <v>113.58333333333333</v>
      </c>
      <c r="AB194" s="106">
        <f t="shared" si="114"/>
        <v>119</v>
      </c>
      <c r="AC194" s="106">
        <f t="shared" si="115"/>
        <v>120.58333333333333</v>
      </c>
      <c r="AD194" s="106">
        <f t="shared" si="116"/>
        <v>118</v>
      </c>
      <c r="AE194" s="106">
        <f t="shared" si="117"/>
        <v>-8.3333333333333329E-2</v>
      </c>
      <c r="AF194" s="106">
        <f t="shared" si="130"/>
        <v>0</v>
      </c>
      <c r="AG194" s="107"/>
      <c r="AH194" s="107"/>
      <c r="AI194" s="107"/>
    </row>
    <row r="195" spans="2:37">
      <c r="B195" s="104" t="s">
        <v>759</v>
      </c>
      <c r="C195" s="210">
        <v>2013</v>
      </c>
      <c r="D195" s="104">
        <f t="shared" si="131"/>
        <v>113</v>
      </c>
      <c r="E195" s="104">
        <v>11</v>
      </c>
      <c r="F195" s="113">
        <v>0</v>
      </c>
      <c r="G195" s="112" t="s">
        <v>214</v>
      </c>
      <c r="H195" s="104">
        <v>7</v>
      </c>
      <c r="I195" s="104">
        <f t="shared" si="132"/>
        <v>120</v>
      </c>
      <c r="L195" s="106">
        <v>50824</v>
      </c>
      <c r="M195" s="119">
        <v>0</v>
      </c>
      <c r="N195" s="106">
        <f t="shared" si="119"/>
        <v>50824</v>
      </c>
      <c r="O195" s="106">
        <f t="shared" si="120"/>
        <v>605.04761904761904</v>
      </c>
      <c r="P195" s="106">
        <f t="shared" si="121"/>
        <v>7260.5714285714284</v>
      </c>
      <c r="Q195" s="106">
        <f t="shared" si="122"/>
        <v>0</v>
      </c>
      <c r="R195" s="106">
        <f t="shared" si="123"/>
        <v>7260.5714285714284</v>
      </c>
      <c r="S195" s="114">
        <v>1</v>
      </c>
      <c r="T195" s="106">
        <f t="shared" si="124"/>
        <v>7260.5714285714284</v>
      </c>
      <c r="U195" s="106">
        <f t="shared" si="125"/>
        <v>30252.380952380987</v>
      </c>
      <c r="V195" s="106">
        <f t="shared" si="126"/>
        <v>30252.380952380987</v>
      </c>
      <c r="W195" s="114">
        <v>1</v>
      </c>
      <c r="X195" s="106">
        <f t="shared" si="127"/>
        <v>30252.380952380987</v>
      </c>
      <c r="Y195" s="106">
        <f t="shared" si="128"/>
        <v>37512.952380952418</v>
      </c>
      <c r="Z195" s="110">
        <f t="shared" si="129"/>
        <v>16941.333333333299</v>
      </c>
      <c r="AA195" s="106">
        <f t="shared" si="113"/>
        <v>113.83333333333333</v>
      </c>
      <c r="AB195" s="106">
        <f t="shared" si="114"/>
        <v>119</v>
      </c>
      <c r="AC195" s="106">
        <f t="shared" si="115"/>
        <v>120.83333333333333</v>
      </c>
      <c r="AD195" s="106">
        <f t="shared" si="116"/>
        <v>118</v>
      </c>
      <c r="AE195" s="106">
        <f t="shared" si="117"/>
        <v>-8.3333333333333329E-2</v>
      </c>
      <c r="AF195" s="106">
        <f t="shared" si="130"/>
        <v>0</v>
      </c>
      <c r="AG195" s="107"/>
      <c r="AH195" s="107"/>
      <c r="AI195" s="107"/>
    </row>
    <row r="196" spans="2:37">
      <c r="B196" s="104" t="s">
        <v>760</v>
      </c>
      <c r="C196" s="210">
        <v>2014</v>
      </c>
      <c r="D196" s="104">
        <f t="shared" si="131"/>
        <v>114</v>
      </c>
      <c r="E196" s="104">
        <v>5</v>
      </c>
      <c r="F196" s="113">
        <v>0</v>
      </c>
      <c r="G196" s="112" t="s">
        <v>214</v>
      </c>
      <c r="H196" s="104">
        <v>7</v>
      </c>
      <c r="I196" s="104">
        <f t="shared" si="132"/>
        <v>121</v>
      </c>
      <c r="L196" s="106">
        <v>6182</v>
      </c>
      <c r="M196" s="119">
        <v>0</v>
      </c>
      <c r="N196" s="106">
        <f t="shared" si="119"/>
        <v>6182</v>
      </c>
      <c r="O196" s="106">
        <f t="shared" si="120"/>
        <v>73.595238095238088</v>
      </c>
      <c r="P196" s="106">
        <f t="shared" si="121"/>
        <v>883.14285714285711</v>
      </c>
      <c r="Q196" s="106">
        <f t="shared" si="122"/>
        <v>0</v>
      </c>
      <c r="R196" s="106">
        <f t="shared" si="123"/>
        <v>883.14285714285711</v>
      </c>
      <c r="S196" s="114">
        <v>1</v>
      </c>
      <c r="T196" s="106">
        <f t="shared" si="124"/>
        <v>883.14285714285711</v>
      </c>
      <c r="U196" s="106">
        <f t="shared" si="125"/>
        <v>3238.1904761904802</v>
      </c>
      <c r="V196" s="106">
        <f t="shared" si="126"/>
        <v>3238.1904761904802</v>
      </c>
      <c r="W196" s="114">
        <v>1</v>
      </c>
      <c r="X196" s="106">
        <f t="shared" si="127"/>
        <v>3238.1904761904802</v>
      </c>
      <c r="Y196" s="106">
        <f t="shared" si="128"/>
        <v>4121.3333333333376</v>
      </c>
      <c r="Z196" s="110">
        <f t="shared" si="129"/>
        <v>2502.2380952380909</v>
      </c>
      <c r="AA196" s="106">
        <f t="shared" si="113"/>
        <v>114.33333333333333</v>
      </c>
      <c r="AB196" s="106">
        <f t="shared" si="114"/>
        <v>119</v>
      </c>
      <c r="AC196" s="106">
        <f t="shared" si="115"/>
        <v>121.33333333333333</v>
      </c>
      <c r="AD196" s="106">
        <f t="shared" si="116"/>
        <v>118</v>
      </c>
      <c r="AE196" s="106">
        <f t="shared" si="117"/>
        <v>-8.3333333333333329E-2</v>
      </c>
      <c r="AF196" s="106">
        <f t="shared" si="130"/>
        <v>0</v>
      </c>
      <c r="AG196" s="107"/>
      <c r="AH196" s="107"/>
      <c r="AI196" s="107"/>
    </row>
    <row r="197" spans="2:37">
      <c r="B197" s="104" t="s">
        <v>761</v>
      </c>
      <c r="C197" s="210">
        <v>2014</v>
      </c>
      <c r="D197" s="104">
        <f t="shared" si="131"/>
        <v>114</v>
      </c>
      <c r="E197" s="104">
        <v>9</v>
      </c>
      <c r="F197" s="113">
        <v>0</v>
      </c>
      <c r="G197" s="112" t="s">
        <v>214</v>
      </c>
      <c r="H197" s="104">
        <v>10</v>
      </c>
      <c r="I197" s="104">
        <f t="shared" si="132"/>
        <v>124</v>
      </c>
      <c r="L197" s="106">
        <v>9303</v>
      </c>
      <c r="M197" s="119">
        <v>0</v>
      </c>
      <c r="N197" s="106">
        <f t="shared" si="119"/>
        <v>9303</v>
      </c>
      <c r="O197" s="106">
        <f t="shared" si="120"/>
        <v>77.524999999999991</v>
      </c>
      <c r="P197" s="106">
        <f t="shared" si="121"/>
        <v>930.3</v>
      </c>
      <c r="Q197" s="106">
        <f t="shared" si="122"/>
        <v>0</v>
      </c>
      <c r="R197" s="106">
        <f t="shared" si="123"/>
        <v>930.3</v>
      </c>
      <c r="S197" s="114">
        <v>1</v>
      </c>
      <c r="T197" s="106">
        <f t="shared" si="124"/>
        <v>930.3</v>
      </c>
      <c r="U197" s="106">
        <f t="shared" si="125"/>
        <v>3100.9999999999955</v>
      </c>
      <c r="V197" s="106">
        <f t="shared" si="126"/>
        <v>3100.9999999999955</v>
      </c>
      <c r="W197" s="114">
        <v>1</v>
      </c>
      <c r="X197" s="106">
        <f t="shared" si="127"/>
        <v>3100.9999999999955</v>
      </c>
      <c r="Y197" s="106">
        <f t="shared" si="128"/>
        <v>4031.2999999999956</v>
      </c>
      <c r="Z197" s="110">
        <f t="shared" si="129"/>
        <v>5736.850000000004</v>
      </c>
      <c r="AA197" s="106">
        <f t="shared" si="113"/>
        <v>114.66666666666667</v>
      </c>
      <c r="AB197" s="106">
        <f t="shared" si="114"/>
        <v>119</v>
      </c>
      <c r="AC197" s="106">
        <f t="shared" si="115"/>
        <v>124.66666666666667</v>
      </c>
      <c r="AD197" s="106">
        <f t="shared" si="116"/>
        <v>118</v>
      </c>
      <c r="AE197" s="106">
        <f t="shared" si="117"/>
        <v>-8.3333333333333329E-2</v>
      </c>
      <c r="AF197" s="106">
        <f t="shared" si="130"/>
        <v>0</v>
      </c>
      <c r="AG197" s="107"/>
      <c r="AH197" s="107"/>
      <c r="AI197" s="107"/>
    </row>
    <row r="198" spans="2:37">
      <c r="B198" s="104" t="s">
        <v>762</v>
      </c>
      <c r="C198" s="210">
        <v>2014</v>
      </c>
      <c r="D198" s="104">
        <f t="shared" si="131"/>
        <v>114</v>
      </c>
      <c r="E198" s="104">
        <v>11</v>
      </c>
      <c r="F198" s="113">
        <v>0</v>
      </c>
      <c r="G198" s="112" t="s">
        <v>214</v>
      </c>
      <c r="H198" s="104">
        <v>10</v>
      </c>
      <c r="I198" s="104">
        <f t="shared" si="132"/>
        <v>124</v>
      </c>
      <c r="L198" s="106">
        <v>13443</v>
      </c>
      <c r="M198" s="119">
        <v>0</v>
      </c>
      <c r="N198" s="106">
        <f t="shared" si="119"/>
        <v>13443</v>
      </c>
      <c r="O198" s="106">
        <f t="shared" si="120"/>
        <v>112.02499999999999</v>
      </c>
      <c r="P198" s="106">
        <f t="shared" si="121"/>
        <v>1344.3</v>
      </c>
      <c r="Q198" s="106">
        <f t="shared" si="122"/>
        <v>0</v>
      </c>
      <c r="R198" s="106">
        <f t="shared" si="123"/>
        <v>1344.3</v>
      </c>
      <c r="S198" s="114">
        <v>1</v>
      </c>
      <c r="T198" s="106">
        <f t="shared" si="124"/>
        <v>1344.3</v>
      </c>
      <c r="U198" s="106">
        <f t="shared" si="125"/>
        <v>4256.9500000000062</v>
      </c>
      <c r="V198" s="106">
        <f t="shared" si="126"/>
        <v>4256.9500000000062</v>
      </c>
      <c r="W198" s="114">
        <v>1</v>
      </c>
      <c r="X198" s="106">
        <f t="shared" si="127"/>
        <v>4256.9500000000062</v>
      </c>
      <c r="Y198" s="106">
        <f t="shared" si="128"/>
        <v>5601.2500000000064</v>
      </c>
      <c r="Z198" s="110">
        <f t="shared" si="129"/>
        <v>8513.8999999999942</v>
      </c>
      <c r="AA198" s="106">
        <f t="shared" si="113"/>
        <v>114.83333333333333</v>
      </c>
      <c r="AB198" s="106">
        <f t="shared" si="114"/>
        <v>119</v>
      </c>
      <c r="AC198" s="106">
        <f t="shared" si="115"/>
        <v>124.83333333333333</v>
      </c>
      <c r="AD198" s="106">
        <f t="shared" si="116"/>
        <v>118</v>
      </c>
      <c r="AE198" s="106">
        <f t="shared" si="117"/>
        <v>-8.3333333333333329E-2</v>
      </c>
      <c r="AF198" s="106">
        <f t="shared" si="130"/>
        <v>0</v>
      </c>
      <c r="AG198" s="107"/>
      <c r="AH198" s="107"/>
      <c r="AI198" s="107"/>
    </row>
    <row r="199" spans="2:37">
      <c r="B199" s="104" t="s">
        <v>763</v>
      </c>
      <c r="C199" s="210">
        <v>2014</v>
      </c>
      <c r="D199" s="104">
        <f t="shared" si="131"/>
        <v>114</v>
      </c>
      <c r="E199" s="104">
        <v>12</v>
      </c>
      <c r="F199" s="113">
        <v>0</v>
      </c>
      <c r="G199" s="112" t="s">
        <v>214</v>
      </c>
      <c r="H199" s="104">
        <v>7</v>
      </c>
      <c r="I199" s="104">
        <f t="shared" si="132"/>
        <v>121</v>
      </c>
      <c r="L199" s="106">
        <v>81558</v>
      </c>
      <c r="M199" s="119">
        <v>0</v>
      </c>
      <c r="N199" s="106">
        <f t="shared" si="119"/>
        <v>81558</v>
      </c>
      <c r="O199" s="106">
        <f t="shared" si="120"/>
        <v>970.92857142857144</v>
      </c>
      <c r="P199" s="106">
        <f t="shared" si="121"/>
        <v>11651.142857142857</v>
      </c>
      <c r="Q199" s="106">
        <f t="shared" si="122"/>
        <v>0</v>
      </c>
      <c r="R199" s="106">
        <f t="shared" si="123"/>
        <v>11651.142857142857</v>
      </c>
      <c r="S199" s="114">
        <v>1</v>
      </c>
      <c r="T199" s="106">
        <f t="shared" si="124"/>
        <v>11651.142857142857</v>
      </c>
      <c r="U199" s="106">
        <f t="shared" si="125"/>
        <v>35924.357142857087</v>
      </c>
      <c r="V199" s="106">
        <f t="shared" si="126"/>
        <v>35924.357142857087</v>
      </c>
      <c r="W199" s="114">
        <v>1</v>
      </c>
      <c r="X199" s="106">
        <f t="shared" si="127"/>
        <v>35924.357142857087</v>
      </c>
      <c r="Y199" s="106">
        <f t="shared" si="128"/>
        <v>47575.499999999942</v>
      </c>
      <c r="Z199" s="110">
        <f t="shared" si="129"/>
        <v>39808.071428571486</v>
      </c>
      <c r="AA199" s="106">
        <f t="shared" si="113"/>
        <v>114.91666666666667</v>
      </c>
      <c r="AB199" s="106">
        <f t="shared" si="114"/>
        <v>119</v>
      </c>
      <c r="AC199" s="106">
        <f t="shared" si="115"/>
        <v>121.91666666666667</v>
      </c>
      <c r="AD199" s="106">
        <f t="shared" si="116"/>
        <v>118</v>
      </c>
      <c r="AE199" s="106">
        <f t="shared" si="117"/>
        <v>-8.3333333333333329E-2</v>
      </c>
      <c r="AF199" s="106">
        <f t="shared" si="130"/>
        <v>0</v>
      </c>
      <c r="AG199" s="107"/>
      <c r="AH199" s="107"/>
      <c r="AI199" s="107"/>
    </row>
    <row r="200" spans="2:37">
      <c r="B200" s="104" t="s">
        <v>764</v>
      </c>
      <c r="C200" s="210">
        <v>2015</v>
      </c>
      <c r="D200" s="104">
        <f t="shared" si="131"/>
        <v>115</v>
      </c>
      <c r="E200" s="104">
        <v>9</v>
      </c>
      <c r="F200" s="113">
        <v>0</v>
      </c>
      <c r="G200" s="112" t="s">
        <v>214</v>
      </c>
      <c r="H200" s="104">
        <v>7</v>
      </c>
      <c r="I200" s="104">
        <f t="shared" si="132"/>
        <v>122</v>
      </c>
      <c r="L200" s="106">
        <v>170002</v>
      </c>
      <c r="M200" s="119">
        <v>0</v>
      </c>
      <c r="N200" s="106">
        <f t="shared" si="119"/>
        <v>170002</v>
      </c>
      <c r="O200" s="106">
        <f t="shared" si="120"/>
        <v>2023.8333333333333</v>
      </c>
      <c r="P200" s="106">
        <f t="shared" si="121"/>
        <v>24286</v>
      </c>
      <c r="Q200" s="106">
        <f t="shared" si="122"/>
        <v>0</v>
      </c>
      <c r="R200" s="106">
        <f t="shared" si="123"/>
        <v>24286</v>
      </c>
      <c r="S200" s="114">
        <v>1</v>
      </c>
      <c r="T200" s="106">
        <f t="shared" si="124"/>
        <v>24286</v>
      </c>
      <c r="U200" s="106">
        <f t="shared" si="125"/>
        <v>56667.333333333219</v>
      </c>
      <c r="V200" s="106">
        <f t="shared" si="126"/>
        <v>56667.333333333219</v>
      </c>
      <c r="W200" s="114">
        <v>1</v>
      </c>
      <c r="X200" s="106">
        <f t="shared" si="127"/>
        <v>56667.333333333219</v>
      </c>
      <c r="Y200" s="106">
        <f t="shared" si="128"/>
        <v>80953.333333333227</v>
      </c>
      <c r="Z200" s="110">
        <f t="shared" si="129"/>
        <v>101191.66666666677</v>
      </c>
      <c r="AA200" s="106">
        <f t="shared" si="113"/>
        <v>115.66666666666667</v>
      </c>
      <c r="AB200" s="106">
        <f t="shared" si="114"/>
        <v>119</v>
      </c>
      <c r="AC200" s="106">
        <f t="shared" si="115"/>
        <v>122.66666666666667</v>
      </c>
      <c r="AD200" s="106">
        <f t="shared" si="116"/>
        <v>118</v>
      </c>
      <c r="AE200" s="106">
        <f t="shared" si="117"/>
        <v>-8.3333333333333329E-2</v>
      </c>
      <c r="AF200" s="106">
        <f t="shared" si="118"/>
        <v>0</v>
      </c>
      <c r="AG200" s="107"/>
      <c r="AH200" s="107"/>
      <c r="AI200" s="107"/>
    </row>
    <row r="201" spans="2:37">
      <c r="C201" s="210"/>
      <c r="F201" s="113"/>
      <c r="G201" s="112"/>
      <c r="L201" s="106"/>
      <c r="M201" s="119"/>
      <c r="N201" s="106"/>
      <c r="O201" s="106"/>
      <c r="P201" s="106"/>
      <c r="Q201" s="106"/>
      <c r="R201" s="106"/>
      <c r="S201" s="111"/>
      <c r="T201" s="106"/>
      <c r="U201" s="106"/>
      <c r="V201" s="106"/>
      <c r="W201" s="111"/>
      <c r="X201" s="106"/>
      <c r="Y201" s="106"/>
      <c r="Z201" s="106"/>
      <c r="AA201" s="110"/>
      <c r="AB201" s="110"/>
      <c r="AC201" s="110"/>
      <c r="AD201" s="110"/>
      <c r="AE201" s="110"/>
      <c r="AF201" s="106"/>
      <c r="AG201" s="107"/>
      <c r="AH201" s="107"/>
      <c r="AI201" s="107"/>
    </row>
    <row r="202" spans="2:37">
      <c r="C202" s="210"/>
      <c r="L202" s="350"/>
      <c r="M202" s="351"/>
      <c r="N202" s="350"/>
      <c r="O202" s="350"/>
      <c r="P202" s="350"/>
      <c r="Q202" s="350"/>
      <c r="R202" s="350"/>
      <c r="S202" s="352"/>
      <c r="T202" s="350"/>
      <c r="U202" s="350"/>
      <c r="V202" s="350"/>
      <c r="W202" s="352"/>
      <c r="X202" s="350"/>
      <c r="Y202" s="350"/>
      <c r="Z202" s="350"/>
      <c r="AA202" s="351"/>
      <c r="AB202" s="351"/>
      <c r="AC202" s="351"/>
      <c r="AD202" s="351"/>
      <c r="AE202" s="351"/>
      <c r="AF202" s="353"/>
      <c r="AG202" s="107"/>
      <c r="AH202" s="107"/>
      <c r="AI202" s="107"/>
    </row>
    <row r="203" spans="2:37" ht="16.5" thickBot="1">
      <c r="B203" s="109" t="s">
        <v>765</v>
      </c>
      <c r="C203" s="211"/>
      <c r="K203" s="487" t="s">
        <v>258</v>
      </c>
      <c r="L203" s="108">
        <f>SUM(L111:L200)</f>
        <v>1426581</v>
      </c>
      <c r="M203" s="110"/>
      <c r="N203" s="108">
        <f>SUM(N111:N200)</f>
        <v>1426581</v>
      </c>
      <c r="O203" s="108">
        <f>SUM(O111:O200)</f>
        <v>15941.906349206349</v>
      </c>
      <c r="P203" s="108">
        <f t="shared" ref="P203:R203" si="133">SUM(P111:P200)</f>
        <v>147875.93809523812</v>
      </c>
      <c r="Q203" s="108"/>
      <c r="R203" s="108">
        <f t="shared" si="133"/>
        <v>147875.93809523812</v>
      </c>
      <c r="S203" s="105"/>
      <c r="T203" s="108">
        <f>SUM(T111:T200)</f>
        <v>147875.93809523812</v>
      </c>
      <c r="U203" s="108">
        <f t="shared" ref="U203:V203" si="134">SUM(U111:U200)</f>
        <v>864894.67738095205</v>
      </c>
      <c r="V203" s="108">
        <f t="shared" si="134"/>
        <v>864894.67738095205</v>
      </c>
      <c r="W203" s="105"/>
      <c r="X203" s="108">
        <f>SUM(X111:X200)</f>
        <v>864894.67738095205</v>
      </c>
      <c r="Y203" s="108">
        <f t="shared" ref="Y203:Z203" si="135">SUM(Y111:Y200)</f>
        <v>1012770.6154761906</v>
      </c>
      <c r="Z203" s="108">
        <f t="shared" si="135"/>
        <v>487748.35357142868</v>
      </c>
      <c r="AA203" s="110"/>
      <c r="AB203" s="110"/>
      <c r="AC203" s="110"/>
      <c r="AD203" s="110"/>
      <c r="AE203" s="110"/>
      <c r="AF203" s="116">
        <f>SUM(AF143:AF200)</f>
        <v>0</v>
      </c>
      <c r="AG203" s="106"/>
      <c r="AH203" s="106"/>
      <c r="AI203" s="106"/>
      <c r="AJ203" s="105"/>
      <c r="AK203" s="105"/>
    </row>
    <row r="204" spans="2:37" ht="16.5" thickTop="1">
      <c r="C204" s="210"/>
      <c r="L204" s="107"/>
      <c r="M204" s="107"/>
      <c r="N204" s="107"/>
      <c r="O204" s="107"/>
      <c r="P204" s="107"/>
      <c r="Q204" s="107"/>
      <c r="R204" s="107"/>
      <c r="T204" s="107"/>
      <c r="U204" s="107"/>
      <c r="V204" s="107"/>
      <c r="X204" s="107"/>
      <c r="Y204" s="107"/>
      <c r="Z204" s="107"/>
      <c r="AA204" s="107"/>
      <c r="AB204" s="107"/>
      <c r="AC204" s="107"/>
      <c r="AD204" s="107"/>
      <c r="AE204" s="107"/>
      <c r="AF204" s="107"/>
      <c r="AG204" s="107"/>
      <c r="AH204" s="107"/>
      <c r="AI204" s="107"/>
    </row>
    <row r="205" spans="2:37" ht="16.5" customHeight="1">
      <c r="B205" s="109" t="s">
        <v>59</v>
      </c>
      <c r="C205" s="210"/>
      <c r="L205" s="107"/>
      <c r="M205" s="107"/>
      <c r="N205" s="107"/>
      <c r="O205" s="107"/>
      <c r="P205" s="107"/>
      <c r="Q205" s="107"/>
      <c r="R205" s="107"/>
      <c r="T205" s="107"/>
      <c r="U205" s="107"/>
      <c r="V205" s="107"/>
      <c r="X205" s="107"/>
      <c r="Y205" s="107"/>
      <c r="Z205" s="107"/>
      <c r="AA205" s="107"/>
      <c r="AB205" s="107"/>
      <c r="AC205" s="107"/>
      <c r="AD205" s="107"/>
      <c r="AE205" s="107"/>
      <c r="AF205" s="107"/>
      <c r="AG205" s="107"/>
      <c r="AH205" s="107"/>
      <c r="AI205" s="107"/>
    </row>
    <row r="206" spans="2:37">
      <c r="B206" s="104" t="s">
        <v>768</v>
      </c>
      <c r="C206" s="210">
        <v>1995</v>
      </c>
      <c r="D206" s="104">
        <f>+C206-1900</f>
        <v>95</v>
      </c>
      <c r="E206" s="104">
        <v>1</v>
      </c>
      <c r="F206" s="113">
        <v>0</v>
      </c>
      <c r="G206" s="112" t="s">
        <v>214</v>
      </c>
      <c r="H206" s="104">
        <v>10</v>
      </c>
      <c r="I206" s="104">
        <f t="shared" ref="I206:I279" si="136">D206+H206</f>
        <v>105</v>
      </c>
      <c r="L206" s="110">
        <v>3847</v>
      </c>
      <c r="M206" s="119">
        <v>0</v>
      </c>
      <c r="N206" s="110">
        <f t="shared" ref="N206" si="137">L206-(+L206*F206)</f>
        <v>3847</v>
      </c>
      <c r="O206" s="110">
        <f t="shared" ref="O206" si="138">N206/H206/12</f>
        <v>32.05833333333333</v>
      </c>
      <c r="P206" s="110">
        <f t="shared" ref="P206" si="139">IF(Q206&gt;0,0,IF(OR(AA206&gt;AB206,AC206&lt;AD206),0,IF(AND(AC206&gt;=AD206,AC206&lt;=AB206),O206*((AC206-AD206)*12),IF(AND(AD206&lt;=AA206,AB206&gt;=AA206),((AB206-AA206)*12)*O206,IF(AC206&gt;AB206,12*O206,0)))))</f>
        <v>0</v>
      </c>
      <c r="Q206" s="110">
        <f t="shared" ref="Q206" si="140">IF(M206=0,0,IF(AND(AE206&gt;=AD206,AE206&lt;=AC206),((AE206-AD206)*12)*O206,0))</f>
        <v>0</v>
      </c>
      <c r="R206" s="110">
        <f t="shared" ref="R206" si="141">IF(Q206&gt;0,Q206,P206)</f>
        <v>0</v>
      </c>
      <c r="S206" s="111">
        <v>1</v>
      </c>
      <c r="T206" s="110">
        <f t="shared" ref="T206" si="142">S206*SUM(P206:Q206)</f>
        <v>0</v>
      </c>
      <c r="U206" s="110">
        <f t="shared" ref="U206" si="143">IF(AA206&gt;AB206,0,IF(AC206&lt;AD206,L206,IF(AND(AC206&gt;=AD206,AC206&lt;=AB206),(L206-R206),IF(AND(AD206&lt;=AA206,AB206&gt;=AA206),0,IF(AC206&gt;AB206,((AD206-AA206)*12)*O206,0)))))</f>
        <v>3847</v>
      </c>
      <c r="V206" s="110">
        <f t="shared" ref="V206" si="144">U206*S206</f>
        <v>3847</v>
      </c>
      <c r="W206" s="111">
        <v>1</v>
      </c>
      <c r="X206" s="110">
        <f t="shared" ref="X206" si="145">V206*W206</f>
        <v>3847</v>
      </c>
      <c r="Y206" s="110">
        <f t="shared" ref="Y206" si="146">IF(M206&gt;0,0,X206+T206*W206)*W206</f>
        <v>3847</v>
      </c>
      <c r="Z206" s="110">
        <f>IF(M206&gt;0,(L206-X206)/2,IF(AA206&gt;=AD206,(((L206*S206)*W206)-Y206)/2,((((L206*S206)*W206)-X206)+(((L206*S206)*W206)-Y206))/2))</f>
        <v>0</v>
      </c>
      <c r="AA206" s="110">
        <f t="shared" ref="AA206:AA279" si="147">$D206+(($E206-1)/12)</f>
        <v>95</v>
      </c>
      <c r="AB206" s="110">
        <f t="shared" ref="AB206:AB279" si="148">($B$10+1)-($B$7/12)</f>
        <v>119</v>
      </c>
      <c r="AC206" s="110">
        <f t="shared" ref="AC206:AC279" si="149">$I206+(($E206-1)/12)</f>
        <v>105</v>
      </c>
      <c r="AD206" s="110">
        <f t="shared" ref="AD206:AD279" si="150">$B$9+($B$8/12)</f>
        <v>118</v>
      </c>
      <c r="AE206" s="110">
        <f t="shared" ref="AE206:AE279" si="151">$J206+(($K206-1)/12)</f>
        <v>-8.3333333333333329E-2</v>
      </c>
      <c r="AF206" s="110">
        <f t="shared" ref="AF206" si="152">L206-((X206+Y206)/2)-Z206</f>
        <v>0</v>
      </c>
      <c r="AG206" s="107"/>
      <c r="AH206" s="107"/>
      <c r="AI206" s="107"/>
    </row>
    <row r="207" spans="2:37">
      <c r="B207" s="104" t="s">
        <v>767</v>
      </c>
      <c r="C207" s="210">
        <v>1995</v>
      </c>
      <c r="D207" s="104">
        <f t="shared" ref="D207:D270" si="153">+C207-1900</f>
        <v>95</v>
      </c>
      <c r="E207" s="104">
        <v>2</v>
      </c>
      <c r="F207" s="113">
        <v>0</v>
      </c>
      <c r="G207" s="112" t="s">
        <v>214</v>
      </c>
      <c r="H207" s="104">
        <v>10</v>
      </c>
      <c r="I207" s="104">
        <f t="shared" si="136"/>
        <v>105</v>
      </c>
      <c r="L207" s="110">
        <v>3868</v>
      </c>
      <c r="M207" s="119">
        <v>0</v>
      </c>
      <c r="N207" s="110">
        <f t="shared" ref="N207:N270" si="154">L207-(+L207*F207)</f>
        <v>3868</v>
      </c>
      <c r="O207" s="110">
        <f t="shared" ref="O207:O270" si="155">N207/H207/12</f>
        <v>32.233333333333334</v>
      </c>
      <c r="P207" s="110">
        <f t="shared" ref="P207:P270" si="156">IF(Q207&gt;0,0,IF(OR(AA207&gt;AB207,AC207&lt;AD207),0,IF(AND(AC207&gt;=AD207,AC207&lt;=AB207),O207*((AC207-AD207)*12),IF(AND(AD207&lt;=AA207,AB207&gt;=AA207),((AB207-AA207)*12)*O207,IF(AC207&gt;AB207,12*O207,0)))))</f>
        <v>0</v>
      </c>
      <c r="Q207" s="110">
        <f t="shared" ref="Q207:Q270" si="157">IF(M207=0,0,IF(AND(AE207&gt;=AD207,AE207&lt;=AC207),((AE207-AD207)*12)*O207,0))</f>
        <v>0</v>
      </c>
      <c r="R207" s="110">
        <f t="shared" ref="R207:R270" si="158">IF(Q207&gt;0,Q207,P207)</f>
        <v>0</v>
      </c>
      <c r="S207" s="111">
        <v>1</v>
      </c>
      <c r="T207" s="110">
        <f t="shared" ref="T207:T270" si="159">S207*SUM(P207:Q207)</f>
        <v>0</v>
      </c>
      <c r="U207" s="110">
        <f t="shared" ref="U207:U270" si="160">IF(AA207&gt;AB207,0,IF(AC207&lt;AD207,L207,IF(AND(AC207&gt;=AD207,AC207&lt;=AB207),(L207-R207),IF(AND(AD207&lt;=AA207,AB207&gt;=AA207),0,IF(AC207&gt;AB207,((AD207-AA207)*12)*O207,0)))))</f>
        <v>3868</v>
      </c>
      <c r="V207" s="110">
        <f t="shared" ref="V207:V270" si="161">U207*S207</f>
        <v>3868</v>
      </c>
      <c r="W207" s="111">
        <v>1</v>
      </c>
      <c r="X207" s="110">
        <f t="shared" ref="X207:X270" si="162">V207*W207</f>
        <v>3868</v>
      </c>
      <c r="Y207" s="110">
        <f t="shared" ref="Y207:Y270" si="163">IF(M207&gt;0,0,X207+T207*W207)*W207</f>
        <v>3868</v>
      </c>
      <c r="Z207" s="110">
        <f t="shared" ref="Z207:Z270" si="164">IF(M207&gt;0,(L207-X207)/2,IF(AA207&gt;=AD207,(((L207*S207)*W207)-Y207)/2,((((L207*S207)*W207)-X207)+(((L207*S207)*W207)-Y207))/2))</f>
        <v>0</v>
      </c>
      <c r="AA207" s="110">
        <f t="shared" si="147"/>
        <v>95.083333333333329</v>
      </c>
      <c r="AB207" s="110">
        <f t="shared" si="148"/>
        <v>119</v>
      </c>
      <c r="AC207" s="110">
        <f t="shared" si="149"/>
        <v>105.08333333333333</v>
      </c>
      <c r="AD207" s="110">
        <f t="shared" si="150"/>
        <v>118</v>
      </c>
      <c r="AE207" s="110">
        <f t="shared" si="151"/>
        <v>-8.3333333333333329E-2</v>
      </c>
      <c r="AF207" s="110">
        <f t="shared" ref="AF207:AF270" si="165">L207-((X207+Y207)/2)-Z207</f>
        <v>0</v>
      </c>
      <c r="AG207" s="107"/>
      <c r="AH207" s="107"/>
      <c r="AI207" s="107"/>
    </row>
    <row r="208" spans="2:37">
      <c r="B208" s="104" t="s">
        <v>766</v>
      </c>
      <c r="C208" s="210">
        <v>1995</v>
      </c>
      <c r="D208" s="104">
        <f t="shared" si="153"/>
        <v>95</v>
      </c>
      <c r="E208" s="104">
        <v>2</v>
      </c>
      <c r="F208" s="113">
        <v>0</v>
      </c>
      <c r="G208" s="112" t="s">
        <v>214</v>
      </c>
      <c r="H208" s="104">
        <v>10</v>
      </c>
      <c r="I208" s="104">
        <f t="shared" si="136"/>
        <v>105</v>
      </c>
      <c r="L208" s="110">
        <v>665</v>
      </c>
      <c r="M208" s="119">
        <v>0</v>
      </c>
      <c r="N208" s="110">
        <f t="shared" si="154"/>
        <v>665</v>
      </c>
      <c r="O208" s="110">
        <f t="shared" si="155"/>
        <v>5.541666666666667</v>
      </c>
      <c r="P208" s="110">
        <f t="shared" si="156"/>
        <v>0</v>
      </c>
      <c r="Q208" s="110">
        <f t="shared" si="157"/>
        <v>0</v>
      </c>
      <c r="R208" s="110">
        <f t="shared" si="158"/>
        <v>0</v>
      </c>
      <c r="S208" s="111">
        <v>1</v>
      </c>
      <c r="T208" s="110">
        <f t="shared" si="159"/>
        <v>0</v>
      </c>
      <c r="U208" s="110">
        <f t="shared" si="160"/>
        <v>665</v>
      </c>
      <c r="V208" s="110">
        <f t="shared" si="161"/>
        <v>665</v>
      </c>
      <c r="W208" s="111">
        <v>1</v>
      </c>
      <c r="X208" s="110">
        <f t="shared" si="162"/>
        <v>665</v>
      </c>
      <c r="Y208" s="110">
        <f t="shared" si="163"/>
        <v>665</v>
      </c>
      <c r="Z208" s="110">
        <f t="shared" si="164"/>
        <v>0</v>
      </c>
      <c r="AA208" s="110">
        <f t="shared" si="147"/>
        <v>95.083333333333329</v>
      </c>
      <c r="AB208" s="110">
        <f t="shared" si="148"/>
        <v>119</v>
      </c>
      <c r="AC208" s="110">
        <f t="shared" si="149"/>
        <v>105.08333333333333</v>
      </c>
      <c r="AD208" s="110">
        <f t="shared" si="150"/>
        <v>118</v>
      </c>
      <c r="AE208" s="110">
        <f t="shared" si="151"/>
        <v>-8.3333333333333329E-2</v>
      </c>
      <c r="AF208" s="110">
        <f t="shared" si="165"/>
        <v>0</v>
      </c>
      <c r="AG208" s="107"/>
      <c r="AH208" s="107"/>
      <c r="AI208" s="107"/>
    </row>
    <row r="209" spans="2:35">
      <c r="B209" s="104" t="s">
        <v>767</v>
      </c>
      <c r="C209" s="210">
        <v>1995</v>
      </c>
      <c r="D209" s="104">
        <f t="shared" si="153"/>
        <v>95</v>
      </c>
      <c r="E209" s="104">
        <v>9</v>
      </c>
      <c r="F209" s="113">
        <v>0</v>
      </c>
      <c r="G209" s="112" t="s">
        <v>214</v>
      </c>
      <c r="H209" s="104">
        <v>10</v>
      </c>
      <c r="I209" s="104">
        <f t="shared" si="136"/>
        <v>105</v>
      </c>
      <c r="L209" s="110">
        <v>4912</v>
      </c>
      <c r="M209" s="119">
        <v>0</v>
      </c>
      <c r="N209" s="110">
        <f t="shared" si="154"/>
        <v>4912</v>
      </c>
      <c r="O209" s="110">
        <f t="shared" si="155"/>
        <v>40.93333333333333</v>
      </c>
      <c r="P209" s="110">
        <f t="shared" si="156"/>
        <v>0</v>
      </c>
      <c r="Q209" s="110">
        <f t="shared" si="157"/>
        <v>0</v>
      </c>
      <c r="R209" s="110">
        <f t="shared" si="158"/>
        <v>0</v>
      </c>
      <c r="S209" s="111">
        <v>1</v>
      </c>
      <c r="T209" s="110">
        <f t="shared" si="159"/>
        <v>0</v>
      </c>
      <c r="U209" s="110">
        <f t="shared" si="160"/>
        <v>4912</v>
      </c>
      <c r="V209" s="110">
        <f t="shared" si="161"/>
        <v>4912</v>
      </c>
      <c r="W209" s="111">
        <v>1</v>
      </c>
      <c r="X209" s="110">
        <f t="shared" si="162"/>
        <v>4912</v>
      </c>
      <c r="Y209" s="110">
        <f t="shared" si="163"/>
        <v>4912</v>
      </c>
      <c r="Z209" s="110">
        <f t="shared" si="164"/>
        <v>0</v>
      </c>
      <c r="AA209" s="110">
        <f t="shared" si="147"/>
        <v>95.666666666666671</v>
      </c>
      <c r="AB209" s="110">
        <f t="shared" si="148"/>
        <v>119</v>
      </c>
      <c r="AC209" s="110">
        <f t="shared" si="149"/>
        <v>105.66666666666667</v>
      </c>
      <c r="AD209" s="110">
        <f t="shared" si="150"/>
        <v>118</v>
      </c>
      <c r="AE209" s="110">
        <f t="shared" si="151"/>
        <v>-8.3333333333333329E-2</v>
      </c>
      <c r="AF209" s="110">
        <f t="shared" si="165"/>
        <v>0</v>
      </c>
      <c r="AG209" s="107"/>
      <c r="AH209" s="107"/>
      <c r="AI209" s="107"/>
    </row>
    <row r="210" spans="2:35">
      <c r="B210" s="104" t="s">
        <v>769</v>
      </c>
      <c r="C210" s="210">
        <v>1996</v>
      </c>
      <c r="D210" s="104">
        <f t="shared" si="153"/>
        <v>96</v>
      </c>
      <c r="E210" s="104">
        <v>1</v>
      </c>
      <c r="F210" s="113">
        <v>0</v>
      </c>
      <c r="G210" s="112" t="s">
        <v>214</v>
      </c>
      <c r="H210" s="104">
        <v>10</v>
      </c>
      <c r="I210" s="104">
        <f t="shared" si="136"/>
        <v>106</v>
      </c>
      <c r="L210" s="110">
        <v>4486</v>
      </c>
      <c r="M210" s="119">
        <v>0</v>
      </c>
      <c r="N210" s="110">
        <f t="shared" si="154"/>
        <v>4486</v>
      </c>
      <c r="O210" s="110">
        <f t="shared" si="155"/>
        <v>37.383333333333333</v>
      </c>
      <c r="P210" s="110">
        <f t="shared" si="156"/>
        <v>0</v>
      </c>
      <c r="Q210" s="110">
        <f t="shared" si="157"/>
        <v>0</v>
      </c>
      <c r="R210" s="110">
        <f t="shared" si="158"/>
        <v>0</v>
      </c>
      <c r="S210" s="111">
        <v>1</v>
      </c>
      <c r="T210" s="110">
        <f t="shared" si="159"/>
        <v>0</v>
      </c>
      <c r="U210" s="110">
        <f t="shared" si="160"/>
        <v>4486</v>
      </c>
      <c r="V210" s="110">
        <f t="shared" si="161"/>
        <v>4486</v>
      </c>
      <c r="W210" s="111">
        <v>1</v>
      </c>
      <c r="X210" s="110">
        <f t="shared" si="162"/>
        <v>4486</v>
      </c>
      <c r="Y210" s="110">
        <f t="shared" si="163"/>
        <v>4486</v>
      </c>
      <c r="Z210" s="110">
        <f t="shared" si="164"/>
        <v>0</v>
      </c>
      <c r="AA210" s="110">
        <f t="shared" si="147"/>
        <v>96</v>
      </c>
      <c r="AB210" s="110">
        <f t="shared" si="148"/>
        <v>119</v>
      </c>
      <c r="AC210" s="110">
        <f t="shared" si="149"/>
        <v>106</v>
      </c>
      <c r="AD210" s="110">
        <f t="shared" si="150"/>
        <v>118</v>
      </c>
      <c r="AE210" s="110">
        <f t="shared" si="151"/>
        <v>-8.3333333333333329E-2</v>
      </c>
      <c r="AF210" s="110">
        <f t="shared" si="165"/>
        <v>0</v>
      </c>
      <c r="AG210" s="107"/>
      <c r="AH210" s="107"/>
      <c r="AI210" s="107"/>
    </row>
    <row r="211" spans="2:35">
      <c r="B211" s="104" t="s">
        <v>770</v>
      </c>
      <c r="C211" s="210">
        <v>1996</v>
      </c>
      <c r="D211" s="104">
        <f t="shared" si="153"/>
        <v>96</v>
      </c>
      <c r="E211" s="104">
        <v>8</v>
      </c>
      <c r="F211" s="113">
        <v>0</v>
      </c>
      <c r="G211" s="112" t="s">
        <v>214</v>
      </c>
      <c r="H211" s="104">
        <v>10</v>
      </c>
      <c r="I211" s="104">
        <f t="shared" si="136"/>
        <v>106</v>
      </c>
      <c r="L211" s="110">
        <v>4658</v>
      </c>
      <c r="M211" s="119">
        <v>0</v>
      </c>
      <c r="N211" s="110">
        <f t="shared" si="154"/>
        <v>4658</v>
      </c>
      <c r="O211" s="110">
        <f t="shared" si="155"/>
        <v>38.81666666666667</v>
      </c>
      <c r="P211" s="110">
        <f t="shared" si="156"/>
        <v>0</v>
      </c>
      <c r="Q211" s="110">
        <f t="shared" si="157"/>
        <v>0</v>
      </c>
      <c r="R211" s="110">
        <f t="shared" si="158"/>
        <v>0</v>
      </c>
      <c r="S211" s="111">
        <v>1</v>
      </c>
      <c r="T211" s="110">
        <f t="shared" si="159"/>
        <v>0</v>
      </c>
      <c r="U211" s="110">
        <f t="shared" si="160"/>
        <v>4658</v>
      </c>
      <c r="V211" s="110">
        <f t="shared" si="161"/>
        <v>4658</v>
      </c>
      <c r="W211" s="111">
        <v>1</v>
      </c>
      <c r="X211" s="110">
        <f t="shared" si="162"/>
        <v>4658</v>
      </c>
      <c r="Y211" s="110">
        <f t="shared" si="163"/>
        <v>4658</v>
      </c>
      <c r="Z211" s="110">
        <f t="shared" si="164"/>
        <v>0</v>
      </c>
      <c r="AA211" s="110">
        <f t="shared" si="147"/>
        <v>96.583333333333329</v>
      </c>
      <c r="AB211" s="110">
        <f t="shared" si="148"/>
        <v>119</v>
      </c>
      <c r="AC211" s="110">
        <f t="shared" si="149"/>
        <v>106.58333333333333</v>
      </c>
      <c r="AD211" s="110">
        <f t="shared" si="150"/>
        <v>118</v>
      </c>
      <c r="AE211" s="110">
        <f t="shared" si="151"/>
        <v>-8.3333333333333329E-2</v>
      </c>
      <c r="AF211" s="110">
        <f t="shared" si="165"/>
        <v>0</v>
      </c>
      <c r="AG211" s="107"/>
      <c r="AH211" s="107"/>
      <c r="AI211" s="107"/>
    </row>
    <row r="212" spans="2:35">
      <c r="B212" s="104" t="s">
        <v>771</v>
      </c>
      <c r="C212" s="210">
        <v>1996</v>
      </c>
      <c r="D212" s="104">
        <f t="shared" si="153"/>
        <v>96</v>
      </c>
      <c r="E212" s="104">
        <v>6</v>
      </c>
      <c r="F212" s="113">
        <v>0</v>
      </c>
      <c r="G212" s="112" t="s">
        <v>214</v>
      </c>
      <c r="H212" s="104">
        <v>10</v>
      </c>
      <c r="I212" s="104">
        <f t="shared" si="136"/>
        <v>106</v>
      </c>
      <c r="L212" s="110">
        <v>4658</v>
      </c>
      <c r="M212" s="119">
        <v>0</v>
      </c>
      <c r="N212" s="110">
        <f t="shared" si="154"/>
        <v>4658</v>
      </c>
      <c r="O212" s="110">
        <f t="shared" si="155"/>
        <v>38.81666666666667</v>
      </c>
      <c r="P212" s="110">
        <f t="shared" si="156"/>
        <v>0</v>
      </c>
      <c r="Q212" s="110">
        <f t="shared" si="157"/>
        <v>0</v>
      </c>
      <c r="R212" s="110">
        <f t="shared" si="158"/>
        <v>0</v>
      </c>
      <c r="S212" s="111">
        <v>1</v>
      </c>
      <c r="T212" s="110">
        <f t="shared" si="159"/>
        <v>0</v>
      </c>
      <c r="U212" s="110">
        <f t="shared" si="160"/>
        <v>4658</v>
      </c>
      <c r="V212" s="110">
        <f t="shared" si="161"/>
        <v>4658</v>
      </c>
      <c r="W212" s="111">
        <v>1</v>
      </c>
      <c r="X212" s="110">
        <f t="shared" si="162"/>
        <v>4658</v>
      </c>
      <c r="Y212" s="110">
        <f t="shared" si="163"/>
        <v>4658</v>
      </c>
      <c r="Z212" s="110">
        <f t="shared" si="164"/>
        <v>0</v>
      </c>
      <c r="AA212" s="110">
        <f t="shared" si="147"/>
        <v>96.416666666666671</v>
      </c>
      <c r="AB212" s="110">
        <f t="shared" si="148"/>
        <v>119</v>
      </c>
      <c r="AC212" s="110">
        <f t="shared" si="149"/>
        <v>106.41666666666667</v>
      </c>
      <c r="AD212" s="110">
        <f t="shared" si="150"/>
        <v>118</v>
      </c>
      <c r="AE212" s="110">
        <f t="shared" si="151"/>
        <v>-8.3333333333333329E-2</v>
      </c>
      <c r="AF212" s="110">
        <f t="shared" si="165"/>
        <v>0</v>
      </c>
      <c r="AG212" s="107"/>
      <c r="AH212" s="107"/>
      <c r="AI212" s="107"/>
    </row>
    <row r="213" spans="2:35">
      <c r="B213" s="104" t="s">
        <v>772</v>
      </c>
      <c r="C213" s="210">
        <v>1997</v>
      </c>
      <c r="D213" s="104">
        <f t="shared" si="153"/>
        <v>97</v>
      </c>
      <c r="E213" s="104">
        <v>11</v>
      </c>
      <c r="F213" s="113">
        <v>0</v>
      </c>
      <c r="G213" s="112" t="s">
        <v>214</v>
      </c>
      <c r="H213" s="104">
        <v>10</v>
      </c>
      <c r="I213" s="104">
        <f t="shared" si="136"/>
        <v>107</v>
      </c>
      <c r="L213" s="110">
        <v>988</v>
      </c>
      <c r="M213" s="119">
        <v>0</v>
      </c>
      <c r="N213" s="110">
        <f t="shared" si="154"/>
        <v>988</v>
      </c>
      <c r="O213" s="110">
        <f t="shared" si="155"/>
        <v>8.2333333333333325</v>
      </c>
      <c r="P213" s="110">
        <f t="shared" si="156"/>
        <v>0</v>
      </c>
      <c r="Q213" s="110">
        <f t="shared" si="157"/>
        <v>0</v>
      </c>
      <c r="R213" s="110">
        <f t="shared" si="158"/>
        <v>0</v>
      </c>
      <c r="S213" s="111">
        <v>1</v>
      </c>
      <c r="T213" s="110">
        <f t="shared" si="159"/>
        <v>0</v>
      </c>
      <c r="U213" s="110">
        <f t="shared" si="160"/>
        <v>988</v>
      </c>
      <c r="V213" s="110">
        <f t="shared" si="161"/>
        <v>988</v>
      </c>
      <c r="W213" s="111">
        <v>1</v>
      </c>
      <c r="X213" s="110">
        <f t="shared" si="162"/>
        <v>988</v>
      </c>
      <c r="Y213" s="110">
        <f t="shared" si="163"/>
        <v>988</v>
      </c>
      <c r="Z213" s="110">
        <f t="shared" si="164"/>
        <v>0</v>
      </c>
      <c r="AA213" s="110">
        <f t="shared" si="147"/>
        <v>97.833333333333329</v>
      </c>
      <c r="AB213" s="110">
        <f t="shared" si="148"/>
        <v>119</v>
      </c>
      <c r="AC213" s="110">
        <f t="shared" si="149"/>
        <v>107.83333333333333</v>
      </c>
      <c r="AD213" s="110">
        <f t="shared" si="150"/>
        <v>118</v>
      </c>
      <c r="AE213" s="110">
        <f t="shared" si="151"/>
        <v>-8.3333333333333329E-2</v>
      </c>
      <c r="AF213" s="110">
        <f t="shared" si="165"/>
        <v>0</v>
      </c>
      <c r="AG213" s="107"/>
      <c r="AH213" s="107"/>
      <c r="AI213" s="107"/>
    </row>
    <row r="214" spans="2:35">
      <c r="B214" s="104" t="s">
        <v>773</v>
      </c>
      <c r="C214" s="210">
        <v>1997</v>
      </c>
      <c r="D214" s="104">
        <f t="shared" si="153"/>
        <v>97</v>
      </c>
      <c r="E214" s="104">
        <v>11</v>
      </c>
      <c r="F214" s="113">
        <v>0</v>
      </c>
      <c r="G214" s="112" t="s">
        <v>214</v>
      </c>
      <c r="H214" s="104">
        <v>10</v>
      </c>
      <c r="I214" s="104">
        <f t="shared" si="136"/>
        <v>107</v>
      </c>
      <c r="L214" s="110">
        <v>620</v>
      </c>
      <c r="M214" s="119">
        <v>0</v>
      </c>
      <c r="N214" s="110">
        <f t="shared" si="154"/>
        <v>620</v>
      </c>
      <c r="O214" s="110">
        <f t="shared" si="155"/>
        <v>5.166666666666667</v>
      </c>
      <c r="P214" s="110">
        <f t="shared" si="156"/>
        <v>0</v>
      </c>
      <c r="Q214" s="110">
        <f t="shared" si="157"/>
        <v>0</v>
      </c>
      <c r="R214" s="110">
        <f t="shared" si="158"/>
        <v>0</v>
      </c>
      <c r="S214" s="111">
        <v>1</v>
      </c>
      <c r="T214" s="110">
        <f t="shared" si="159"/>
        <v>0</v>
      </c>
      <c r="U214" s="110">
        <f t="shared" si="160"/>
        <v>620</v>
      </c>
      <c r="V214" s="110">
        <f t="shared" si="161"/>
        <v>620</v>
      </c>
      <c r="W214" s="111">
        <v>1</v>
      </c>
      <c r="X214" s="110">
        <f t="shared" si="162"/>
        <v>620</v>
      </c>
      <c r="Y214" s="110">
        <f t="shared" si="163"/>
        <v>620</v>
      </c>
      <c r="Z214" s="110">
        <f t="shared" si="164"/>
        <v>0</v>
      </c>
      <c r="AA214" s="110">
        <f t="shared" si="147"/>
        <v>97.833333333333329</v>
      </c>
      <c r="AB214" s="110">
        <f t="shared" si="148"/>
        <v>119</v>
      </c>
      <c r="AC214" s="110">
        <f t="shared" si="149"/>
        <v>107.83333333333333</v>
      </c>
      <c r="AD214" s="110">
        <f t="shared" si="150"/>
        <v>118</v>
      </c>
      <c r="AE214" s="110">
        <f t="shared" si="151"/>
        <v>-8.3333333333333329E-2</v>
      </c>
      <c r="AF214" s="110">
        <f t="shared" si="165"/>
        <v>0</v>
      </c>
      <c r="AG214" s="107"/>
      <c r="AH214" s="107"/>
      <c r="AI214" s="107"/>
    </row>
    <row r="215" spans="2:35">
      <c r="B215" s="104" t="s">
        <v>774</v>
      </c>
      <c r="C215" s="210">
        <v>1997</v>
      </c>
      <c r="D215" s="104">
        <f t="shared" si="153"/>
        <v>97</v>
      </c>
      <c r="E215" s="104">
        <v>11</v>
      </c>
      <c r="F215" s="113">
        <v>0</v>
      </c>
      <c r="G215" s="112" t="s">
        <v>214</v>
      </c>
      <c r="H215" s="104">
        <v>10</v>
      </c>
      <c r="I215" s="104">
        <f t="shared" si="136"/>
        <v>107</v>
      </c>
      <c r="L215" s="110">
        <v>353</v>
      </c>
      <c r="M215" s="119">
        <v>0</v>
      </c>
      <c r="N215" s="110">
        <f t="shared" si="154"/>
        <v>353</v>
      </c>
      <c r="O215" s="110">
        <f t="shared" si="155"/>
        <v>2.9416666666666664</v>
      </c>
      <c r="P215" s="110">
        <f t="shared" si="156"/>
        <v>0</v>
      </c>
      <c r="Q215" s="110">
        <f t="shared" si="157"/>
        <v>0</v>
      </c>
      <c r="R215" s="110">
        <f t="shared" si="158"/>
        <v>0</v>
      </c>
      <c r="S215" s="111">
        <v>1</v>
      </c>
      <c r="T215" s="110">
        <f t="shared" si="159"/>
        <v>0</v>
      </c>
      <c r="U215" s="110">
        <f t="shared" si="160"/>
        <v>353</v>
      </c>
      <c r="V215" s="110">
        <f t="shared" si="161"/>
        <v>353</v>
      </c>
      <c r="W215" s="111">
        <v>1</v>
      </c>
      <c r="X215" s="110">
        <f t="shared" si="162"/>
        <v>353</v>
      </c>
      <c r="Y215" s="110">
        <f t="shared" si="163"/>
        <v>353</v>
      </c>
      <c r="Z215" s="110">
        <f t="shared" si="164"/>
        <v>0</v>
      </c>
      <c r="AA215" s="110">
        <f t="shared" si="147"/>
        <v>97.833333333333329</v>
      </c>
      <c r="AB215" s="110">
        <f t="shared" si="148"/>
        <v>119</v>
      </c>
      <c r="AC215" s="110">
        <f t="shared" si="149"/>
        <v>107.83333333333333</v>
      </c>
      <c r="AD215" s="110">
        <f t="shared" si="150"/>
        <v>118</v>
      </c>
      <c r="AE215" s="110">
        <f t="shared" si="151"/>
        <v>-8.3333333333333329E-2</v>
      </c>
      <c r="AF215" s="110">
        <f t="shared" si="165"/>
        <v>0</v>
      </c>
      <c r="AG215" s="107"/>
      <c r="AH215" s="107"/>
      <c r="AI215" s="107"/>
    </row>
    <row r="216" spans="2:35">
      <c r="B216" s="104" t="s">
        <v>775</v>
      </c>
      <c r="C216" s="210">
        <v>1998</v>
      </c>
      <c r="D216" s="104">
        <f t="shared" si="153"/>
        <v>98</v>
      </c>
      <c r="E216" s="104">
        <v>2</v>
      </c>
      <c r="F216" s="113">
        <v>0</v>
      </c>
      <c r="G216" s="112" t="s">
        <v>214</v>
      </c>
      <c r="H216" s="104">
        <v>10</v>
      </c>
      <c r="I216" s="104">
        <f t="shared" si="136"/>
        <v>108</v>
      </c>
      <c r="L216" s="110">
        <v>31221</v>
      </c>
      <c r="M216" s="119">
        <v>0</v>
      </c>
      <c r="N216" s="110">
        <f t="shared" si="154"/>
        <v>31221</v>
      </c>
      <c r="O216" s="110">
        <f t="shared" si="155"/>
        <v>260.17500000000001</v>
      </c>
      <c r="P216" s="110">
        <f t="shared" si="156"/>
        <v>0</v>
      </c>
      <c r="Q216" s="110">
        <f t="shared" si="157"/>
        <v>0</v>
      </c>
      <c r="R216" s="110">
        <f t="shared" si="158"/>
        <v>0</v>
      </c>
      <c r="S216" s="111">
        <v>1</v>
      </c>
      <c r="T216" s="110">
        <f t="shared" si="159"/>
        <v>0</v>
      </c>
      <c r="U216" s="110">
        <f t="shared" si="160"/>
        <v>31221</v>
      </c>
      <c r="V216" s="110">
        <f t="shared" si="161"/>
        <v>31221</v>
      </c>
      <c r="W216" s="111">
        <v>1</v>
      </c>
      <c r="X216" s="110">
        <f t="shared" si="162"/>
        <v>31221</v>
      </c>
      <c r="Y216" s="110">
        <f t="shared" si="163"/>
        <v>31221</v>
      </c>
      <c r="Z216" s="110">
        <f t="shared" si="164"/>
        <v>0</v>
      </c>
      <c r="AA216" s="110">
        <f t="shared" si="147"/>
        <v>98.083333333333329</v>
      </c>
      <c r="AB216" s="110">
        <f t="shared" si="148"/>
        <v>119</v>
      </c>
      <c r="AC216" s="110">
        <f t="shared" si="149"/>
        <v>108.08333333333333</v>
      </c>
      <c r="AD216" s="110">
        <f t="shared" si="150"/>
        <v>118</v>
      </c>
      <c r="AE216" s="110">
        <f t="shared" si="151"/>
        <v>-8.3333333333333329E-2</v>
      </c>
      <c r="AF216" s="110">
        <f t="shared" si="165"/>
        <v>0</v>
      </c>
      <c r="AG216" s="107"/>
      <c r="AH216" s="107"/>
      <c r="AI216" s="107"/>
    </row>
    <row r="217" spans="2:35">
      <c r="B217" s="104" t="s">
        <v>776</v>
      </c>
      <c r="C217" s="210">
        <v>1999</v>
      </c>
      <c r="D217" s="104">
        <f t="shared" si="153"/>
        <v>99</v>
      </c>
      <c r="E217" s="104">
        <v>5</v>
      </c>
      <c r="F217" s="113">
        <v>0</v>
      </c>
      <c r="G217" s="112" t="s">
        <v>214</v>
      </c>
      <c r="H217" s="104">
        <v>10</v>
      </c>
      <c r="I217" s="104">
        <f t="shared" si="136"/>
        <v>109</v>
      </c>
      <c r="L217" s="110">
        <v>10723</v>
      </c>
      <c r="M217" s="119">
        <v>0</v>
      </c>
      <c r="N217" s="110">
        <f t="shared" si="154"/>
        <v>10723</v>
      </c>
      <c r="O217" s="110">
        <f t="shared" si="155"/>
        <v>89.358333333333334</v>
      </c>
      <c r="P217" s="110">
        <f t="shared" si="156"/>
        <v>0</v>
      </c>
      <c r="Q217" s="110">
        <f t="shared" si="157"/>
        <v>0</v>
      </c>
      <c r="R217" s="110">
        <f t="shared" si="158"/>
        <v>0</v>
      </c>
      <c r="S217" s="111">
        <v>1</v>
      </c>
      <c r="T217" s="110">
        <f t="shared" si="159"/>
        <v>0</v>
      </c>
      <c r="U217" s="110">
        <f t="shared" si="160"/>
        <v>10723</v>
      </c>
      <c r="V217" s="110">
        <f t="shared" si="161"/>
        <v>10723</v>
      </c>
      <c r="W217" s="111">
        <v>1</v>
      </c>
      <c r="X217" s="110">
        <f t="shared" si="162"/>
        <v>10723</v>
      </c>
      <c r="Y217" s="110">
        <f t="shared" si="163"/>
        <v>10723</v>
      </c>
      <c r="Z217" s="110">
        <f t="shared" si="164"/>
        <v>0</v>
      </c>
      <c r="AA217" s="110">
        <f t="shared" si="147"/>
        <v>99.333333333333329</v>
      </c>
      <c r="AB217" s="110">
        <f t="shared" si="148"/>
        <v>119</v>
      </c>
      <c r="AC217" s="110">
        <f t="shared" si="149"/>
        <v>109.33333333333333</v>
      </c>
      <c r="AD217" s="110">
        <f t="shared" si="150"/>
        <v>118</v>
      </c>
      <c r="AE217" s="110">
        <f t="shared" si="151"/>
        <v>-8.3333333333333329E-2</v>
      </c>
      <c r="AF217" s="110">
        <f t="shared" si="165"/>
        <v>0</v>
      </c>
      <c r="AG217" s="107"/>
      <c r="AH217" s="107"/>
      <c r="AI217" s="107"/>
    </row>
    <row r="218" spans="2:35">
      <c r="B218" s="104" t="s">
        <v>757</v>
      </c>
      <c r="C218" s="210">
        <v>2000</v>
      </c>
      <c r="D218" s="104">
        <f t="shared" si="153"/>
        <v>100</v>
      </c>
      <c r="E218" s="104">
        <v>11</v>
      </c>
      <c r="F218" s="113">
        <v>0</v>
      </c>
      <c r="G218" s="112" t="s">
        <v>214</v>
      </c>
      <c r="H218" s="104">
        <v>10</v>
      </c>
      <c r="I218" s="104">
        <f t="shared" si="136"/>
        <v>110</v>
      </c>
      <c r="L218" s="110">
        <v>14988</v>
      </c>
      <c r="M218" s="119">
        <v>0</v>
      </c>
      <c r="N218" s="110">
        <f t="shared" si="154"/>
        <v>14988</v>
      </c>
      <c r="O218" s="110">
        <f t="shared" si="155"/>
        <v>124.89999999999999</v>
      </c>
      <c r="P218" s="110">
        <f t="shared" si="156"/>
        <v>0</v>
      </c>
      <c r="Q218" s="110">
        <f t="shared" si="157"/>
        <v>0</v>
      </c>
      <c r="R218" s="110">
        <f t="shared" si="158"/>
        <v>0</v>
      </c>
      <c r="S218" s="111">
        <v>1</v>
      </c>
      <c r="T218" s="110">
        <f t="shared" si="159"/>
        <v>0</v>
      </c>
      <c r="U218" s="110">
        <f t="shared" si="160"/>
        <v>14988</v>
      </c>
      <c r="V218" s="110">
        <f t="shared" si="161"/>
        <v>14988</v>
      </c>
      <c r="W218" s="111">
        <v>1</v>
      </c>
      <c r="X218" s="110">
        <f t="shared" si="162"/>
        <v>14988</v>
      </c>
      <c r="Y218" s="110">
        <f t="shared" si="163"/>
        <v>14988</v>
      </c>
      <c r="Z218" s="110">
        <f t="shared" si="164"/>
        <v>0</v>
      </c>
      <c r="AA218" s="110">
        <f t="shared" si="147"/>
        <v>100.83333333333333</v>
      </c>
      <c r="AB218" s="110">
        <f t="shared" si="148"/>
        <v>119</v>
      </c>
      <c r="AC218" s="110">
        <f t="shared" si="149"/>
        <v>110.83333333333333</v>
      </c>
      <c r="AD218" s="110">
        <f t="shared" si="150"/>
        <v>118</v>
      </c>
      <c r="AE218" s="110">
        <f t="shared" si="151"/>
        <v>-8.3333333333333329E-2</v>
      </c>
      <c r="AF218" s="110">
        <f t="shared" si="165"/>
        <v>0</v>
      </c>
      <c r="AG218" s="107"/>
      <c r="AH218" s="107"/>
      <c r="AI218" s="107"/>
    </row>
    <row r="219" spans="2:35">
      <c r="B219" s="104" t="s">
        <v>777</v>
      </c>
      <c r="C219" s="210">
        <v>2000</v>
      </c>
      <c r="D219" s="104">
        <f t="shared" si="153"/>
        <v>100</v>
      </c>
      <c r="E219" s="104">
        <v>11</v>
      </c>
      <c r="F219" s="113">
        <v>0</v>
      </c>
      <c r="G219" s="112" t="s">
        <v>214</v>
      </c>
      <c r="H219" s="104">
        <v>10</v>
      </c>
      <c r="I219" s="104">
        <f t="shared" si="136"/>
        <v>110</v>
      </c>
      <c r="L219" s="110">
        <v>26460</v>
      </c>
      <c r="M219" s="119">
        <v>0</v>
      </c>
      <c r="N219" s="110">
        <f t="shared" si="154"/>
        <v>26460</v>
      </c>
      <c r="O219" s="110">
        <f t="shared" si="155"/>
        <v>220.5</v>
      </c>
      <c r="P219" s="110">
        <f t="shared" si="156"/>
        <v>0</v>
      </c>
      <c r="Q219" s="110">
        <f t="shared" si="157"/>
        <v>0</v>
      </c>
      <c r="R219" s="110">
        <f t="shared" si="158"/>
        <v>0</v>
      </c>
      <c r="S219" s="111">
        <v>1</v>
      </c>
      <c r="T219" s="110">
        <f t="shared" si="159"/>
        <v>0</v>
      </c>
      <c r="U219" s="110">
        <f t="shared" si="160"/>
        <v>26460</v>
      </c>
      <c r="V219" s="110">
        <f t="shared" si="161"/>
        <v>26460</v>
      </c>
      <c r="W219" s="111">
        <v>1</v>
      </c>
      <c r="X219" s="110">
        <f t="shared" si="162"/>
        <v>26460</v>
      </c>
      <c r="Y219" s="110">
        <f t="shared" si="163"/>
        <v>26460</v>
      </c>
      <c r="Z219" s="110">
        <f t="shared" si="164"/>
        <v>0</v>
      </c>
      <c r="AA219" s="110">
        <f t="shared" si="147"/>
        <v>100.83333333333333</v>
      </c>
      <c r="AB219" s="110">
        <f t="shared" si="148"/>
        <v>119</v>
      </c>
      <c r="AC219" s="110">
        <f t="shared" si="149"/>
        <v>110.83333333333333</v>
      </c>
      <c r="AD219" s="110">
        <f t="shared" si="150"/>
        <v>118</v>
      </c>
      <c r="AE219" s="110">
        <f t="shared" si="151"/>
        <v>-8.3333333333333329E-2</v>
      </c>
      <c r="AF219" s="110">
        <f t="shared" si="165"/>
        <v>0</v>
      </c>
      <c r="AG219" s="107"/>
      <c r="AH219" s="107"/>
      <c r="AI219" s="107"/>
    </row>
    <row r="220" spans="2:35">
      <c r="B220" s="104" t="s">
        <v>778</v>
      </c>
      <c r="C220" s="210">
        <v>2001</v>
      </c>
      <c r="D220" s="104">
        <f t="shared" si="153"/>
        <v>101</v>
      </c>
      <c r="E220" s="104">
        <v>3</v>
      </c>
      <c r="F220" s="113">
        <v>0</v>
      </c>
      <c r="G220" s="112" t="s">
        <v>214</v>
      </c>
      <c r="H220" s="104">
        <v>10</v>
      </c>
      <c r="I220" s="104">
        <f t="shared" si="136"/>
        <v>111</v>
      </c>
      <c r="L220" s="110">
        <v>2076</v>
      </c>
      <c r="M220" s="119">
        <v>0</v>
      </c>
      <c r="N220" s="110">
        <f t="shared" si="154"/>
        <v>2076</v>
      </c>
      <c r="O220" s="110">
        <f t="shared" si="155"/>
        <v>17.3</v>
      </c>
      <c r="P220" s="110">
        <f t="shared" si="156"/>
        <v>0</v>
      </c>
      <c r="Q220" s="110">
        <f t="shared" si="157"/>
        <v>0</v>
      </c>
      <c r="R220" s="110">
        <f t="shared" si="158"/>
        <v>0</v>
      </c>
      <c r="S220" s="111">
        <v>1</v>
      </c>
      <c r="T220" s="110">
        <f t="shared" si="159"/>
        <v>0</v>
      </c>
      <c r="U220" s="110">
        <f t="shared" si="160"/>
        <v>2076</v>
      </c>
      <c r="V220" s="110">
        <f t="shared" si="161"/>
        <v>2076</v>
      </c>
      <c r="W220" s="111">
        <v>1</v>
      </c>
      <c r="X220" s="110">
        <f t="shared" si="162"/>
        <v>2076</v>
      </c>
      <c r="Y220" s="110">
        <f t="shared" si="163"/>
        <v>2076</v>
      </c>
      <c r="Z220" s="110">
        <f t="shared" si="164"/>
        <v>0</v>
      </c>
      <c r="AA220" s="110">
        <f t="shared" si="147"/>
        <v>101.16666666666667</v>
      </c>
      <c r="AB220" s="110">
        <f t="shared" si="148"/>
        <v>119</v>
      </c>
      <c r="AC220" s="110">
        <f t="shared" si="149"/>
        <v>111.16666666666667</v>
      </c>
      <c r="AD220" s="110">
        <f t="shared" si="150"/>
        <v>118</v>
      </c>
      <c r="AE220" s="110">
        <f t="shared" si="151"/>
        <v>-8.3333333333333329E-2</v>
      </c>
      <c r="AF220" s="110">
        <f t="shared" si="165"/>
        <v>0</v>
      </c>
      <c r="AG220" s="107"/>
      <c r="AH220" s="107"/>
      <c r="AI220" s="107"/>
    </row>
    <row r="221" spans="2:35">
      <c r="B221" s="104" t="s">
        <v>779</v>
      </c>
      <c r="C221" s="210">
        <v>2001</v>
      </c>
      <c r="D221" s="104">
        <f t="shared" si="153"/>
        <v>101</v>
      </c>
      <c r="E221" s="104">
        <v>7</v>
      </c>
      <c r="F221" s="113">
        <v>0</v>
      </c>
      <c r="G221" s="112" t="s">
        <v>214</v>
      </c>
      <c r="H221" s="104">
        <v>10</v>
      </c>
      <c r="I221" s="104">
        <f t="shared" si="136"/>
        <v>111</v>
      </c>
      <c r="L221" s="110">
        <v>9411</v>
      </c>
      <c r="M221" s="119">
        <v>0</v>
      </c>
      <c r="N221" s="110">
        <f t="shared" si="154"/>
        <v>9411</v>
      </c>
      <c r="O221" s="110">
        <f t="shared" si="155"/>
        <v>78.424999999999997</v>
      </c>
      <c r="P221" s="110">
        <f t="shared" si="156"/>
        <v>0</v>
      </c>
      <c r="Q221" s="110">
        <f t="shared" si="157"/>
        <v>0</v>
      </c>
      <c r="R221" s="110">
        <f t="shared" si="158"/>
        <v>0</v>
      </c>
      <c r="S221" s="111">
        <v>1</v>
      </c>
      <c r="T221" s="110">
        <f t="shared" si="159"/>
        <v>0</v>
      </c>
      <c r="U221" s="110">
        <f t="shared" si="160"/>
        <v>9411</v>
      </c>
      <c r="V221" s="110">
        <f t="shared" si="161"/>
        <v>9411</v>
      </c>
      <c r="W221" s="111">
        <v>1</v>
      </c>
      <c r="X221" s="110">
        <f t="shared" si="162"/>
        <v>9411</v>
      </c>
      <c r="Y221" s="110">
        <f t="shared" si="163"/>
        <v>9411</v>
      </c>
      <c r="Z221" s="110">
        <f t="shared" si="164"/>
        <v>0</v>
      </c>
      <c r="AA221" s="110">
        <f t="shared" si="147"/>
        <v>101.5</v>
      </c>
      <c r="AB221" s="110">
        <f t="shared" si="148"/>
        <v>119</v>
      </c>
      <c r="AC221" s="110">
        <f t="shared" si="149"/>
        <v>111.5</v>
      </c>
      <c r="AD221" s="110">
        <f t="shared" si="150"/>
        <v>118</v>
      </c>
      <c r="AE221" s="110">
        <f t="shared" si="151"/>
        <v>-8.3333333333333329E-2</v>
      </c>
      <c r="AF221" s="110">
        <f t="shared" si="165"/>
        <v>0</v>
      </c>
      <c r="AG221" s="107"/>
      <c r="AH221" s="107"/>
      <c r="AI221" s="107"/>
    </row>
    <row r="222" spans="2:35">
      <c r="B222" s="104" t="s">
        <v>780</v>
      </c>
      <c r="C222" s="210">
        <v>2002</v>
      </c>
      <c r="D222" s="104">
        <f t="shared" si="153"/>
        <v>102</v>
      </c>
      <c r="E222" s="104">
        <v>1</v>
      </c>
      <c r="F222" s="113">
        <v>0</v>
      </c>
      <c r="G222" s="112" t="s">
        <v>214</v>
      </c>
      <c r="H222" s="104">
        <v>10</v>
      </c>
      <c r="I222" s="104">
        <f t="shared" si="136"/>
        <v>112</v>
      </c>
      <c r="L222" s="110">
        <v>10312</v>
      </c>
      <c r="M222" s="119">
        <v>0</v>
      </c>
      <c r="N222" s="110">
        <f t="shared" si="154"/>
        <v>10312</v>
      </c>
      <c r="O222" s="110">
        <f t="shared" si="155"/>
        <v>85.933333333333337</v>
      </c>
      <c r="P222" s="110">
        <f t="shared" si="156"/>
        <v>0</v>
      </c>
      <c r="Q222" s="110">
        <f t="shared" si="157"/>
        <v>0</v>
      </c>
      <c r="R222" s="110">
        <f t="shared" si="158"/>
        <v>0</v>
      </c>
      <c r="S222" s="111">
        <v>1</v>
      </c>
      <c r="T222" s="110">
        <f t="shared" si="159"/>
        <v>0</v>
      </c>
      <c r="U222" s="110">
        <f t="shared" si="160"/>
        <v>10312</v>
      </c>
      <c r="V222" s="110">
        <f t="shared" si="161"/>
        <v>10312</v>
      </c>
      <c r="W222" s="111">
        <v>1</v>
      </c>
      <c r="X222" s="110">
        <f t="shared" si="162"/>
        <v>10312</v>
      </c>
      <c r="Y222" s="110">
        <f t="shared" si="163"/>
        <v>10312</v>
      </c>
      <c r="Z222" s="110">
        <f t="shared" si="164"/>
        <v>0</v>
      </c>
      <c r="AA222" s="110">
        <f t="shared" si="147"/>
        <v>102</v>
      </c>
      <c r="AB222" s="110">
        <f t="shared" si="148"/>
        <v>119</v>
      </c>
      <c r="AC222" s="110">
        <f t="shared" si="149"/>
        <v>112</v>
      </c>
      <c r="AD222" s="110">
        <f t="shared" si="150"/>
        <v>118</v>
      </c>
      <c r="AE222" s="110">
        <f t="shared" si="151"/>
        <v>-8.3333333333333329E-2</v>
      </c>
      <c r="AF222" s="110">
        <f t="shared" si="165"/>
        <v>0</v>
      </c>
      <c r="AG222" s="107"/>
      <c r="AH222" s="107"/>
      <c r="AI222" s="107"/>
    </row>
    <row r="223" spans="2:35">
      <c r="B223" s="104" t="s">
        <v>781</v>
      </c>
      <c r="C223" s="210">
        <v>2002</v>
      </c>
      <c r="D223" s="104">
        <f t="shared" si="153"/>
        <v>102</v>
      </c>
      <c r="E223" s="104">
        <v>9</v>
      </c>
      <c r="F223" s="113">
        <v>0</v>
      </c>
      <c r="G223" s="112" t="s">
        <v>214</v>
      </c>
      <c r="H223" s="104">
        <v>10</v>
      </c>
      <c r="I223" s="104">
        <f t="shared" si="136"/>
        <v>112</v>
      </c>
      <c r="L223" s="110">
        <v>4627</v>
      </c>
      <c r="M223" s="119">
        <v>0</v>
      </c>
      <c r="N223" s="110">
        <f t="shared" si="154"/>
        <v>4627</v>
      </c>
      <c r="O223" s="110">
        <f t="shared" si="155"/>
        <v>38.55833333333333</v>
      </c>
      <c r="P223" s="110">
        <f t="shared" si="156"/>
        <v>0</v>
      </c>
      <c r="Q223" s="110">
        <f t="shared" si="157"/>
        <v>0</v>
      </c>
      <c r="R223" s="110">
        <f t="shared" si="158"/>
        <v>0</v>
      </c>
      <c r="S223" s="111">
        <v>1</v>
      </c>
      <c r="T223" s="110">
        <f t="shared" si="159"/>
        <v>0</v>
      </c>
      <c r="U223" s="110">
        <f t="shared" si="160"/>
        <v>4627</v>
      </c>
      <c r="V223" s="110">
        <f t="shared" si="161"/>
        <v>4627</v>
      </c>
      <c r="W223" s="111">
        <v>1</v>
      </c>
      <c r="X223" s="110">
        <f t="shared" si="162"/>
        <v>4627</v>
      </c>
      <c r="Y223" s="110">
        <f t="shared" si="163"/>
        <v>4627</v>
      </c>
      <c r="Z223" s="110">
        <f t="shared" si="164"/>
        <v>0</v>
      </c>
      <c r="AA223" s="110">
        <f t="shared" si="147"/>
        <v>102.66666666666667</v>
      </c>
      <c r="AB223" s="110">
        <f t="shared" si="148"/>
        <v>119</v>
      </c>
      <c r="AC223" s="110">
        <f t="shared" si="149"/>
        <v>112.66666666666667</v>
      </c>
      <c r="AD223" s="110">
        <f t="shared" si="150"/>
        <v>118</v>
      </c>
      <c r="AE223" s="110">
        <f t="shared" si="151"/>
        <v>-8.3333333333333329E-2</v>
      </c>
      <c r="AF223" s="110">
        <f t="shared" si="165"/>
        <v>0</v>
      </c>
      <c r="AG223" s="107"/>
      <c r="AH223" s="107"/>
      <c r="AI223" s="107"/>
    </row>
    <row r="224" spans="2:35">
      <c r="B224" s="104" t="s">
        <v>782</v>
      </c>
      <c r="C224" s="210">
        <v>2003</v>
      </c>
      <c r="D224" s="104">
        <f t="shared" si="153"/>
        <v>103</v>
      </c>
      <c r="E224" s="104">
        <v>6</v>
      </c>
      <c r="F224" s="113">
        <v>0</v>
      </c>
      <c r="G224" s="112" t="s">
        <v>214</v>
      </c>
      <c r="H224" s="104">
        <v>10</v>
      </c>
      <c r="I224" s="104">
        <f t="shared" si="136"/>
        <v>113</v>
      </c>
      <c r="L224" s="110">
        <v>21937</v>
      </c>
      <c r="M224" s="119">
        <v>0</v>
      </c>
      <c r="N224" s="110">
        <f t="shared" si="154"/>
        <v>21937</v>
      </c>
      <c r="O224" s="110">
        <f t="shared" si="155"/>
        <v>182.80833333333331</v>
      </c>
      <c r="P224" s="110">
        <f t="shared" si="156"/>
        <v>0</v>
      </c>
      <c r="Q224" s="110">
        <f t="shared" si="157"/>
        <v>0</v>
      </c>
      <c r="R224" s="110">
        <f t="shared" si="158"/>
        <v>0</v>
      </c>
      <c r="S224" s="111">
        <v>1</v>
      </c>
      <c r="T224" s="110">
        <f t="shared" si="159"/>
        <v>0</v>
      </c>
      <c r="U224" s="110">
        <f t="shared" si="160"/>
        <v>21937</v>
      </c>
      <c r="V224" s="110">
        <f t="shared" si="161"/>
        <v>21937</v>
      </c>
      <c r="W224" s="111">
        <v>1</v>
      </c>
      <c r="X224" s="110">
        <f t="shared" si="162"/>
        <v>21937</v>
      </c>
      <c r="Y224" s="110">
        <f t="shared" si="163"/>
        <v>21937</v>
      </c>
      <c r="Z224" s="110">
        <f t="shared" si="164"/>
        <v>0</v>
      </c>
      <c r="AA224" s="110">
        <f t="shared" si="147"/>
        <v>103.41666666666667</v>
      </c>
      <c r="AB224" s="110">
        <f t="shared" si="148"/>
        <v>119</v>
      </c>
      <c r="AC224" s="110">
        <f t="shared" si="149"/>
        <v>113.41666666666667</v>
      </c>
      <c r="AD224" s="110">
        <f t="shared" si="150"/>
        <v>118</v>
      </c>
      <c r="AE224" s="110">
        <f t="shared" si="151"/>
        <v>-8.3333333333333329E-2</v>
      </c>
      <c r="AF224" s="110">
        <f t="shared" si="165"/>
        <v>0</v>
      </c>
      <c r="AG224" s="107"/>
      <c r="AH224" s="107"/>
      <c r="AI224" s="107"/>
    </row>
    <row r="225" spans="2:35">
      <c r="B225" s="104" t="s">
        <v>783</v>
      </c>
      <c r="C225" s="210">
        <v>2003</v>
      </c>
      <c r="D225" s="104">
        <f t="shared" si="153"/>
        <v>103</v>
      </c>
      <c r="E225" s="104">
        <v>6</v>
      </c>
      <c r="F225" s="113">
        <v>0</v>
      </c>
      <c r="G225" s="112" t="s">
        <v>214</v>
      </c>
      <c r="H225" s="104">
        <v>10</v>
      </c>
      <c r="I225" s="104">
        <f t="shared" si="136"/>
        <v>113</v>
      </c>
      <c r="L225" s="110">
        <v>30456</v>
      </c>
      <c r="M225" s="119">
        <v>0</v>
      </c>
      <c r="N225" s="110">
        <f t="shared" si="154"/>
        <v>30456</v>
      </c>
      <c r="O225" s="110">
        <f t="shared" si="155"/>
        <v>253.79999999999998</v>
      </c>
      <c r="P225" s="110">
        <f t="shared" si="156"/>
        <v>0</v>
      </c>
      <c r="Q225" s="110">
        <f t="shared" si="157"/>
        <v>0</v>
      </c>
      <c r="R225" s="110">
        <f t="shared" si="158"/>
        <v>0</v>
      </c>
      <c r="S225" s="111">
        <v>1</v>
      </c>
      <c r="T225" s="110">
        <f t="shared" si="159"/>
        <v>0</v>
      </c>
      <c r="U225" s="110">
        <f t="shared" si="160"/>
        <v>30456</v>
      </c>
      <c r="V225" s="110">
        <f t="shared" si="161"/>
        <v>30456</v>
      </c>
      <c r="W225" s="111">
        <v>1</v>
      </c>
      <c r="X225" s="110">
        <f t="shared" si="162"/>
        <v>30456</v>
      </c>
      <c r="Y225" s="110">
        <f t="shared" si="163"/>
        <v>30456</v>
      </c>
      <c r="Z225" s="110">
        <f t="shared" si="164"/>
        <v>0</v>
      </c>
      <c r="AA225" s="110">
        <f t="shared" si="147"/>
        <v>103.41666666666667</v>
      </c>
      <c r="AB225" s="110">
        <f t="shared" si="148"/>
        <v>119</v>
      </c>
      <c r="AC225" s="110">
        <f t="shared" si="149"/>
        <v>113.41666666666667</v>
      </c>
      <c r="AD225" s="110">
        <f t="shared" si="150"/>
        <v>118</v>
      </c>
      <c r="AE225" s="110">
        <f t="shared" si="151"/>
        <v>-8.3333333333333329E-2</v>
      </c>
      <c r="AF225" s="110">
        <f t="shared" si="165"/>
        <v>0</v>
      </c>
      <c r="AG225" s="107"/>
      <c r="AH225" s="107"/>
      <c r="AI225" s="107"/>
    </row>
    <row r="226" spans="2:35">
      <c r="B226" s="104" t="s">
        <v>784</v>
      </c>
      <c r="C226" s="210">
        <v>2004</v>
      </c>
      <c r="D226" s="104">
        <f t="shared" si="153"/>
        <v>104</v>
      </c>
      <c r="E226" s="104">
        <v>3</v>
      </c>
      <c r="F226" s="113">
        <v>0</v>
      </c>
      <c r="G226" s="112" t="s">
        <v>214</v>
      </c>
      <c r="H226" s="104">
        <v>10</v>
      </c>
      <c r="I226" s="104">
        <f t="shared" si="136"/>
        <v>114</v>
      </c>
      <c r="L226" s="110">
        <v>8180</v>
      </c>
      <c r="M226" s="119">
        <v>0</v>
      </c>
      <c r="N226" s="110">
        <f t="shared" si="154"/>
        <v>8180</v>
      </c>
      <c r="O226" s="110">
        <f t="shared" si="155"/>
        <v>68.166666666666671</v>
      </c>
      <c r="P226" s="110">
        <f t="shared" si="156"/>
        <v>0</v>
      </c>
      <c r="Q226" s="110">
        <f t="shared" si="157"/>
        <v>0</v>
      </c>
      <c r="R226" s="110">
        <f t="shared" si="158"/>
        <v>0</v>
      </c>
      <c r="S226" s="111">
        <v>1</v>
      </c>
      <c r="T226" s="110">
        <f t="shared" si="159"/>
        <v>0</v>
      </c>
      <c r="U226" s="110">
        <f t="shared" si="160"/>
        <v>8180</v>
      </c>
      <c r="V226" s="110">
        <f t="shared" si="161"/>
        <v>8180</v>
      </c>
      <c r="W226" s="111">
        <v>1</v>
      </c>
      <c r="X226" s="110">
        <f t="shared" si="162"/>
        <v>8180</v>
      </c>
      <c r="Y226" s="110">
        <f t="shared" si="163"/>
        <v>8180</v>
      </c>
      <c r="Z226" s="110">
        <f t="shared" si="164"/>
        <v>0</v>
      </c>
      <c r="AA226" s="110">
        <f t="shared" si="147"/>
        <v>104.16666666666667</v>
      </c>
      <c r="AB226" s="110">
        <f t="shared" si="148"/>
        <v>119</v>
      </c>
      <c r="AC226" s="110">
        <f t="shared" si="149"/>
        <v>114.16666666666667</v>
      </c>
      <c r="AD226" s="110">
        <f t="shared" si="150"/>
        <v>118</v>
      </c>
      <c r="AE226" s="110">
        <f t="shared" si="151"/>
        <v>-8.3333333333333329E-2</v>
      </c>
      <c r="AF226" s="110">
        <f t="shared" si="165"/>
        <v>0</v>
      </c>
      <c r="AG226" s="107"/>
      <c r="AH226" s="107"/>
      <c r="AI226" s="107"/>
    </row>
    <row r="227" spans="2:35">
      <c r="B227" s="104" t="s">
        <v>785</v>
      </c>
      <c r="C227" s="210">
        <v>2004</v>
      </c>
      <c r="D227" s="104">
        <f t="shared" si="153"/>
        <v>104</v>
      </c>
      <c r="E227" s="104">
        <v>6</v>
      </c>
      <c r="F227" s="113">
        <v>0</v>
      </c>
      <c r="G227" s="112" t="s">
        <v>214</v>
      </c>
      <c r="H227" s="104">
        <v>10</v>
      </c>
      <c r="I227" s="104">
        <f t="shared" si="136"/>
        <v>114</v>
      </c>
      <c r="L227" s="110">
        <v>1749</v>
      </c>
      <c r="M227" s="119">
        <v>0</v>
      </c>
      <c r="N227" s="110">
        <f t="shared" si="154"/>
        <v>1749</v>
      </c>
      <c r="O227" s="110">
        <f t="shared" si="155"/>
        <v>14.575000000000001</v>
      </c>
      <c r="P227" s="110">
        <f t="shared" si="156"/>
        <v>0</v>
      </c>
      <c r="Q227" s="110">
        <f t="shared" si="157"/>
        <v>0</v>
      </c>
      <c r="R227" s="110">
        <f t="shared" si="158"/>
        <v>0</v>
      </c>
      <c r="S227" s="111">
        <v>1</v>
      </c>
      <c r="T227" s="110">
        <f t="shared" si="159"/>
        <v>0</v>
      </c>
      <c r="U227" s="110">
        <f t="shared" si="160"/>
        <v>1749</v>
      </c>
      <c r="V227" s="110">
        <f t="shared" si="161"/>
        <v>1749</v>
      </c>
      <c r="W227" s="111">
        <v>1</v>
      </c>
      <c r="X227" s="110">
        <f t="shared" si="162"/>
        <v>1749</v>
      </c>
      <c r="Y227" s="110">
        <f t="shared" si="163"/>
        <v>1749</v>
      </c>
      <c r="Z227" s="110">
        <f t="shared" si="164"/>
        <v>0</v>
      </c>
      <c r="AA227" s="110">
        <f t="shared" si="147"/>
        <v>104.41666666666667</v>
      </c>
      <c r="AB227" s="110">
        <f t="shared" si="148"/>
        <v>119</v>
      </c>
      <c r="AC227" s="110">
        <f t="shared" si="149"/>
        <v>114.41666666666667</v>
      </c>
      <c r="AD227" s="110">
        <f t="shared" si="150"/>
        <v>118</v>
      </c>
      <c r="AE227" s="110">
        <f t="shared" si="151"/>
        <v>-8.3333333333333329E-2</v>
      </c>
      <c r="AF227" s="110">
        <f t="shared" si="165"/>
        <v>0</v>
      </c>
      <c r="AG227" s="107"/>
      <c r="AH227" s="107"/>
      <c r="AI227" s="107"/>
    </row>
    <row r="228" spans="2:35">
      <c r="B228" s="104" t="s">
        <v>786</v>
      </c>
      <c r="C228" s="210">
        <v>2005</v>
      </c>
      <c r="D228" s="104">
        <f t="shared" si="153"/>
        <v>105</v>
      </c>
      <c r="E228" s="104">
        <v>6</v>
      </c>
      <c r="F228" s="113">
        <v>0</v>
      </c>
      <c r="G228" s="112" t="s">
        <v>214</v>
      </c>
      <c r="H228" s="104">
        <v>10</v>
      </c>
      <c r="I228" s="104">
        <f t="shared" si="136"/>
        <v>115</v>
      </c>
      <c r="L228" s="110">
        <v>19528</v>
      </c>
      <c r="M228" s="119">
        <v>0</v>
      </c>
      <c r="N228" s="110">
        <f t="shared" si="154"/>
        <v>19528</v>
      </c>
      <c r="O228" s="110">
        <f t="shared" si="155"/>
        <v>162.73333333333332</v>
      </c>
      <c r="P228" s="110">
        <f t="shared" si="156"/>
        <v>0</v>
      </c>
      <c r="Q228" s="110">
        <f t="shared" si="157"/>
        <v>0</v>
      </c>
      <c r="R228" s="110">
        <f t="shared" si="158"/>
        <v>0</v>
      </c>
      <c r="S228" s="111">
        <v>1</v>
      </c>
      <c r="T228" s="110">
        <f t="shared" si="159"/>
        <v>0</v>
      </c>
      <c r="U228" s="110">
        <f t="shared" si="160"/>
        <v>19528</v>
      </c>
      <c r="V228" s="110">
        <f t="shared" si="161"/>
        <v>19528</v>
      </c>
      <c r="W228" s="111">
        <v>1</v>
      </c>
      <c r="X228" s="110">
        <f t="shared" si="162"/>
        <v>19528</v>
      </c>
      <c r="Y228" s="110">
        <f t="shared" si="163"/>
        <v>19528</v>
      </c>
      <c r="Z228" s="110">
        <f t="shared" si="164"/>
        <v>0</v>
      </c>
      <c r="AA228" s="110">
        <f t="shared" si="147"/>
        <v>105.41666666666667</v>
      </c>
      <c r="AB228" s="110">
        <f t="shared" si="148"/>
        <v>119</v>
      </c>
      <c r="AC228" s="110">
        <f t="shared" si="149"/>
        <v>115.41666666666667</v>
      </c>
      <c r="AD228" s="110">
        <f t="shared" si="150"/>
        <v>118</v>
      </c>
      <c r="AE228" s="110">
        <f t="shared" si="151"/>
        <v>-8.3333333333333329E-2</v>
      </c>
      <c r="AF228" s="110">
        <f t="shared" si="165"/>
        <v>0</v>
      </c>
      <c r="AG228" s="107"/>
      <c r="AH228" s="107"/>
      <c r="AI228" s="107"/>
    </row>
    <row r="229" spans="2:35">
      <c r="B229" s="104" t="s">
        <v>787</v>
      </c>
      <c r="C229" s="210">
        <v>2005</v>
      </c>
      <c r="D229" s="104">
        <f t="shared" si="153"/>
        <v>105</v>
      </c>
      <c r="E229" s="104">
        <v>6</v>
      </c>
      <c r="F229" s="113">
        <v>0</v>
      </c>
      <c r="G229" s="112" t="s">
        <v>214</v>
      </c>
      <c r="H229" s="104">
        <v>10</v>
      </c>
      <c r="I229" s="104">
        <f t="shared" si="136"/>
        <v>115</v>
      </c>
      <c r="L229" s="110">
        <v>29109</v>
      </c>
      <c r="M229" s="119">
        <v>0</v>
      </c>
      <c r="N229" s="110">
        <f t="shared" si="154"/>
        <v>29109</v>
      </c>
      <c r="O229" s="110">
        <f t="shared" si="155"/>
        <v>242.57500000000002</v>
      </c>
      <c r="P229" s="110">
        <f t="shared" si="156"/>
        <v>0</v>
      </c>
      <c r="Q229" s="110">
        <f t="shared" si="157"/>
        <v>0</v>
      </c>
      <c r="R229" s="110">
        <f t="shared" si="158"/>
        <v>0</v>
      </c>
      <c r="S229" s="111">
        <v>1</v>
      </c>
      <c r="T229" s="110">
        <f t="shared" si="159"/>
        <v>0</v>
      </c>
      <c r="U229" s="110">
        <f t="shared" si="160"/>
        <v>29109</v>
      </c>
      <c r="V229" s="110">
        <f t="shared" si="161"/>
        <v>29109</v>
      </c>
      <c r="W229" s="111">
        <v>1</v>
      </c>
      <c r="X229" s="110">
        <f t="shared" si="162"/>
        <v>29109</v>
      </c>
      <c r="Y229" s="110">
        <f t="shared" si="163"/>
        <v>29109</v>
      </c>
      <c r="Z229" s="110">
        <f t="shared" si="164"/>
        <v>0</v>
      </c>
      <c r="AA229" s="110">
        <f t="shared" si="147"/>
        <v>105.41666666666667</v>
      </c>
      <c r="AB229" s="110">
        <f t="shared" si="148"/>
        <v>119</v>
      </c>
      <c r="AC229" s="110">
        <f t="shared" si="149"/>
        <v>115.41666666666667</v>
      </c>
      <c r="AD229" s="110">
        <f t="shared" si="150"/>
        <v>118</v>
      </c>
      <c r="AE229" s="110">
        <f t="shared" si="151"/>
        <v>-8.3333333333333329E-2</v>
      </c>
      <c r="AF229" s="110">
        <f t="shared" si="165"/>
        <v>0</v>
      </c>
      <c r="AG229" s="107"/>
      <c r="AH229" s="107"/>
      <c r="AI229" s="107"/>
    </row>
    <row r="230" spans="2:35">
      <c r="B230" s="104" t="s">
        <v>788</v>
      </c>
      <c r="C230" s="210">
        <v>2006</v>
      </c>
      <c r="D230" s="104">
        <f t="shared" si="153"/>
        <v>106</v>
      </c>
      <c r="E230" s="104">
        <v>9</v>
      </c>
      <c r="F230" s="113">
        <v>0</v>
      </c>
      <c r="G230" s="112" t="s">
        <v>214</v>
      </c>
      <c r="H230" s="104">
        <v>10</v>
      </c>
      <c r="I230" s="104">
        <f t="shared" si="136"/>
        <v>116</v>
      </c>
      <c r="L230" s="110">
        <v>27216</v>
      </c>
      <c r="M230" s="119">
        <v>0</v>
      </c>
      <c r="N230" s="110">
        <f t="shared" si="154"/>
        <v>27216</v>
      </c>
      <c r="O230" s="110">
        <f t="shared" si="155"/>
        <v>226.79999999999998</v>
      </c>
      <c r="P230" s="110">
        <f t="shared" si="156"/>
        <v>0</v>
      </c>
      <c r="Q230" s="110">
        <f t="shared" si="157"/>
        <v>0</v>
      </c>
      <c r="R230" s="110">
        <f t="shared" si="158"/>
        <v>0</v>
      </c>
      <c r="S230" s="111">
        <v>1</v>
      </c>
      <c r="T230" s="110">
        <f t="shared" si="159"/>
        <v>0</v>
      </c>
      <c r="U230" s="110">
        <f t="shared" si="160"/>
        <v>27216</v>
      </c>
      <c r="V230" s="110">
        <f t="shared" si="161"/>
        <v>27216</v>
      </c>
      <c r="W230" s="111">
        <v>1</v>
      </c>
      <c r="X230" s="110">
        <f t="shared" si="162"/>
        <v>27216</v>
      </c>
      <c r="Y230" s="110">
        <f t="shared" si="163"/>
        <v>27216</v>
      </c>
      <c r="Z230" s="110">
        <f t="shared" si="164"/>
        <v>0</v>
      </c>
      <c r="AA230" s="110">
        <f t="shared" si="147"/>
        <v>106.66666666666667</v>
      </c>
      <c r="AB230" s="110">
        <f t="shared" si="148"/>
        <v>119</v>
      </c>
      <c r="AC230" s="110">
        <f t="shared" si="149"/>
        <v>116.66666666666667</v>
      </c>
      <c r="AD230" s="110">
        <f t="shared" si="150"/>
        <v>118</v>
      </c>
      <c r="AE230" s="110">
        <f t="shared" si="151"/>
        <v>-8.3333333333333329E-2</v>
      </c>
      <c r="AF230" s="110">
        <f t="shared" si="165"/>
        <v>0</v>
      </c>
      <c r="AG230" s="107"/>
      <c r="AH230" s="107"/>
      <c r="AI230" s="107"/>
    </row>
    <row r="231" spans="2:35">
      <c r="B231" s="104" t="s">
        <v>789</v>
      </c>
      <c r="C231" s="210">
        <v>2006</v>
      </c>
      <c r="D231" s="104">
        <f t="shared" si="153"/>
        <v>106</v>
      </c>
      <c r="E231" s="104">
        <v>11</v>
      </c>
      <c r="F231" s="113">
        <v>0</v>
      </c>
      <c r="G231" s="112" t="s">
        <v>214</v>
      </c>
      <c r="H231" s="104">
        <v>10</v>
      </c>
      <c r="I231" s="104">
        <f t="shared" si="136"/>
        <v>116</v>
      </c>
      <c r="L231" s="110">
        <v>16609</v>
      </c>
      <c r="M231" s="119">
        <v>0</v>
      </c>
      <c r="N231" s="110">
        <f t="shared" si="154"/>
        <v>16609</v>
      </c>
      <c r="O231" s="110">
        <f t="shared" si="155"/>
        <v>138.40833333333333</v>
      </c>
      <c r="P231" s="110">
        <f t="shared" si="156"/>
        <v>0</v>
      </c>
      <c r="Q231" s="110">
        <f t="shared" si="157"/>
        <v>0</v>
      </c>
      <c r="R231" s="110">
        <f t="shared" si="158"/>
        <v>0</v>
      </c>
      <c r="S231" s="111">
        <v>1</v>
      </c>
      <c r="T231" s="110">
        <f t="shared" si="159"/>
        <v>0</v>
      </c>
      <c r="U231" s="110">
        <f t="shared" si="160"/>
        <v>16609</v>
      </c>
      <c r="V231" s="110">
        <f t="shared" si="161"/>
        <v>16609</v>
      </c>
      <c r="W231" s="111">
        <v>1</v>
      </c>
      <c r="X231" s="110">
        <f t="shared" si="162"/>
        <v>16609</v>
      </c>
      <c r="Y231" s="110">
        <f t="shared" si="163"/>
        <v>16609</v>
      </c>
      <c r="Z231" s="110">
        <f t="shared" si="164"/>
        <v>0</v>
      </c>
      <c r="AA231" s="110">
        <f t="shared" si="147"/>
        <v>106.83333333333333</v>
      </c>
      <c r="AB231" s="110">
        <f t="shared" si="148"/>
        <v>119</v>
      </c>
      <c r="AC231" s="110">
        <f t="shared" si="149"/>
        <v>116.83333333333333</v>
      </c>
      <c r="AD231" s="110">
        <f t="shared" si="150"/>
        <v>118</v>
      </c>
      <c r="AE231" s="110">
        <f t="shared" si="151"/>
        <v>-8.3333333333333329E-2</v>
      </c>
      <c r="AF231" s="110">
        <f t="shared" si="165"/>
        <v>0</v>
      </c>
      <c r="AG231" s="107"/>
      <c r="AH231" s="107"/>
      <c r="AI231" s="107"/>
    </row>
    <row r="232" spans="2:35">
      <c r="B232" s="104" t="s">
        <v>52</v>
      </c>
      <c r="C232" s="210">
        <v>2006</v>
      </c>
      <c r="D232" s="104">
        <f t="shared" si="153"/>
        <v>106</v>
      </c>
      <c r="E232" s="104">
        <v>8</v>
      </c>
      <c r="F232" s="113">
        <v>0</v>
      </c>
      <c r="G232" s="112" t="s">
        <v>214</v>
      </c>
      <c r="H232" s="104">
        <v>10</v>
      </c>
      <c r="I232" s="104">
        <f t="shared" si="136"/>
        <v>116</v>
      </c>
      <c r="L232" s="110">
        <v>1070</v>
      </c>
      <c r="M232" s="119">
        <v>0</v>
      </c>
      <c r="N232" s="110">
        <f t="shared" si="154"/>
        <v>1070</v>
      </c>
      <c r="O232" s="110">
        <f t="shared" si="155"/>
        <v>8.9166666666666661</v>
      </c>
      <c r="P232" s="110">
        <f t="shared" si="156"/>
        <v>0</v>
      </c>
      <c r="Q232" s="110">
        <f t="shared" si="157"/>
        <v>0</v>
      </c>
      <c r="R232" s="110">
        <f t="shared" si="158"/>
        <v>0</v>
      </c>
      <c r="S232" s="111">
        <v>1</v>
      </c>
      <c r="T232" s="110">
        <f t="shared" si="159"/>
        <v>0</v>
      </c>
      <c r="U232" s="110">
        <f t="shared" si="160"/>
        <v>1070</v>
      </c>
      <c r="V232" s="110">
        <f t="shared" si="161"/>
        <v>1070</v>
      </c>
      <c r="W232" s="111">
        <v>1</v>
      </c>
      <c r="X232" s="110">
        <f t="shared" si="162"/>
        <v>1070</v>
      </c>
      <c r="Y232" s="110">
        <f t="shared" si="163"/>
        <v>1070</v>
      </c>
      <c r="Z232" s="110">
        <f t="shared" si="164"/>
        <v>0</v>
      </c>
      <c r="AA232" s="110">
        <f t="shared" si="147"/>
        <v>106.58333333333333</v>
      </c>
      <c r="AB232" s="110">
        <f t="shared" si="148"/>
        <v>119</v>
      </c>
      <c r="AC232" s="110">
        <f t="shared" si="149"/>
        <v>116.58333333333333</v>
      </c>
      <c r="AD232" s="110">
        <f t="shared" si="150"/>
        <v>118</v>
      </c>
      <c r="AE232" s="110">
        <f t="shared" si="151"/>
        <v>-8.3333333333333329E-2</v>
      </c>
      <c r="AF232" s="110">
        <f t="shared" si="165"/>
        <v>0</v>
      </c>
      <c r="AG232" s="107"/>
      <c r="AH232" s="107"/>
      <c r="AI232" s="107"/>
    </row>
    <row r="233" spans="2:35">
      <c r="B233" s="104" t="s">
        <v>755</v>
      </c>
      <c r="C233" s="210">
        <v>2000</v>
      </c>
      <c r="D233" s="104">
        <f t="shared" si="153"/>
        <v>100</v>
      </c>
      <c r="E233" s="104">
        <v>11</v>
      </c>
      <c r="F233" s="113">
        <v>0</v>
      </c>
      <c r="G233" s="112" t="s">
        <v>214</v>
      </c>
      <c r="H233" s="104">
        <v>10</v>
      </c>
      <c r="I233" s="104">
        <f t="shared" si="136"/>
        <v>110</v>
      </c>
      <c r="L233" s="110">
        <v>5143</v>
      </c>
      <c r="M233" s="119">
        <v>0</v>
      </c>
      <c r="N233" s="110">
        <f t="shared" si="154"/>
        <v>5143</v>
      </c>
      <c r="O233" s="110">
        <f t="shared" si="155"/>
        <v>42.858333333333327</v>
      </c>
      <c r="P233" s="110">
        <f t="shared" si="156"/>
        <v>0</v>
      </c>
      <c r="Q233" s="110">
        <f t="shared" si="157"/>
        <v>0</v>
      </c>
      <c r="R233" s="110">
        <f t="shared" si="158"/>
        <v>0</v>
      </c>
      <c r="S233" s="111">
        <v>1</v>
      </c>
      <c r="T233" s="110">
        <f t="shared" si="159"/>
        <v>0</v>
      </c>
      <c r="U233" s="110">
        <f t="shared" si="160"/>
        <v>5143</v>
      </c>
      <c r="V233" s="110">
        <f t="shared" si="161"/>
        <v>5143</v>
      </c>
      <c r="W233" s="111">
        <v>1</v>
      </c>
      <c r="X233" s="110">
        <f t="shared" si="162"/>
        <v>5143</v>
      </c>
      <c r="Y233" s="110">
        <f t="shared" si="163"/>
        <v>5143</v>
      </c>
      <c r="Z233" s="110">
        <f t="shared" si="164"/>
        <v>0</v>
      </c>
      <c r="AA233" s="110">
        <f t="shared" si="147"/>
        <v>100.83333333333333</v>
      </c>
      <c r="AB233" s="110">
        <f t="shared" si="148"/>
        <v>119</v>
      </c>
      <c r="AC233" s="110">
        <f t="shared" si="149"/>
        <v>110.83333333333333</v>
      </c>
      <c r="AD233" s="110">
        <f t="shared" si="150"/>
        <v>118</v>
      </c>
      <c r="AE233" s="110">
        <f t="shared" si="151"/>
        <v>-8.3333333333333329E-2</v>
      </c>
      <c r="AF233" s="110">
        <f t="shared" si="165"/>
        <v>0</v>
      </c>
      <c r="AG233" s="107"/>
      <c r="AH233" s="107"/>
      <c r="AI233" s="107"/>
    </row>
    <row r="234" spans="2:35">
      <c r="B234" s="104" t="s">
        <v>790</v>
      </c>
      <c r="C234" s="210">
        <v>2000</v>
      </c>
      <c r="D234" s="104">
        <f t="shared" si="153"/>
        <v>100</v>
      </c>
      <c r="E234" s="104">
        <v>6</v>
      </c>
      <c r="F234" s="113">
        <v>0</v>
      </c>
      <c r="G234" s="112" t="s">
        <v>214</v>
      </c>
      <c r="H234" s="104">
        <v>10</v>
      </c>
      <c r="I234" s="104">
        <f t="shared" si="136"/>
        <v>110</v>
      </c>
      <c r="L234" s="110">
        <v>751</v>
      </c>
      <c r="M234" s="119">
        <v>0</v>
      </c>
      <c r="N234" s="110">
        <f t="shared" si="154"/>
        <v>751</v>
      </c>
      <c r="O234" s="110">
        <f t="shared" si="155"/>
        <v>6.2583333333333329</v>
      </c>
      <c r="P234" s="110">
        <f t="shared" si="156"/>
        <v>0</v>
      </c>
      <c r="Q234" s="110">
        <f t="shared" si="157"/>
        <v>0</v>
      </c>
      <c r="R234" s="110">
        <f t="shared" si="158"/>
        <v>0</v>
      </c>
      <c r="S234" s="111">
        <v>1</v>
      </c>
      <c r="T234" s="110">
        <f t="shared" si="159"/>
        <v>0</v>
      </c>
      <c r="U234" s="110">
        <f t="shared" si="160"/>
        <v>751</v>
      </c>
      <c r="V234" s="110">
        <f t="shared" si="161"/>
        <v>751</v>
      </c>
      <c r="W234" s="111">
        <v>1</v>
      </c>
      <c r="X234" s="110">
        <f t="shared" si="162"/>
        <v>751</v>
      </c>
      <c r="Y234" s="110">
        <f t="shared" si="163"/>
        <v>751</v>
      </c>
      <c r="Z234" s="110">
        <f t="shared" si="164"/>
        <v>0</v>
      </c>
      <c r="AA234" s="110">
        <f t="shared" si="147"/>
        <v>100.41666666666667</v>
      </c>
      <c r="AB234" s="110">
        <f t="shared" si="148"/>
        <v>119</v>
      </c>
      <c r="AC234" s="110">
        <f t="shared" si="149"/>
        <v>110.41666666666667</v>
      </c>
      <c r="AD234" s="110">
        <f t="shared" si="150"/>
        <v>118</v>
      </c>
      <c r="AE234" s="110">
        <f t="shared" si="151"/>
        <v>-8.3333333333333329E-2</v>
      </c>
      <c r="AF234" s="110">
        <f t="shared" si="165"/>
        <v>0</v>
      </c>
      <c r="AG234" s="107"/>
      <c r="AH234" s="107"/>
      <c r="AI234" s="107"/>
    </row>
    <row r="235" spans="2:35">
      <c r="B235" s="104" t="s">
        <v>791</v>
      </c>
      <c r="C235" s="210">
        <v>2001</v>
      </c>
      <c r="D235" s="104">
        <f t="shared" si="153"/>
        <v>101</v>
      </c>
      <c r="E235" s="104">
        <v>11</v>
      </c>
      <c r="F235" s="113">
        <v>0</v>
      </c>
      <c r="G235" s="112" t="s">
        <v>214</v>
      </c>
      <c r="H235" s="104">
        <v>10</v>
      </c>
      <c r="I235" s="104">
        <f t="shared" si="136"/>
        <v>111</v>
      </c>
      <c r="L235" s="110">
        <v>7650</v>
      </c>
      <c r="M235" s="119">
        <v>0</v>
      </c>
      <c r="N235" s="110">
        <f t="shared" si="154"/>
        <v>7650</v>
      </c>
      <c r="O235" s="110">
        <f t="shared" si="155"/>
        <v>63.75</v>
      </c>
      <c r="P235" s="110">
        <f t="shared" si="156"/>
        <v>0</v>
      </c>
      <c r="Q235" s="110">
        <f t="shared" si="157"/>
        <v>0</v>
      </c>
      <c r="R235" s="110">
        <f t="shared" si="158"/>
        <v>0</v>
      </c>
      <c r="S235" s="111">
        <v>1</v>
      </c>
      <c r="T235" s="110">
        <f t="shared" si="159"/>
        <v>0</v>
      </c>
      <c r="U235" s="110">
        <f t="shared" si="160"/>
        <v>7650</v>
      </c>
      <c r="V235" s="110">
        <f t="shared" si="161"/>
        <v>7650</v>
      </c>
      <c r="W235" s="111">
        <v>1</v>
      </c>
      <c r="X235" s="110">
        <f t="shared" si="162"/>
        <v>7650</v>
      </c>
      <c r="Y235" s="110">
        <f t="shared" si="163"/>
        <v>7650</v>
      </c>
      <c r="Z235" s="110">
        <f t="shared" si="164"/>
        <v>0</v>
      </c>
      <c r="AA235" s="110">
        <f t="shared" si="147"/>
        <v>101.83333333333333</v>
      </c>
      <c r="AB235" s="110">
        <f t="shared" si="148"/>
        <v>119</v>
      </c>
      <c r="AC235" s="110">
        <f t="shared" si="149"/>
        <v>111.83333333333333</v>
      </c>
      <c r="AD235" s="110">
        <f t="shared" si="150"/>
        <v>118</v>
      </c>
      <c r="AE235" s="110">
        <f t="shared" si="151"/>
        <v>-8.3333333333333329E-2</v>
      </c>
      <c r="AF235" s="110">
        <f t="shared" si="165"/>
        <v>0</v>
      </c>
      <c r="AG235" s="107"/>
      <c r="AH235" s="107"/>
      <c r="AI235" s="107"/>
    </row>
    <row r="236" spans="2:35">
      <c r="B236" s="104" t="s">
        <v>792</v>
      </c>
      <c r="C236" s="210">
        <v>2002</v>
      </c>
      <c r="D236" s="104">
        <f t="shared" si="153"/>
        <v>102</v>
      </c>
      <c r="E236" s="104">
        <v>5</v>
      </c>
      <c r="F236" s="113">
        <v>0</v>
      </c>
      <c r="G236" s="112" t="s">
        <v>214</v>
      </c>
      <c r="H236" s="104">
        <v>10</v>
      </c>
      <c r="I236" s="104">
        <f t="shared" si="136"/>
        <v>112</v>
      </c>
      <c r="L236" s="110">
        <v>9631</v>
      </c>
      <c r="M236" s="119">
        <v>0</v>
      </c>
      <c r="N236" s="110">
        <f t="shared" si="154"/>
        <v>9631</v>
      </c>
      <c r="O236" s="110">
        <f t="shared" si="155"/>
        <v>80.25833333333334</v>
      </c>
      <c r="P236" s="110">
        <f t="shared" si="156"/>
        <v>0</v>
      </c>
      <c r="Q236" s="110">
        <f t="shared" si="157"/>
        <v>0</v>
      </c>
      <c r="R236" s="110">
        <f t="shared" si="158"/>
        <v>0</v>
      </c>
      <c r="S236" s="111">
        <v>1</v>
      </c>
      <c r="T236" s="110">
        <f t="shared" si="159"/>
        <v>0</v>
      </c>
      <c r="U236" s="110">
        <f t="shared" si="160"/>
        <v>9631</v>
      </c>
      <c r="V236" s="110">
        <f t="shared" si="161"/>
        <v>9631</v>
      </c>
      <c r="W236" s="111">
        <v>1</v>
      </c>
      <c r="X236" s="110">
        <f t="shared" si="162"/>
        <v>9631</v>
      </c>
      <c r="Y236" s="110">
        <f t="shared" si="163"/>
        <v>9631</v>
      </c>
      <c r="Z236" s="110">
        <f t="shared" si="164"/>
        <v>0</v>
      </c>
      <c r="AA236" s="110">
        <f t="shared" si="147"/>
        <v>102.33333333333333</v>
      </c>
      <c r="AB236" s="110">
        <f t="shared" si="148"/>
        <v>119</v>
      </c>
      <c r="AC236" s="110">
        <f t="shared" si="149"/>
        <v>112.33333333333333</v>
      </c>
      <c r="AD236" s="110">
        <f t="shared" si="150"/>
        <v>118</v>
      </c>
      <c r="AE236" s="110">
        <f t="shared" si="151"/>
        <v>-8.3333333333333329E-2</v>
      </c>
      <c r="AF236" s="110">
        <f t="shared" si="165"/>
        <v>0</v>
      </c>
      <c r="AG236" s="107"/>
      <c r="AH236" s="107"/>
      <c r="AI236" s="107"/>
    </row>
    <row r="237" spans="2:35">
      <c r="B237" s="104" t="s">
        <v>791</v>
      </c>
      <c r="C237" s="210">
        <v>2003</v>
      </c>
      <c r="D237" s="104">
        <f t="shared" si="153"/>
        <v>103</v>
      </c>
      <c r="E237" s="104">
        <v>6</v>
      </c>
      <c r="F237" s="113">
        <v>0</v>
      </c>
      <c r="G237" s="112" t="s">
        <v>214</v>
      </c>
      <c r="H237" s="104">
        <v>10</v>
      </c>
      <c r="I237" s="104">
        <f t="shared" si="136"/>
        <v>113</v>
      </c>
      <c r="L237" s="110">
        <v>15724</v>
      </c>
      <c r="M237" s="119">
        <v>0</v>
      </c>
      <c r="N237" s="110">
        <f t="shared" si="154"/>
        <v>15724</v>
      </c>
      <c r="O237" s="110">
        <f t="shared" si="155"/>
        <v>131.03333333333333</v>
      </c>
      <c r="P237" s="110">
        <f t="shared" si="156"/>
        <v>0</v>
      </c>
      <c r="Q237" s="110">
        <f t="shared" si="157"/>
        <v>0</v>
      </c>
      <c r="R237" s="110">
        <f t="shared" si="158"/>
        <v>0</v>
      </c>
      <c r="S237" s="111">
        <v>1</v>
      </c>
      <c r="T237" s="110">
        <f t="shared" si="159"/>
        <v>0</v>
      </c>
      <c r="U237" s="110">
        <f t="shared" si="160"/>
        <v>15724</v>
      </c>
      <c r="V237" s="110">
        <f t="shared" si="161"/>
        <v>15724</v>
      </c>
      <c r="W237" s="111">
        <v>1</v>
      </c>
      <c r="X237" s="110">
        <f t="shared" si="162"/>
        <v>15724</v>
      </c>
      <c r="Y237" s="110">
        <f t="shared" si="163"/>
        <v>15724</v>
      </c>
      <c r="Z237" s="110">
        <f t="shared" si="164"/>
        <v>0</v>
      </c>
      <c r="AA237" s="110">
        <f t="shared" si="147"/>
        <v>103.41666666666667</v>
      </c>
      <c r="AB237" s="110">
        <f t="shared" si="148"/>
        <v>119</v>
      </c>
      <c r="AC237" s="110">
        <f t="shared" si="149"/>
        <v>113.41666666666667</v>
      </c>
      <c r="AD237" s="110">
        <f t="shared" si="150"/>
        <v>118</v>
      </c>
      <c r="AE237" s="110">
        <f t="shared" si="151"/>
        <v>-8.3333333333333329E-2</v>
      </c>
      <c r="AF237" s="110">
        <f t="shared" si="165"/>
        <v>0</v>
      </c>
      <c r="AG237" s="107"/>
      <c r="AH237" s="107"/>
      <c r="AI237" s="107"/>
    </row>
    <row r="238" spans="2:35">
      <c r="B238" s="104" t="s">
        <v>793</v>
      </c>
      <c r="C238" s="210">
        <v>2007</v>
      </c>
      <c r="D238" s="104">
        <f t="shared" si="153"/>
        <v>107</v>
      </c>
      <c r="E238" s="104">
        <v>11</v>
      </c>
      <c r="F238" s="113">
        <v>0</v>
      </c>
      <c r="G238" s="112" t="s">
        <v>214</v>
      </c>
      <c r="H238" s="104">
        <v>10</v>
      </c>
      <c r="I238" s="104">
        <f t="shared" si="136"/>
        <v>117</v>
      </c>
      <c r="L238" s="110">
        <v>678</v>
      </c>
      <c r="M238" s="119">
        <v>0</v>
      </c>
      <c r="N238" s="110">
        <f t="shared" si="154"/>
        <v>678</v>
      </c>
      <c r="O238" s="110">
        <f t="shared" si="155"/>
        <v>5.6499999999999995</v>
      </c>
      <c r="P238" s="110">
        <f t="shared" si="156"/>
        <v>0</v>
      </c>
      <c r="Q238" s="110">
        <f t="shared" si="157"/>
        <v>0</v>
      </c>
      <c r="R238" s="110">
        <f t="shared" si="158"/>
        <v>0</v>
      </c>
      <c r="S238" s="111">
        <v>1</v>
      </c>
      <c r="T238" s="110">
        <f t="shared" si="159"/>
        <v>0</v>
      </c>
      <c r="U238" s="110">
        <f t="shared" si="160"/>
        <v>678</v>
      </c>
      <c r="V238" s="110">
        <f t="shared" si="161"/>
        <v>678</v>
      </c>
      <c r="W238" s="111">
        <v>1</v>
      </c>
      <c r="X238" s="110">
        <f t="shared" si="162"/>
        <v>678</v>
      </c>
      <c r="Y238" s="110">
        <f t="shared" si="163"/>
        <v>678</v>
      </c>
      <c r="Z238" s="110">
        <f t="shared" si="164"/>
        <v>0</v>
      </c>
      <c r="AA238" s="110">
        <f t="shared" si="147"/>
        <v>107.83333333333333</v>
      </c>
      <c r="AB238" s="110">
        <f t="shared" si="148"/>
        <v>119</v>
      </c>
      <c r="AC238" s="110">
        <f t="shared" si="149"/>
        <v>117.83333333333333</v>
      </c>
      <c r="AD238" s="110">
        <f t="shared" si="150"/>
        <v>118</v>
      </c>
      <c r="AE238" s="110">
        <f t="shared" si="151"/>
        <v>-8.3333333333333329E-2</v>
      </c>
      <c r="AF238" s="110">
        <f t="shared" si="165"/>
        <v>0</v>
      </c>
      <c r="AG238" s="107"/>
      <c r="AH238" s="107"/>
      <c r="AI238" s="107"/>
    </row>
    <row r="239" spans="2:35">
      <c r="B239" s="104" t="s">
        <v>794</v>
      </c>
      <c r="C239" s="210">
        <v>2007</v>
      </c>
      <c r="D239" s="104">
        <f t="shared" si="153"/>
        <v>107</v>
      </c>
      <c r="E239" s="104">
        <v>11</v>
      </c>
      <c r="F239" s="113">
        <v>0</v>
      </c>
      <c r="G239" s="112" t="s">
        <v>214</v>
      </c>
      <c r="H239" s="104">
        <v>10</v>
      </c>
      <c r="I239" s="104">
        <f t="shared" si="136"/>
        <v>117</v>
      </c>
      <c r="L239" s="110">
        <v>918</v>
      </c>
      <c r="M239" s="119">
        <v>0</v>
      </c>
      <c r="N239" s="110">
        <f t="shared" si="154"/>
        <v>918</v>
      </c>
      <c r="O239" s="110">
        <f t="shared" si="155"/>
        <v>7.6499999999999995</v>
      </c>
      <c r="P239" s="110">
        <f t="shared" si="156"/>
        <v>0</v>
      </c>
      <c r="Q239" s="110">
        <f t="shared" si="157"/>
        <v>0</v>
      </c>
      <c r="R239" s="110">
        <f t="shared" si="158"/>
        <v>0</v>
      </c>
      <c r="S239" s="111">
        <v>1</v>
      </c>
      <c r="T239" s="110">
        <f t="shared" si="159"/>
        <v>0</v>
      </c>
      <c r="U239" s="110">
        <f t="shared" si="160"/>
        <v>918</v>
      </c>
      <c r="V239" s="110">
        <f t="shared" si="161"/>
        <v>918</v>
      </c>
      <c r="W239" s="111">
        <v>1</v>
      </c>
      <c r="X239" s="110">
        <f t="shared" si="162"/>
        <v>918</v>
      </c>
      <c r="Y239" s="110">
        <f t="shared" si="163"/>
        <v>918</v>
      </c>
      <c r="Z239" s="110">
        <f t="shared" si="164"/>
        <v>0</v>
      </c>
      <c r="AA239" s="110">
        <f t="shared" si="147"/>
        <v>107.83333333333333</v>
      </c>
      <c r="AB239" s="110">
        <f t="shared" si="148"/>
        <v>119</v>
      </c>
      <c r="AC239" s="110">
        <f t="shared" si="149"/>
        <v>117.83333333333333</v>
      </c>
      <c r="AD239" s="110">
        <f t="shared" si="150"/>
        <v>118</v>
      </c>
      <c r="AE239" s="110">
        <f t="shared" si="151"/>
        <v>-8.3333333333333329E-2</v>
      </c>
      <c r="AF239" s="110">
        <f t="shared" si="165"/>
        <v>0</v>
      </c>
      <c r="AG239" s="107"/>
      <c r="AH239" s="107"/>
      <c r="AI239" s="107"/>
    </row>
    <row r="240" spans="2:35">
      <c r="B240" s="104" t="s">
        <v>795</v>
      </c>
      <c r="C240" s="210">
        <v>2007</v>
      </c>
      <c r="D240" s="104">
        <f t="shared" si="153"/>
        <v>107</v>
      </c>
      <c r="E240" s="104">
        <v>11</v>
      </c>
      <c r="F240" s="113">
        <v>0</v>
      </c>
      <c r="G240" s="112" t="s">
        <v>214</v>
      </c>
      <c r="H240" s="104">
        <v>10</v>
      </c>
      <c r="I240" s="104">
        <f t="shared" si="136"/>
        <v>117</v>
      </c>
      <c r="L240" s="110">
        <v>774</v>
      </c>
      <c r="M240" s="119">
        <v>0</v>
      </c>
      <c r="N240" s="110">
        <f t="shared" si="154"/>
        <v>774</v>
      </c>
      <c r="O240" s="110">
        <f t="shared" si="155"/>
        <v>6.45</v>
      </c>
      <c r="P240" s="110">
        <f t="shared" si="156"/>
        <v>0</v>
      </c>
      <c r="Q240" s="110">
        <f t="shared" si="157"/>
        <v>0</v>
      </c>
      <c r="R240" s="110">
        <f t="shared" si="158"/>
        <v>0</v>
      </c>
      <c r="S240" s="111">
        <v>1</v>
      </c>
      <c r="T240" s="110">
        <f t="shared" si="159"/>
        <v>0</v>
      </c>
      <c r="U240" s="110">
        <f t="shared" si="160"/>
        <v>774</v>
      </c>
      <c r="V240" s="110">
        <f t="shared" si="161"/>
        <v>774</v>
      </c>
      <c r="W240" s="111">
        <v>1</v>
      </c>
      <c r="X240" s="110">
        <f t="shared" si="162"/>
        <v>774</v>
      </c>
      <c r="Y240" s="110">
        <f t="shared" si="163"/>
        <v>774</v>
      </c>
      <c r="Z240" s="110">
        <f t="shared" si="164"/>
        <v>0</v>
      </c>
      <c r="AA240" s="110">
        <f t="shared" si="147"/>
        <v>107.83333333333333</v>
      </c>
      <c r="AB240" s="110">
        <f t="shared" si="148"/>
        <v>119</v>
      </c>
      <c r="AC240" s="110">
        <f t="shared" si="149"/>
        <v>117.83333333333333</v>
      </c>
      <c r="AD240" s="110">
        <f t="shared" si="150"/>
        <v>118</v>
      </c>
      <c r="AE240" s="110">
        <f t="shared" si="151"/>
        <v>-8.3333333333333329E-2</v>
      </c>
      <c r="AF240" s="110">
        <f t="shared" si="165"/>
        <v>0</v>
      </c>
      <c r="AG240" s="107"/>
      <c r="AH240" s="107"/>
      <c r="AI240" s="107"/>
    </row>
    <row r="241" spans="2:35">
      <c r="B241" s="104" t="s">
        <v>796</v>
      </c>
      <c r="C241" s="210">
        <v>2007</v>
      </c>
      <c r="D241" s="104">
        <f t="shared" si="153"/>
        <v>107</v>
      </c>
      <c r="E241" s="104">
        <v>11</v>
      </c>
      <c r="F241" s="113">
        <v>0</v>
      </c>
      <c r="G241" s="112" t="s">
        <v>214</v>
      </c>
      <c r="H241" s="104">
        <v>10</v>
      </c>
      <c r="I241" s="104">
        <f t="shared" si="136"/>
        <v>117</v>
      </c>
      <c r="L241" s="110">
        <v>9560</v>
      </c>
      <c r="M241" s="119">
        <v>0</v>
      </c>
      <c r="N241" s="110">
        <f t="shared" si="154"/>
        <v>9560</v>
      </c>
      <c r="O241" s="110">
        <f t="shared" si="155"/>
        <v>79.666666666666671</v>
      </c>
      <c r="P241" s="110">
        <f t="shared" si="156"/>
        <v>0</v>
      </c>
      <c r="Q241" s="110">
        <f t="shared" si="157"/>
        <v>0</v>
      </c>
      <c r="R241" s="110">
        <f t="shared" si="158"/>
        <v>0</v>
      </c>
      <c r="S241" s="111">
        <v>1</v>
      </c>
      <c r="T241" s="110">
        <f t="shared" si="159"/>
        <v>0</v>
      </c>
      <c r="U241" s="110">
        <f t="shared" si="160"/>
        <v>9560</v>
      </c>
      <c r="V241" s="110">
        <f t="shared" si="161"/>
        <v>9560</v>
      </c>
      <c r="W241" s="111">
        <v>1</v>
      </c>
      <c r="X241" s="110">
        <f t="shared" si="162"/>
        <v>9560</v>
      </c>
      <c r="Y241" s="110">
        <f t="shared" si="163"/>
        <v>9560</v>
      </c>
      <c r="Z241" s="110">
        <f t="shared" si="164"/>
        <v>0</v>
      </c>
      <c r="AA241" s="110">
        <f t="shared" si="147"/>
        <v>107.83333333333333</v>
      </c>
      <c r="AB241" s="110">
        <f t="shared" si="148"/>
        <v>119</v>
      </c>
      <c r="AC241" s="110">
        <f t="shared" si="149"/>
        <v>117.83333333333333</v>
      </c>
      <c r="AD241" s="110">
        <f t="shared" si="150"/>
        <v>118</v>
      </c>
      <c r="AE241" s="110">
        <f t="shared" si="151"/>
        <v>-8.3333333333333329E-2</v>
      </c>
      <c r="AF241" s="110">
        <f t="shared" si="165"/>
        <v>0</v>
      </c>
      <c r="AG241" s="107"/>
      <c r="AH241" s="107"/>
      <c r="AI241" s="107"/>
    </row>
    <row r="242" spans="2:35">
      <c r="B242" s="104" t="s">
        <v>797</v>
      </c>
      <c r="C242" s="210">
        <v>2007</v>
      </c>
      <c r="D242" s="104">
        <f t="shared" si="153"/>
        <v>107</v>
      </c>
      <c r="E242" s="104">
        <v>11</v>
      </c>
      <c r="F242" s="113">
        <v>0</v>
      </c>
      <c r="G242" s="112" t="s">
        <v>214</v>
      </c>
      <c r="H242" s="104">
        <v>10</v>
      </c>
      <c r="I242" s="104">
        <f t="shared" si="136"/>
        <v>117</v>
      </c>
      <c r="L242" s="110">
        <v>3070</v>
      </c>
      <c r="M242" s="119">
        <v>0</v>
      </c>
      <c r="N242" s="110">
        <f t="shared" si="154"/>
        <v>3070</v>
      </c>
      <c r="O242" s="110">
        <f t="shared" si="155"/>
        <v>25.583333333333332</v>
      </c>
      <c r="P242" s="110">
        <f t="shared" si="156"/>
        <v>0</v>
      </c>
      <c r="Q242" s="110">
        <f t="shared" si="157"/>
        <v>0</v>
      </c>
      <c r="R242" s="110">
        <f t="shared" si="158"/>
        <v>0</v>
      </c>
      <c r="S242" s="111">
        <v>1</v>
      </c>
      <c r="T242" s="110">
        <f t="shared" si="159"/>
        <v>0</v>
      </c>
      <c r="U242" s="110">
        <f t="shared" si="160"/>
        <v>3070</v>
      </c>
      <c r="V242" s="110">
        <f t="shared" si="161"/>
        <v>3070</v>
      </c>
      <c r="W242" s="111">
        <v>1</v>
      </c>
      <c r="X242" s="110">
        <f t="shared" si="162"/>
        <v>3070</v>
      </c>
      <c r="Y242" s="110">
        <f t="shared" si="163"/>
        <v>3070</v>
      </c>
      <c r="Z242" s="110">
        <f t="shared" si="164"/>
        <v>0</v>
      </c>
      <c r="AA242" s="110">
        <f t="shared" si="147"/>
        <v>107.83333333333333</v>
      </c>
      <c r="AB242" s="110">
        <f t="shared" si="148"/>
        <v>119</v>
      </c>
      <c r="AC242" s="110">
        <f t="shared" si="149"/>
        <v>117.83333333333333</v>
      </c>
      <c r="AD242" s="110">
        <f t="shared" si="150"/>
        <v>118</v>
      </c>
      <c r="AE242" s="110">
        <f t="shared" si="151"/>
        <v>-8.3333333333333329E-2</v>
      </c>
      <c r="AF242" s="110">
        <f t="shared" si="165"/>
        <v>0</v>
      </c>
      <c r="AG242" s="107"/>
      <c r="AH242" s="107"/>
      <c r="AI242" s="107"/>
    </row>
    <row r="243" spans="2:35">
      <c r="B243" s="104" t="s">
        <v>798</v>
      </c>
      <c r="C243" s="210">
        <v>2007</v>
      </c>
      <c r="D243" s="104">
        <f t="shared" si="153"/>
        <v>107</v>
      </c>
      <c r="E243" s="104">
        <v>3</v>
      </c>
      <c r="F243" s="113">
        <v>0</v>
      </c>
      <c r="G243" s="112" t="s">
        <v>214</v>
      </c>
      <c r="H243" s="104">
        <v>10</v>
      </c>
      <c r="I243" s="104">
        <f t="shared" si="136"/>
        <v>117</v>
      </c>
      <c r="L243" s="110">
        <v>636</v>
      </c>
      <c r="M243" s="119">
        <v>0</v>
      </c>
      <c r="N243" s="110">
        <f t="shared" si="154"/>
        <v>636</v>
      </c>
      <c r="O243" s="110">
        <f t="shared" si="155"/>
        <v>5.3</v>
      </c>
      <c r="P243" s="110">
        <f t="shared" si="156"/>
        <v>0</v>
      </c>
      <c r="Q243" s="110">
        <f t="shared" si="157"/>
        <v>0</v>
      </c>
      <c r="R243" s="110">
        <f t="shared" si="158"/>
        <v>0</v>
      </c>
      <c r="S243" s="111">
        <v>1</v>
      </c>
      <c r="T243" s="110">
        <f t="shared" si="159"/>
        <v>0</v>
      </c>
      <c r="U243" s="110">
        <f t="shared" si="160"/>
        <v>636</v>
      </c>
      <c r="V243" s="110">
        <f t="shared" si="161"/>
        <v>636</v>
      </c>
      <c r="W243" s="111">
        <v>1</v>
      </c>
      <c r="X243" s="110">
        <f t="shared" si="162"/>
        <v>636</v>
      </c>
      <c r="Y243" s="110">
        <f t="shared" si="163"/>
        <v>636</v>
      </c>
      <c r="Z243" s="110">
        <f t="shared" si="164"/>
        <v>0</v>
      </c>
      <c r="AA243" s="110">
        <f t="shared" si="147"/>
        <v>107.16666666666667</v>
      </c>
      <c r="AB243" s="110">
        <f t="shared" si="148"/>
        <v>119</v>
      </c>
      <c r="AC243" s="110">
        <f t="shared" si="149"/>
        <v>117.16666666666667</v>
      </c>
      <c r="AD243" s="110">
        <f t="shared" si="150"/>
        <v>118</v>
      </c>
      <c r="AE243" s="110">
        <f t="shared" si="151"/>
        <v>-8.3333333333333329E-2</v>
      </c>
      <c r="AF243" s="110">
        <f t="shared" si="165"/>
        <v>0</v>
      </c>
      <c r="AG243" s="107"/>
      <c r="AH243" s="107"/>
      <c r="AI243" s="107"/>
    </row>
    <row r="244" spans="2:35">
      <c r="B244" s="104" t="s">
        <v>799</v>
      </c>
      <c r="C244" s="210">
        <v>2007</v>
      </c>
      <c r="D244" s="104">
        <f t="shared" si="153"/>
        <v>107</v>
      </c>
      <c r="E244" s="104">
        <v>6</v>
      </c>
      <c r="F244" s="113">
        <v>0</v>
      </c>
      <c r="G244" s="112" t="s">
        <v>214</v>
      </c>
      <c r="H244" s="104">
        <v>10</v>
      </c>
      <c r="I244" s="104">
        <f t="shared" si="136"/>
        <v>117</v>
      </c>
      <c r="L244" s="110">
        <v>1548</v>
      </c>
      <c r="M244" s="119">
        <v>0</v>
      </c>
      <c r="N244" s="110">
        <f t="shared" si="154"/>
        <v>1548</v>
      </c>
      <c r="O244" s="110">
        <f t="shared" si="155"/>
        <v>12.9</v>
      </c>
      <c r="P244" s="110">
        <f t="shared" si="156"/>
        <v>0</v>
      </c>
      <c r="Q244" s="110">
        <f t="shared" si="157"/>
        <v>0</v>
      </c>
      <c r="R244" s="110">
        <f t="shared" si="158"/>
        <v>0</v>
      </c>
      <c r="S244" s="111">
        <v>1</v>
      </c>
      <c r="T244" s="110">
        <f t="shared" si="159"/>
        <v>0</v>
      </c>
      <c r="U244" s="110">
        <f t="shared" si="160"/>
        <v>1548</v>
      </c>
      <c r="V244" s="110">
        <f t="shared" si="161"/>
        <v>1548</v>
      </c>
      <c r="W244" s="111">
        <v>1</v>
      </c>
      <c r="X244" s="110">
        <f t="shared" si="162"/>
        <v>1548</v>
      </c>
      <c r="Y244" s="110">
        <f t="shared" si="163"/>
        <v>1548</v>
      </c>
      <c r="Z244" s="110">
        <f t="shared" si="164"/>
        <v>0</v>
      </c>
      <c r="AA244" s="110">
        <f t="shared" si="147"/>
        <v>107.41666666666667</v>
      </c>
      <c r="AB244" s="110">
        <f t="shared" si="148"/>
        <v>119</v>
      </c>
      <c r="AC244" s="110">
        <f t="shared" si="149"/>
        <v>117.41666666666667</v>
      </c>
      <c r="AD244" s="110">
        <f t="shared" si="150"/>
        <v>118</v>
      </c>
      <c r="AE244" s="110">
        <f t="shared" si="151"/>
        <v>-8.3333333333333329E-2</v>
      </c>
      <c r="AF244" s="110">
        <f t="shared" si="165"/>
        <v>0</v>
      </c>
      <c r="AG244" s="107"/>
      <c r="AH244" s="107"/>
      <c r="AI244" s="107"/>
    </row>
    <row r="245" spans="2:35">
      <c r="B245" s="104" t="s">
        <v>800</v>
      </c>
      <c r="C245" s="210">
        <v>2007</v>
      </c>
      <c r="D245" s="104">
        <f t="shared" si="153"/>
        <v>107</v>
      </c>
      <c r="E245" s="104">
        <v>6</v>
      </c>
      <c r="F245" s="113">
        <v>0</v>
      </c>
      <c r="G245" s="112" t="s">
        <v>214</v>
      </c>
      <c r="H245" s="104">
        <v>10</v>
      </c>
      <c r="I245" s="104">
        <f t="shared" si="136"/>
        <v>117</v>
      </c>
      <c r="L245" s="110">
        <v>2127</v>
      </c>
      <c r="M245" s="119">
        <v>0</v>
      </c>
      <c r="N245" s="110">
        <f t="shared" si="154"/>
        <v>2127</v>
      </c>
      <c r="O245" s="110">
        <f t="shared" si="155"/>
        <v>17.724999999999998</v>
      </c>
      <c r="P245" s="110">
        <f t="shared" si="156"/>
        <v>0</v>
      </c>
      <c r="Q245" s="110">
        <f t="shared" si="157"/>
        <v>0</v>
      </c>
      <c r="R245" s="110">
        <f t="shared" si="158"/>
        <v>0</v>
      </c>
      <c r="S245" s="111">
        <v>1</v>
      </c>
      <c r="T245" s="110">
        <f t="shared" si="159"/>
        <v>0</v>
      </c>
      <c r="U245" s="110">
        <f t="shared" si="160"/>
        <v>2127</v>
      </c>
      <c r="V245" s="110">
        <f t="shared" si="161"/>
        <v>2127</v>
      </c>
      <c r="W245" s="111">
        <v>1</v>
      </c>
      <c r="X245" s="110">
        <f t="shared" si="162"/>
        <v>2127</v>
      </c>
      <c r="Y245" s="110">
        <f t="shared" si="163"/>
        <v>2127</v>
      </c>
      <c r="Z245" s="110">
        <f t="shared" si="164"/>
        <v>0</v>
      </c>
      <c r="AA245" s="110">
        <f t="shared" si="147"/>
        <v>107.41666666666667</v>
      </c>
      <c r="AB245" s="110">
        <f t="shared" si="148"/>
        <v>119</v>
      </c>
      <c r="AC245" s="110">
        <f t="shared" si="149"/>
        <v>117.41666666666667</v>
      </c>
      <c r="AD245" s="110">
        <f t="shared" si="150"/>
        <v>118</v>
      </c>
      <c r="AE245" s="110">
        <f t="shared" si="151"/>
        <v>-8.3333333333333329E-2</v>
      </c>
      <c r="AF245" s="110">
        <f t="shared" si="165"/>
        <v>0</v>
      </c>
      <c r="AG245" s="107"/>
      <c r="AH245" s="107"/>
      <c r="AI245" s="107"/>
    </row>
    <row r="246" spans="2:35">
      <c r="B246" s="104" t="s">
        <v>801</v>
      </c>
      <c r="C246" s="210">
        <v>2007</v>
      </c>
      <c r="D246" s="104">
        <f t="shared" si="153"/>
        <v>107</v>
      </c>
      <c r="E246" s="104">
        <v>6</v>
      </c>
      <c r="F246" s="113">
        <v>0</v>
      </c>
      <c r="G246" s="112" t="s">
        <v>214</v>
      </c>
      <c r="H246" s="104">
        <v>10</v>
      </c>
      <c r="I246" s="104">
        <f t="shared" si="136"/>
        <v>117</v>
      </c>
      <c r="L246" s="110">
        <v>2460</v>
      </c>
      <c r="M246" s="119">
        <v>0</v>
      </c>
      <c r="N246" s="110">
        <f t="shared" si="154"/>
        <v>2460</v>
      </c>
      <c r="O246" s="110">
        <f t="shared" si="155"/>
        <v>20.5</v>
      </c>
      <c r="P246" s="110">
        <f t="shared" si="156"/>
        <v>0</v>
      </c>
      <c r="Q246" s="110">
        <f t="shared" si="157"/>
        <v>0</v>
      </c>
      <c r="R246" s="110">
        <f t="shared" si="158"/>
        <v>0</v>
      </c>
      <c r="S246" s="111">
        <v>1</v>
      </c>
      <c r="T246" s="110">
        <f t="shared" si="159"/>
        <v>0</v>
      </c>
      <c r="U246" s="110">
        <f t="shared" si="160"/>
        <v>2460</v>
      </c>
      <c r="V246" s="110">
        <f t="shared" si="161"/>
        <v>2460</v>
      </c>
      <c r="W246" s="111">
        <v>1</v>
      </c>
      <c r="X246" s="110">
        <f t="shared" si="162"/>
        <v>2460</v>
      </c>
      <c r="Y246" s="110">
        <f t="shared" si="163"/>
        <v>2460</v>
      </c>
      <c r="Z246" s="110">
        <f t="shared" si="164"/>
        <v>0</v>
      </c>
      <c r="AA246" s="110">
        <f t="shared" si="147"/>
        <v>107.41666666666667</v>
      </c>
      <c r="AB246" s="110">
        <f t="shared" si="148"/>
        <v>119</v>
      </c>
      <c r="AC246" s="110">
        <f t="shared" si="149"/>
        <v>117.41666666666667</v>
      </c>
      <c r="AD246" s="110">
        <f t="shared" si="150"/>
        <v>118</v>
      </c>
      <c r="AE246" s="110">
        <f t="shared" si="151"/>
        <v>-8.3333333333333329E-2</v>
      </c>
      <c r="AF246" s="110">
        <f t="shared" si="165"/>
        <v>0</v>
      </c>
      <c r="AG246" s="107"/>
      <c r="AH246" s="107"/>
      <c r="AI246" s="107"/>
    </row>
    <row r="247" spans="2:35">
      <c r="B247" s="104" t="s">
        <v>802</v>
      </c>
      <c r="C247" s="210">
        <v>2007</v>
      </c>
      <c r="D247" s="104">
        <f t="shared" si="153"/>
        <v>107</v>
      </c>
      <c r="E247" s="104">
        <v>6</v>
      </c>
      <c r="F247" s="113">
        <v>0</v>
      </c>
      <c r="G247" s="112" t="s">
        <v>214</v>
      </c>
      <c r="H247" s="104">
        <v>10</v>
      </c>
      <c r="I247" s="104">
        <f t="shared" si="136"/>
        <v>117</v>
      </c>
      <c r="L247" s="110">
        <v>1377</v>
      </c>
      <c r="M247" s="119">
        <v>0</v>
      </c>
      <c r="N247" s="110">
        <f t="shared" si="154"/>
        <v>1377</v>
      </c>
      <c r="O247" s="110">
        <f t="shared" si="155"/>
        <v>11.475</v>
      </c>
      <c r="P247" s="110">
        <f t="shared" si="156"/>
        <v>0</v>
      </c>
      <c r="Q247" s="110">
        <f t="shared" si="157"/>
        <v>0</v>
      </c>
      <c r="R247" s="110">
        <f t="shared" si="158"/>
        <v>0</v>
      </c>
      <c r="S247" s="111">
        <v>1</v>
      </c>
      <c r="T247" s="110">
        <f t="shared" si="159"/>
        <v>0</v>
      </c>
      <c r="U247" s="110">
        <f t="shared" si="160"/>
        <v>1377</v>
      </c>
      <c r="V247" s="110">
        <f t="shared" si="161"/>
        <v>1377</v>
      </c>
      <c r="W247" s="111">
        <v>1</v>
      </c>
      <c r="X247" s="110">
        <f t="shared" si="162"/>
        <v>1377</v>
      </c>
      <c r="Y247" s="110">
        <f t="shared" si="163"/>
        <v>1377</v>
      </c>
      <c r="Z247" s="110">
        <f t="shared" si="164"/>
        <v>0</v>
      </c>
      <c r="AA247" s="110">
        <f t="shared" si="147"/>
        <v>107.41666666666667</v>
      </c>
      <c r="AB247" s="110">
        <f t="shared" si="148"/>
        <v>119</v>
      </c>
      <c r="AC247" s="110">
        <f t="shared" si="149"/>
        <v>117.41666666666667</v>
      </c>
      <c r="AD247" s="110">
        <f t="shared" si="150"/>
        <v>118</v>
      </c>
      <c r="AE247" s="110">
        <f t="shared" si="151"/>
        <v>-8.3333333333333329E-2</v>
      </c>
      <c r="AF247" s="110">
        <f t="shared" si="165"/>
        <v>0</v>
      </c>
      <c r="AG247" s="107"/>
      <c r="AH247" s="107"/>
      <c r="AI247" s="107"/>
    </row>
    <row r="248" spans="2:35">
      <c r="B248" s="104" t="s">
        <v>803</v>
      </c>
      <c r="C248" s="210">
        <v>2007</v>
      </c>
      <c r="D248" s="104">
        <f t="shared" si="153"/>
        <v>107</v>
      </c>
      <c r="E248" s="104">
        <v>6</v>
      </c>
      <c r="F248" s="113">
        <v>0</v>
      </c>
      <c r="G248" s="112" t="s">
        <v>214</v>
      </c>
      <c r="H248" s="104">
        <v>10</v>
      </c>
      <c r="I248" s="104">
        <f t="shared" si="136"/>
        <v>117</v>
      </c>
      <c r="L248" s="110">
        <v>4780</v>
      </c>
      <c r="M248" s="119">
        <v>0</v>
      </c>
      <c r="N248" s="110">
        <f t="shared" si="154"/>
        <v>4780</v>
      </c>
      <c r="O248" s="110">
        <f t="shared" si="155"/>
        <v>39.833333333333336</v>
      </c>
      <c r="P248" s="110">
        <f t="shared" si="156"/>
        <v>0</v>
      </c>
      <c r="Q248" s="110">
        <f t="shared" si="157"/>
        <v>0</v>
      </c>
      <c r="R248" s="110">
        <f t="shared" si="158"/>
        <v>0</v>
      </c>
      <c r="S248" s="111">
        <v>1</v>
      </c>
      <c r="T248" s="110">
        <f t="shared" si="159"/>
        <v>0</v>
      </c>
      <c r="U248" s="110">
        <f t="shared" si="160"/>
        <v>4780</v>
      </c>
      <c r="V248" s="110">
        <f t="shared" si="161"/>
        <v>4780</v>
      </c>
      <c r="W248" s="111">
        <v>1</v>
      </c>
      <c r="X248" s="110">
        <f t="shared" si="162"/>
        <v>4780</v>
      </c>
      <c r="Y248" s="110">
        <f t="shared" si="163"/>
        <v>4780</v>
      </c>
      <c r="Z248" s="110">
        <f t="shared" si="164"/>
        <v>0</v>
      </c>
      <c r="AA248" s="110">
        <f t="shared" si="147"/>
        <v>107.41666666666667</v>
      </c>
      <c r="AB248" s="110">
        <f t="shared" si="148"/>
        <v>119</v>
      </c>
      <c r="AC248" s="110">
        <f t="shared" si="149"/>
        <v>117.41666666666667</v>
      </c>
      <c r="AD248" s="110">
        <f t="shared" si="150"/>
        <v>118</v>
      </c>
      <c r="AE248" s="110">
        <f t="shared" si="151"/>
        <v>-8.3333333333333329E-2</v>
      </c>
      <c r="AF248" s="110">
        <f t="shared" si="165"/>
        <v>0</v>
      </c>
      <c r="AG248" s="107"/>
      <c r="AH248" s="107"/>
      <c r="AI248" s="107"/>
    </row>
    <row r="249" spans="2:35">
      <c r="B249" s="104" t="s">
        <v>804</v>
      </c>
      <c r="C249" s="210">
        <v>2007</v>
      </c>
      <c r="D249" s="104">
        <f t="shared" si="153"/>
        <v>107</v>
      </c>
      <c r="E249" s="104">
        <v>6</v>
      </c>
      <c r="F249" s="113">
        <v>0</v>
      </c>
      <c r="G249" s="112" t="s">
        <v>214</v>
      </c>
      <c r="H249" s="104">
        <v>10</v>
      </c>
      <c r="I249" s="104">
        <f t="shared" si="136"/>
        <v>117</v>
      </c>
      <c r="L249" s="110">
        <v>2527</v>
      </c>
      <c r="M249" s="119">
        <v>0</v>
      </c>
      <c r="N249" s="110">
        <f t="shared" si="154"/>
        <v>2527</v>
      </c>
      <c r="O249" s="110">
        <f t="shared" si="155"/>
        <v>21.058333333333334</v>
      </c>
      <c r="P249" s="110">
        <f t="shared" si="156"/>
        <v>0</v>
      </c>
      <c r="Q249" s="110">
        <f t="shared" si="157"/>
        <v>0</v>
      </c>
      <c r="R249" s="110">
        <f t="shared" si="158"/>
        <v>0</v>
      </c>
      <c r="S249" s="111">
        <v>1</v>
      </c>
      <c r="T249" s="110">
        <f t="shared" si="159"/>
        <v>0</v>
      </c>
      <c r="U249" s="110">
        <f t="shared" si="160"/>
        <v>2527</v>
      </c>
      <c r="V249" s="110">
        <f t="shared" si="161"/>
        <v>2527</v>
      </c>
      <c r="W249" s="111">
        <v>1</v>
      </c>
      <c r="X249" s="110">
        <f t="shared" si="162"/>
        <v>2527</v>
      </c>
      <c r="Y249" s="110">
        <f t="shared" si="163"/>
        <v>2527</v>
      </c>
      <c r="Z249" s="110">
        <f t="shared" si="164"/>
        <v>0</v>
      </c>
      <c r="AA249" s="110">
        <f t="shared" si="147"/>
        <v>107.41666666666667</v>
      </c>
      <c r="AB249" s="110">
        <f t="shared" si="148"/>
        <v>119</v>
      </c>
      <c r="AC249" s="110">
        <f t="shared" si="149"/>
        <v>117.41666666666667</v>
      </c>
      <c r="AD249" s="110">
        <f t="shared" si="150"/>
        <v>118</v>
      </c>
      <c r="AE249" s="110">
        <f t="shared" si="151"/>
        <v>-8.3333333333333329E-2</v>
      </c>
      <c r="AF249" s="110">
        <f t="shared" si="165"/>
        <v>0</v>
      </c>
      <c r="AG249" s="107"/>
      <c r="AH249" s="107"/>
      <c r="AI249" s="107"/>
    </row>
    <row r="250" spans="2:35">
      <c r="B250" s="104" t="s">
        <v>805</v>
      </c>
      <c r="C250" s="210">
        <v>2007</v>
      </c>
      <c r="D250" s="104">
        <f t="shared" si="153"/>
        <v>107</v>
      </c>
      <c r="E250" s="104">
        <v>6</v>
      </c>
      <c r="F250" s="113">
        <v>0</v>
      </c>
      <c r="G250" s="112" t="s">
        <v>214</v>
      </c>
      <c r="H250" s="104">
        <v>10</v>
      </c>
      <c r="I250" s="104">
        <f t="shared" si="136"/>
        <v>117</v>
      </c>
      <c r="L250" s="110">
        <v>4457</v>
      </c>
      <c r="M250" s="119">
        <v>0</v>
      </c>
      <c r="N250" s="110">
        <f t="shared" si="154"/>
        <v>4457</v>
      </c>
      <c r="O250" s="110">
        <f t="shared" si="155"/>
        <v>37.141666666666666</v>
      </c>
      <c r="P250" s="110">
        <f t="shared" si="156"/>
        <v>0</v>
      </c>
      <c r="Q250" s="110">
        <f t="shared" si="157"/>
        <v>0</v>
      </c>
      <c r="R250" s="110">
        <f t="shared" si="158"/>
        <v>0</v>
      </c>
      <c r="S250" s="111">
        <v>1</v>
      </c>
      <c r="T250" s="110">
        <f t="shared" si="159"/>
        <v>0</v>
      </c>
      <c r="U250" s="110">
        <f t="shared" si="160"/>
        <v>4457</v>
      </c>
      <c r="V250" s="110">
        <f t="shared" si="161"/>
        <v>4457</v>
      </c>
      <c r="W250" s="111">
        <v>1</v>
      </c>
      <c r="X250" s="110">
        <f t="shared" si="162"/>
        <v>4457</v>
      </c>
      <c r="Y250" s="110">
        <f t="shared" si="163"/>
        <v>4457</v>
      </c>
      <c r="Z250" s="110">
        <f t="shared" si="164"/>
        <v>0</v>
      </c>
      <c r="AA250" s="110">
        <f t="shared" si="147"/>
        <v>107.41666666666667</v>
      </c>
      <c r="AB250" s="110">
        <f t="shared" si="148"/>
        <v>119</v>
      </c>
      <c r="AC250" s="110">
        <f t="shared" si="149"/>
        <v>117.41666666666667</v>
      </c>
      <c r="AD250" s="110">
        <f t="shared" si="150"/>
        <v>118</v>
      </c>
      <c r="AE250" s="110">
        <f t="shared" si="151"/>
        <v>-8.3333333333333329E-2</v>
      </c>
      <c r="AF250" s="110">
        <f t="shared" si="165"/>
        <v>0</v>
      </c>
      <c r="AG250" s="107"/>
      <c r="AH250" s="107"/>
      <c r="AI250" s="107"/>
    </row>
    <row r="251" spans="2:35">
      <c r="B251" s="104" t="s">
        <v>135</v>
      </c>
      <c r="C251" s="210">
        <v>2008</v>
      </c>
      <c r="D251" s="104">
        <f t="shared" si="153"/>
        <v>108</v>
      </c>
      <c r="E251" s="104">
        <v>2</v>
      </c>
      <c r="F251" s="113">
        <v>0</v>
      </c>
      <c r="G251" s="112" t="s">
        <v>214</v>
      </c>
      <c r="H251" s="104">
        <v>10</v>
      </c>
      <c r="I251" s="104">
        <f t="shared" si="136"/>
        <v>118</v>
      </c>
      <c r="L251" s="110">
        <v>1252</v>
      </c>
      <c r="M251" s="119">
        <v>0</v>
      </c>
      <c r="N251" s="110">
        <f t="shared" si="154"/>
        <v>1252</v>
      </c>
      <c r="O251" s="110">
        <f t="shared" si="155"/>
        <v>10.433333333333334</v>
      </c>
      <c r="P251" s="110">
        <f t="shared" si="156"/>
        <v>10.43333333333274</v>
      </c>
      <c r="Q251" s="110">
        <f t="shared" si="157"/>
        <v>0</v>
      </c>
      <c r="R251" s="110">
        <f t="shared" si="158"/>
        <v>10.43333333333274</v>
      </c>
      <c r="S251" s="111">
        <v>1</v>
      </c>
      <c r="T251" s="110">
        <f t="shared" si="159"/>
        <v>10.43333333333274</v>
      </c>
      <c r="U251" s="110">
        <f t="shared" si="160"/>
        <v>1241.5666666666673</v>
      </c>
      <c r="V251" s="110">
        <f t="shared" si="161"/>
        <v>1241.5666666666673</v>
      </c>
      <c r="W251" s="111">
        <v>1</v>
      </c>
      <c r="X251" s="110">
        <f t="shared" si="162"/>
        <v>1241.5666666666673</v>
      </c>
      <c r="Y251" s="110">
        <f t="shared" si="163"/>
        <v>1252</v>
      </c>
      <c r="Z251" s="110">
        <f t="shared" si="164"/>
        <v>5.2166666666663559</v>
      </c>
      <c r="AA251" s="110">
        <f t="shared" si="147"/>
        <v>108.08333333333333</v>
      </c>
      <c r="AB251" s="110">
        <f t="shared" si="148"/>
        <v>119</v>
      </c>
      <c r="AC251" s="110">
        <f t="shared" si="149"/>
        <v>118.08333333333333</v>
      </c>
      <c r="AD251" s="110">
        <f t="shared" si="150"/>
        <v>118</v>
      </c>
      <c r="AE251" s="110">
        <f t="shared" si="151"/>
        <v>-8.3333333333333329E-2</v>
      </c>
      <c r="AF251" s="110">
        <f t="shared" si="165"/>
        <v>-1.1368683772161603E-13</v>
      </c>
      <c r="AG251" s="107"/>
      <c r="AH251" s="107"/>
      <c r="AI251" s="107"/>
    </row>
    <row r="252" spans="2:35">
      <c r="B252" s="104" t="s">
        <v>806</v>
      </c>
      <c r="C252" s="210">
        <v>2008</v>
      </c>
      <c r="D252" s="104">
        <f t="shared" si="153"/>
        <v>108</v>
      </c>
      <c r="E252" s="104">
        <v>5</v>
      </c>
      <c r="F252" s="113">
        <v>0</v>
      </c>
      <c r="G252" s="112" t="s">
        <v>214</v>
      </c>
      <c r="H252" s="104">
        <v>10</v>
      </c>
      <c r="I252" s="104">
        <f t="shared" si="136"/>
        <v>118</v>
      </c>
      <c r="L252" s="110">
        <v>5975</v>
      </c>
      <c r="M252" s="119">
        <v>0</v>
      </c>
      <c r="N252" s="110">
        <f t="shared" si="154"/>
        <v>5975</v>
      </c>
      <c r="O252" s="110">
        <f t="shared" si="155"/>
        <v>49.791666666666664</v>
      </c>
      <c r="P252" s="110">
        <f t="shared" si="156"/>
        <v>199.16666666666382</v>
      </c>
      <c r="Q252" s="110">
        <f t="shared" si="157"/>
        <v>0</v>
      </c>
      <c r="R252" s="110">
        <f t="shared" si="158"/>
        <v>199.16666666666382</v>
      </c>
      <c r="S252" s="111">
        <v>1</v>
      </c>
      <c r="T252" s="110">
        <f t="shared" si="159"/>
        <v>199.16666666666382</v>
      </c>
      <c r="U252" s="110">
        <f t="shared" si="160"/>
        <v>5775.8333333333358</v>
      </c>
      <c r="V252" s="110">
        <f t="shared" si="161"/>
        <v>5775.8333333333358</v>
      </c>
      <c r="W252" s="111">
        <v>1</v>
      </c>
      <c r="X252" s="110">
        <f t="shared" si="162"/>
        <v>5775.8333333333358</v>
      </c>
      <c r="Y252" s="110">
        <f t="shared" si="163"/>
        <v>5975</v>
      </c>
      <c r="Z252" s="110">
        <f t="shared" si="164"/>
        <v>99.583333333332121</v>
      </c>
      <c r="AA252" s="110">
        <f t="shared" si="147"/>
        <v>108.33333333333333</v>
      </c>
      <c r="AB252" s="110">
        <f t="shared" si="148"/>
        <v>119</v>
      </c>
      <c r="AC252" s="110">
        <f t="shared" si="149"/>
        <v>118.33333333333333</v>
      </c>
      <c r="AD252" s="110">
        <f t="shared" si="150"/>
        <v>118</v>
      </c>
      <c r="AE252" s="110">
        <f t="shared" si="151"/>
        <v>-8.3333333333333329E-2</v>
      </c>
      <c r="AF252" s="110">
        <f t="shared" si="165"/>
        <v>0</v>
      </c>
      <c r="AG252" s="107"/>
      <c r="AH252" s="107"/>
      <c r="AI252" s="107"/>
    </row>
    <row r="253" spans="2:35">
      <c r="B253" s="104" t="s">
        <v>800</v>
      </c>
      <c r="C253" s="210">
        <v>2008</v>
      </c>
      <c r="D253" s="104">
        <f t="shared" si="153"/>
        <v>108</v>
      </c>
      <c r="E253" s="104">
        <v>5</v>
      </c>
      <c r="F253" s="113">
        <v>0</v>
      </c>
      <c r="G253" s="112" t="s">
        <v>214</v>
      </c>
      <c r="H253" s="104">
        <v>10</v>
      </c>
      <c r="I253" s="104">
        <f t="shared" si="136"/>
        <v>118</v>
      </c>
      <c r="L253" s="110">
        <v>2640</v>
      </c>
      <c r="M253" s="119">
        <v>0</v>
      </c>
      <c r="N253" s="110">
        <f t="shared" si="154"/>
        <v>2640</v>
      </c>
      <c r="O253" s="110">
        <f t="shared" si="155"/>
        <v>22</v>
      </c>
      <c r="P253" s="110">
        <f t="shared" si="156"/>
        <v>87.999999999998749</v>
      </c>
      <c r="Q253" s="110">
        <f t="shared" si="157"/>
        <v>0</v>
      </c>
      <c r="R253" s="110">
        <f t="shared" si="158"/>
        <v>87.999999999998749</v>
      </c>
      <c r="S253" s="111">
        <v>1</v>
      </c>
      <c r="T253" s="110">
        <f t="shared" si="159"/>
        <v>87.999999999998749</v>
      </c>
      <c r="U253" s="110">
        <f t="shared" si="160"/>
        <v>2552.0000000000014</v>
      </c>
      <c r="V253" s="110">
        <f t="shared" si="161"/>
        <v>2552.0000000000014</v>
      </c>
      <c r="W253" s="111">
        <v>1</v>
      </c>
      <c r="X253" s="110">
        <f t="shared" si="162"/>
        <v>2552.0000000000014</v>
      </c>
      <c r="Y253" s="110">
        <f t="shared" si="163"/>
        <v>2640</v>
      </c>
      <c r="Z253" s="110">
        <f t="shared" si="164"/>
        <v>43.999999999999318</v>
      </c>
      <c r="AA253" s="110">
        <f t="shared" si="147"/>
        <v>108.33333333333333</v>
      </c>
      <c r="AB253" s="110">
        <f t="shared" si="148"/>
        <v>119</v>
      </c>
      <c r="AC253" s="110">
        <f t="shared" si="149"/>
        <v>118.33333333333333</v>
      </c>
      <c r="AD253" s="110">
        <f t="shared" si="150"/>
        <v>118</v>
      </c>
      <c r="AE253" s="110">
        <f t="shared" si="151"/>
        <v>-8.3333333333333329E-2</v>
      </c>
      <c r="AF253" s="110">
        <f t="shared" si="165"/>
        <v>-2.2737367544323206E-13</v>
      </c>
      <c r="AG253" s="107"/>
      <c r="AH253" s="107"/>
      <c r="AI253" s="107"/>
    </row>
    <row r="254" spans="2:35">
      <c r="B254" s="104" t="s">
        <v>794</v>
      </c>
      <c r="C254" s="210">
        <v>2008</v>
      </c>
      <c r="D254" s="104">
        <f t="shared" si="153"/>
        <v>108</v>
      </c>
      <c r="E254" s="104">
        <v>5</v>
      </c>
      <c r="F254" s="113">
        <v>0</v>
      </c>
      <c r="G254" s="112" t="s">
        <v>214</v>
      </c>
      <c r="H254" s="104">
        <v>10</v>
      </c>
      <c r="I254" s="104">
        <f t="shared" si="136"/>
        <v>118</v>
      </c>
      <c r="L254" s="110">
        <v>918</v>
      </c>
      <c r="M254" s="119">
        <v>0</v>
      </c>
      <c r="N254" s="110">
        <f t="shared" si="154"/>
        <v>918</v>
      </c>
      <c r="O254" s="110">
        <f t="shared" si="155"/>
        <v>7.6499999999999995</v>
      </c>
      <c r="P254" s="110">
        <f t="shared" si="156"/>
        <v>30.599999999999564</v>
      </c>
      <c r="Q254" s="110">
        <f t="shared" si="157"/>
        <v>0</v>
      </c>
      <c r="R254" s="110">
        <f t="shared" si="158"/>
        <v>30.599999999999564</v>
      </c>
      <c r="S254" s="111">
        <v>1</v>
      </c>
      <c r="T254" s="110">
        <f t="shared" si="159"/>
        <v>30.599999999999564</v>
      </c>
      <c r="U254" s="110">
        <f t="shared" si="160"/>
        <v>887.40000000000043</v>
      </c>
      <c r="V254" s="110">
        <f t="shared" si="161"/>
        <v>887.40000000000043</v>
      </c>
      <c r="W254" s="111">
        <v>1</v>
      </c>
      <c r="X254" s="110">
        <f t="shared" si="162"/>
        <v>887.40000000000043</v>
      </c>
      <c r="Y254" s="110">
        <f t="shared" si="163"/>
        <v>918</v>
      </c>
      <c r="Z254" s="110">
        <f t="shared" si="164"/>
        <v>15.299999999999784</v>
      </c>
      <c r="AA254" s="110">
        <f t="shared" si="147"/>
        <v>108.33333333333333</v>
      </c>
      <c r="AB254" s="110">
        <f t="shared" si="148"/>
        <v>119</v>
      </c>
      <c r="AC254" s="110">
        <f t="shared" si="149"/>
        <v>118.33333333333333</v>
      </c>
      <c r="AD254" s="110">
        <f t="shared" si="150"/>
        <v>118</v>
      </c>
      <c r="AE254" s="110">
        <f t="shared" si="151"/>
        <v>-8.3333333333333329E-2</v>
      </c>
      <c r="AF254" s="110">
        <f t="shared" si="165"/>
        <v>-5.6843418860808015E-14</v>
      </c>
      <c r="AG254" s="107"/>
      <c r="AH254" s="107"/>
      <c r="AI254" s="107"/>
    </row>
    <row r="255" spans="2:35">
      <c r="B255" s="104" t="s">
        <v>807</v>
      </c>
      <c r="C255" s="210">
        <v>2008</v>
      </c>
      <c r="D255" s="104">
        <f t="shared" si="153"/>
        <v>108</v>
      </c>
      <c r="E255" s="104">
        <v>5</v>
      </c>
      <c r="F255" s="113">
        <v>0</v>
      </c>
      <c r="G255" s="112" t="s">
        <v>214</v>
      </c>
      <c r="H255" s="104">
        <v>10</v>
      </c>
      <c r="I255" s="104">
        <f t="shared" si="136"/>
        <v>118</v>
      </c>
      <c r="L255" s="110">
        <v>3946</v>
      </c>
      <c r="M255" s="119">
        <v>0</v>
      </c>
      <c r="N255" s="110">
        <f t="shared" si="154"/>
        <v>3946</v>
      </c>
      <c r="O255" s="110">
        <f t="shared" si="155"/>
        <v>32.883333333333333</v>
      </c>
      <c r="P255" s="110">
        <f t="shared" si="156"/>
        <v>131.53333333333146</v>
      </c>
      <c r="Q255" s="110">
        <f t="shared" si="157"/>
        <v>0</v>
      </c>
      <c r="R255" s="110">
        <f t="shared" si="158"/>
        <v>131.53333333333146</v>
      </c>
      <c r="S255" s="111">
        <v>1</v>
      </c>
      <c r="T255" s="110">
        <f t="shared" si="159"/>
        <v>131.53333333333146</v>
      </c>
      <c r="U255" s="110">
        <f t="shared" si="160"/>
        <v>3814.4666666666685</v>
      </c>
      <c r="V255" s="110">
        <f t="shared" si="161"/>
        <v>3814.4666666666685</v>
      </c>
      <c r="W255" s="111">
        <v>1</v>
      </c>
      <c r="X255" s="110">
        <f t="shared" si="162"/>
        <v>3814.4666666666685</v>
      </c>
      <c r="Y255" s="110">
        <f t="shared" si="163"/>
        <v>3946</v>
      </c>
      <c r="Z255" s="110">
        <f t="shared" si="164"/>
        <v>65.766666666665742</v>
      </c>
      <c r="AA255" s="110">
        <f t="shared" si="147"/>
        <v>108.33333333333333</v>
      </c>
      <c r="AB255" s="110">
        <f t="shared" si="148"/>
        <v>119</v>
      </c>
      <c r="AC255" s="110">
        <f t="shared" si="149"/>
        <v>118.33333333333333</v>
      </c>
      <c r="AD255" s="110">
        <f t="shared" si="150"/>
        <v>118</v>
      </c>
      <c r="AE255" s="110">
        <f t="shared" si="151"/>
        <v>-8.3333333333333329E-2</v>
      </c>
      <c r="AF255" s="110">
        <f t="shared" si="165"/>
        <v>-2.2737367544323206E-13</v>
      </c>
      <c r="AG255" s="107"/>
      <c r="AH255" s="107"/>
      <c r="AI255" s="107"/>
    </row>
    <row r="256" spans="2:35">
      <c r="B256" s="104" t="s">
        <v>802</v>
      </c>
      <c r="C256" s="210">
        <v>2008</v>
      </c>
      <c r="D256" s="104">
        <f t="shared" si="153"/>
        <v>108</v>
      </c>
      <c r="E256" s="104">
        <v>8</v>
      </c>
      <c r="F256" s="113">
        <v>0</v>
      </c>
      <c r="G256" s="112" t="s">
        <v>214</v>
      </c>
      <c r="H256" s="104">
        <v>10</v>
      </c>
      <c r="I256" s="104">
        <f t="shared" si="136"/>
        <v>118</v>
      </c>
      <c r="L256" s="110">
        <v>1161</v>
      </c>
      <c r="M256" s="119">
        <v>0</v>
      </c>
      <c r="N256" s="110">
        <f t="shared" si="154"/>
        <v>1161</v>
      </c>
      <c r="O256" s="110">
        <f t="shared" si="155"/>
        <v>9.6749999999999989</v>
      </c>
      <c r="P256" s="110">
        <f t="shared" si="156"/>
        <v>67.72499999999944</v>
      </c>
      <c r="Q256" s="110">
        <f t="shared" si="157"/>
        <v>0</v>
      </c>
      <c r="R256" s="110">
        <f t="shared" si="158"/>
        <v>67.72499999999944</v>
      </c>
      <c r="S256" s="111">
        <v>1</v>
      </c>
      <c r="T256" s="110">
        <f t="shared" si="159"/>
        <v>67.72499999999944</v>
      </c>
      <c r="U256" s="110">
        <f t="shared" si="160"/>
        <v>1093.2750000000005</v>
      </c>
      <c r="V256" s="110">
        <f t="shared" si="161"/>
        <v>1093.2750000000005</v>
      </c>
      <c r="W256" s="111">
        <v>1</v>
      </c>
      <c r="X256" s="110">
        <f t="shared" si="162"/>
        <v>1093.2750000000005</v>
      </c>
      <c r="Y256" s="110">
        <f t="shared" si="163"/>
        <v>1161</v>
      </c>
      <c r="Z256" s="110">
        <f t="shared" si="164"/>
        <v>33.862499999999727</v>
      </c>
      <c r="AA256" s="110">
        <f t="shared" si="147"/>
        <v>108.58333333333333</v>
      </c>
      <c r="AB256" s="110">
        <f t="shared" si="148"/>
        <v>119</v>
      </c>
      <c r="AC256" s="110">
        <f t="shared" si="149"/>
        <v>118.58333333333333</v>
      </c>
      <c r="AD256" s="110">
        <f t="shared" si="150"/>
        <v>118</v>
      </c>
      <c r="AE256" s="110">
        <f t="shared" si="151"/>
        <v>-8.3333333333333329E-2</v>
      </c>
      <c r="AF256" s="110">
        <f t="shared" si="165"/>
        <v>0</v>
      </c>
      <c r="AG256" s="107"/>
      <c r="AH256" s="107"/>
      <c r="AI256" s="107"/>
    </row>
    <row r="257" spans="2:35">
      <c r="B257" s="104" t="s">
        <v>808</v>
      </c>
      <c r="C257" s="210">
        <v>2008</v>
      </c>
      <c r="D257" s="104">
        <f t="shared" si="153"/>
        <v>108</v>
      </c>
      <c r="E257" s="104">
        <v>8</v>
      </c>
      <c r="F257" s="113">
        <v>0</v>
      </c>
      <c r="G257" s="112" t="s">
        <v>214</v>
      </c>
      <c r="H257" s="104">
        <v>10</v>
      </c>
      <c r="I257" s="104">
        <f t="shared" si="136"/>
        <v>118</v>
      </c>
      <c r="L257" s="110">
        <v>700</v>
      </c>
      <c r="M257" s="119">
        <v>0</v>
      </c>
      <c r="N257" s="110">
        <f t="shared" si="154"/>
        <v>700</v>
      </c>
      <c r="O257" s="110">
        <f t="shared" si="155"/>
        <v>5.833333333333333</v>
      </c>
      <c r="P257" s="110">
        <f t="shared" si="156"/>
        <v>40.833333333333002</v>
      </c>
      <c r="Q257" s="110">
        <f t="shared" si="157"/>
        <v>0</v>
      </c>
      <c r="R257" s="110">
        <f t="shared" si="158"/>
        <v>40.833333333333002</v>
      </c>
      <c r="S257" s="111">
        <v>1</v>
      </c>
      <c r="T257" s="110">
        <f t="shared" si="159"/>
        <v>40.833333333333002</v>
      </c>
      <c r="U257" s="110">
        <f t="shared" si="160"/>
        <v>659.16666666666697</v>
      </c>
      <c r="V257" s="110">
        <f t="shared" si="161"/>
        <v>659.16666666666697</v>
      </c>
      <c r="W257" s="111">
        <v>1</v>
      </c>
      <c r="X257" s="110">
        <f t="shared" si="162"/>
        <v>659.16666666666697</v>
      </c>
      <c r="Y257" s="110">
        <f t="shared" si="163"/>
        <v>700</v>
      </c>
      <c r="Z257" s="110">
        <f t="shared" si="164"/>
        <v>20.416666666666515</v>
      </c>
      <c r="AA257" s="110">
        <f t="shared" si="147"/>
        <v>108.58333333333333</v>
      </c>
      <c r="AB257" s="110">
        <f t="shared" si="148"/>
        <v>119</v>
      </c>
      <c r="AC257" s="110">
        <f t="shared" si="149"/>
        <v>118.58333333333333</v>
      </c>
      <c r="AD257" s="110">
        <f t="shared" si="150"/>
        <v>118</v>
      </c>
      <c r="AE257" s="110">
        <f t="shared" si="151"/>
        <v>-8.3333333333333329E-2</v>
      </c>
      <c r="AF257" s="110">
        <f t="shared" si="165"/>
        <v>0</v>
      </c>
      <c r="AG257" s="107"/>
      <c r="AH257" s="107"/>
      <c r="AI257" s="107"/>
    </row>
    <row r="258" spans="2:35">
      <c r="B258" s="104" t="s">
        <v>807</v>
      </c>
      <c r="C258" s="210">
        <v>2008</v>
      </c>
      <c r="D258" s="104">
        <f t="shared" si="153"/>
        <v>108</v>
      </c>
      <c r="E258" s="104">
        <v>8</v>
      </c>
      <c r="F258" s="113">
        <v>0</v>
      </c>
      <c r="G258" s="112" t="s">
        <v>214</v>
      </c>
      <c r="H258" s="104">
        <v>10</v>
      </c>
      <c r="I258" s="104">
        <f t="shared" si="136"/>
        <v>118</v>
      </c>
      <c r="L258" s="110">
        <v>1139</v>
      </c>
      <c r="M258" s="119">
        <v>0</v>
      </c>
      <c r="N258" s="110">
        <f t="shared" si="154"/>
        <v>1139</v>
      </c>
      <c r="O258" s="110">
        <f t="shared" si="155"/>
        <v>9.4916666666666671</v>
      </c>
      <c r="P258" s="110">
        <f t="shared" si="156"/>
        <v>66.441666666666137</v>
      </c>
      <c r="Q258" s="110">
        <f t="shared" si="157"/>
        <v>0</v>
      </c>
      <c r="R258" s="110">
        <f t="shared" si="158"/>
        <v>66.441666666666137</v>
      </c>
      <c r="S258" s="111">
        <v>1</v>
      </c>
      <c r="T258" s="110">
        <f t="shared" si="159"/>
        <v>66.441666666666137</v>
      </c>
      <c r="U258" s="110">
        <f t="shared" si="160"/>
        <v>1072.5583333333338</v>
      </c>
      <c r="V258" s="110">
        <f t="shared" si="161"/>
        <v>1072.5583333333338</v>
      </c>
      <c r="W258" s="111">
        <v>1</v>
      </c>
      <c r="X258" s="110">
        <f t="shared" si="162"/>
        <v>1072.5583333333338</v>
      </c>
      <c r="Y258" s="110">
        <f t="shared" si="163"/>
        <v>1139</v>
      </c>
      <c r="Z258" s="110">
        <f t="shared" si="164"/>
        <v>33.220833333333076</v>
      </c>
      <c r="AA258" s="110">
        <f t="shared" si="147"/>
        <v>108.58333333333333</v>
      </c>
      <c r="AB258" s="110">
        <f t="shared" si="148"/>
        <v>119</v>
      </c>
      <c r="AC258" s="110">
        <f t="shared" si="149"/>
        <v>118.58333333333333</v>
      </c>
      <c r="AD258" s="110">
        <f t="shared" si="150"/>
        <v>118</v>
      </c>
      <c r="AE258" s="110">
        <f t="shared" si="151"/>
        <v>-8.3333333333333329E-2</v>
      </c>
      <c r="AF258" s="110">
        <f t="shared" si="165"/>
        <v>0</v>
      </c>
      <c r="AG258" s="107"/>
      <c r="AH258" s="107"/>
      <c r="AI258" s="107"/>
    </row>
    <row r="259" spans="2:35">
      <c r="B259" s="104" t="s">
        <v>809</v>
      </c>
      <c r="C259" s="210">
        <v>2009</v>
      </c>
      <c r="D259" s="104">
        <f t="shared" si="153"/>
        <v>109</v>
      </c>
      <c r="E259" s="104">
        <v>4</v>
      </c>
      <c r="F259" s="113">
        <v>0</v>
      </c>
      <c r="G259" s="112" t="s">
        <v>214</v>
      </c>
      <c r="H259" s="104">
        <v>10</v>
      </c>
      <c r="I259" s="104">
        <f t="shared" si="136"/>
        <v>119</v>
      </c>
      <c r="L259" s="110">
        <v>14572</v>
      </c>
      <c r="M259" s="119">
        <v>0</v>
      </c>
      <c r="N259" s="110">
        <f t="shared" si="154"/>
        <v>14572</v>
      </c>
      <c r="O259" s="110">
        <f t="shared" si="155"/>
        <v>121.43333333333334</v>
      </c>
      <c r="P259" s="110">
        <f t="shared" si="156"/>
        <v>1457.2</v>
      </c>
      <c r="Q259" s="110">
        <f t="shared" si="157"/>
        <v>0</v>
      </c>
      <c r="R259" s="110">
        <f t="shared" si="158"/>
        <v>1457.2</v>
      </c>
      <c r="S259" s="111">
        <v>1</v>
      </c>
      <c r="T259" s="110">
        <f t="shared" si="159"/>
        <v>1457.2</v>
      </c>
      <c r="U259" s="110">
        <f t="shared" si="160"/>
        <v>12750.5</v>
      </c>
      <c r="V259" s="110">
        <f t="shared" si="161"/>
        <v>12750.5</v>
      </c>
      <c r="W259" s="111">
        <v>1</v>
      </c>
      <c r="X259" s="110">
        <f t="shared" si="162"/>
        <v>12750.5</v>
      </c>
      <c r="Y259" s="110">
        <f t="shared" si="163"/>
        <v>14207.7</v>
      </c>
      <c r="Z259" s="110">
        <f t="shared" si="164"/>
        <v>1092.8999999999996</v>
      </c>
      <c r="AA259" s="110">
        <f t="shared" si="147"/>
        <v>109.25</v>
      </c>
      <c r="AB259" s="110">
        <f t="shared" si="148"/>
        <v>119</v>
      </c>
      <c r="AC259" s="110">
        <f t="shared" si="149"/>
        <v>119.25</v>
      </c>
      <c r="AD259" s="110">
        <f t="shared" si="150"/>
        <v>118</v>
      </c>
      <c r="AE259" s="110">
        <f t="shared" si="151"/>
        <v>-8.3333333333333329E-2</v>
      </c>
      <c r="AF259" s="110">
        <f t="shared" si="165"/>
        <v>0</v>
      </c>
      <c r="AG259" s="107"/>
      <c r="AH259" s="107"/>
      <c r="AI259" s="107"/>
    </row>
    <row r="260" spans="2:35">
      <c r="B260" s="104" t="s">
        <v>810</v>
      </c>
      <c r="C260" s="210">
        <v>2009</v>
      </c>
      <c r="D260" s="104">
        <f t="shared" si="153"/>
        <v>109</v>
      </c>
      <c r="E260" s="104">
        <v>4</v>
      </c>
      <c r="F260" s="113">
        <v>0</v>
      </c>
      <c r="G260" s="112" t="s">
        <v>214</v>
      </c>
      <c r="H260" s="104">
        <v>10</v>
      </c>
      <c r="I260" s="104">
        <f t="shared" si="136"/>
        <v>119</v>
      </c>
      <c r="L260" s="110">
        <v>3160</v>
      </c>
      <c r="M260" s="119">
        <v>0</v>
      </c>
      <c r="N260" s="110">
        <f t="shared" si="154"/>
        <v>3160</v>
      </c>
      <c r="O260" s="110">
        <f t="shared" si="155"/>
        <v>26.333333333333332</v>
      </c>
      <c r="P260" s="110">
        <f t="shared" si="156"/>
        <v>316</v>
      </c>
      <c r="Q260" s="110">
        <f t="shared" si="157"/>
        <v>0</v>
      </c>
      <c r="R260" s="110">
        <f t="shared" si="158"/>
        <v>316</v>
      </c>
      <c r="S260" s="111">
        <v>1</v>
      </c>
      <c r="T260" s="110">
        <f t="shared" si="159"/>
        <v>316</v>
      </c>
      <c r="U260" s="110">
        <f t="shared" si="160"/>
        <v>2765</v>
      </c>
      <c r="V260" s="110">
        <f t="shared" si="161"/>
        <v>2765</v>
      </c>
      <c r="W260" s="111">
        <v>1</v>
      </c>
      <c r="X260" s="110">
        <f t="shared" si="162"/>
        <v>2765</v>
      </c>
      <c r="Y260" s="110">
        <f t="shared" si="163"/>
        <v>3081</v>
      </c>
      <c r="Z260" s="110">
        <f t="shared" si="164"/>
        <v>237</v>
      </c>
      <c r="AA260" s="110">
        <f t="shared" si="147"/>
        <v>109.25</v>
      </c>
      <c r="AB260" s="110">
        <f t="shared" si="148"/>
        <v>119</v>
      </c>
      <c r="AC260" s="110">
        <f t="shared" si="149"/>
        <v>119.25</v>
      </c>
      <c r="AD260" s="110">
        <f t="shared" si="150"/>
        <v>118</v>
      </c>
      <c r="AE260" s="110">
        <f t="shared" si="151"/>
        <v>-8.3333333333333329E-2</v>
      </c>
      <c r="AF260" s="110">
        <f t="shared" si="165"/>
        <v>0</v>
      </c>
      <c r="AG260" s="107"/>
      <c r="AH260" s="107"/>
      <c r="AI260" s="107"/>
    </row>
    <row r="261" spans="2:35">
      <c r="B261" s="104" t="s">
        <v>811</v>
      </c>
      <c r="C261" s="210">
        <v>2009</v>
      </c>
      <c r="D261" s="104">
        <f t="shared" si="153"/>
        <v>109</v>
      </c>
      <c r="E261" s="104">
        <v>4</v>
      </c>
      <c r="F261" s="113">
        <v>0</v>
      </c>
      <c r="G261" s="112" t="s">
        <v>214</v>
      </c>
      <c r="H261" s="104">
        <v>10</v>
      </c>
      <c r="I261" s="104">
        <f t="shared" si="136"/>
        <v>119</v>
      </c>
      <c r="L261" s="110">
        <v>1593</v>
      </c>
      <c r="M261" s="119">
        <v>0</v>
      </c>
      <c r="N261" s="110">
        <f t="shared" si="154"/>
        <v>1593</v>
      </c>
      <c r="O261" s="110">
        <f t="shared" si="155"/>
        <v>13.275</v>
      </c>
      <c r="P261" s="110">
        <f t="shared" si="156"/>
        <v>159.30000000000001</v>
      </c>
      <c r="Q261" s="110">
        <f t="shared" si="157"/>
        <v>0</v>
      </c>
      <c r="R261" s="110">
        <f t="shared" si="158"/>
        <v>159.30000000000001</v>
      </c>
      <c r="S261" s="111">
        <v>1</v>
      </c>
      <c r="T261" s="110">
        <f t="shared" si="159"/>
        <v>159.30000000000001</v>
      </c>
      <c r="U261" s="110">
        <f t="shared" si="160"/>
        <v>1393.875</v>
      </c>
      <c r="V261" s="110">
        <f t="shared" si="161"/>
        <v>1393.875</v>
      </c>
      <c r="W261" s="111">
        <v>1</v>
      </c>
      <c r="X261" s="110">
        <f t="shared" si="162"/>
        <v>1393.875</v>
      </c>
      <c r="Y261" s="110">
        <f t="shared" si="163"/>
        <v>1553.175</v>
      </c>
      <c r="Z261" s="110">
        <f t="shared" si="164"/>
        <v>119.47500000000002</v>
      </c>
      <c r="AA261" s="110">
        <f t="shared" si="147"/>
        <v>109.25</v>
      </c>
      <c r="AB261" s="110">
        <f t="shared" si="148"/>
        <v>119</v>
      </c>
      <c r="AC261" s="110">
        <f t="shared" si="149"/>
        <v>119.25</v>
      </c>
      <c r="AD261" s="110">
        <f t="shared" si="150"/>
        <v>118</v>
      </c>
      <c r="AE261" s="110">
        <f t="shared" si="151"/>
        <v>-8.3333333333333329E-2</v>
      </c>
      <c r="AF261" s="110">
        <f t="shared" si="165"/>
        <v>-1.1368683772161603E-13</v>
      </c>
      <c r="AG261" s="107"/>
      <c r="AH261" s="107"/>
      <c r="AI261" s="107"/>
    </row>
    <row r="262" spans="2:35">
      <c r="B262" s="104" t="s">
        <v>812</v>
      </c>
      <c r="C262" s="210">
        <v>2009</v>
      </c>
      <c r="D262" s="104">
        <f t="shared" si="153"/>
        <v>109</v>
      </c>
      <c r="E262" s="104">
        <v>4</v>
      </c>
      <c r="F262" s="113">
        <v>0</v>
      </c>
      <c r="G262" s="112" t="s">
        <v>214</v>
      </c>
      <c r="H262" s="104">
        <v>10</v>
      </c>
      <c r="I262" s="104">
        <f t="shared" si="136"/>
        <v>119</v>
      </c>
      <c r="L262" s="110">
        <v>650</v>
      </c>
      <c r="M262" s="119">
        <v>0</v>
      </c>
      <c r="N262" s="110">
        <f t="shared" si="154"/>
        <v>650</v>
      </c>
      <c r="O262" s="110">
        <f t="shared" si="155"/>
        <v>5.416666666666667</v>
      </c>
      <c r="P262" s="110">
        <f t="shared" si="156"/>
        <v>65</v>
      </c>
      <c r="Q262" s="110">
        <f t="shared" si="157"/>
        <v>0</v>
      </c>
      <c r="R262" s="110">
        <f t="shared" si="158"/>
        <v>65</v>
      </c>
      <c r="S262" s="111">
        <v>1</v>
      </c>
      <c r="T262" s="110">
        <f t="shared" si="159"/>
        <v>65</v>
      </c>
      <c r="U262" s="110">
        <f t="shared" si="160"/>
        <v>568.75</v>
      </c>
      <c r="V262" s="110">
        <f t="shared" si="161"/>
        <v>568.75</v>
      </c>
      <c r="W262" s="111">
        <v>1</v>
      </c>
      <c r="X262" s="110">
        <f t="shared" si="162"/>
        <v>568.75</v>
      </c>
      <c r="Y262" s="110">
        <f t="shared" si="163"/>
        <v>633.75</v>
      </c>
      <c r="Z262" s="110">
        <f t="shared" si="164"/>
        <v>48.75</v>
      </c>
      <c r="AA262" s="110">
        <f t="shared" si="147"/>
        <v>109.25</v>
      </c>
      <c r="AB262" s="110">
        <f t="shared" si="148"/>
        <v>119</v>
      </c>
      <c r="AC262" s="110">
        <f t="shared" si="149"/>
        <v>119.25</v>
      </c>
      <c r="AD262" s="110">
        <f t="shared" si="150"/>
        <v>118</v>
      </c>
      <c r="AE262" s="110">
        <f t="shared" si="151"/>
        <v>-8.3333333333333329E-2</v>
      </c>
      <c r="AF262" s="110">
        <f t="shared" si="165"/>
        <v>0</v>
      </c>
      <c r="AG262" s="107"/>
      <c r="AH262" s="107"/>
      <c r="AI262" s="107"/>
    </row>
    <row r="263" spans="2:35">
      <c r="B263" s="104" t="s">
        <v>813</v>
      </c>
      <c r="C263" s="210">
        <v>2009</v>
      </c>
      <c r="D263" s="104">
        <f t="shared" si="153"/>
        <v>109</v>
      </c>
      <c r="E263" s="104">
        <v>5</v>
      </c>
      <c r="F263" s="113">
        <v>0</v>
      </c>
      <c r="G263" s="112" t="s">
        <v>214</v>
      </c>
      <c r="H263" s="104">
        <v>10</v>
      </c>
      <c r="I263" s="104">
        <f t="shared" si="136"/>
        <v>119</v>
      </c>
      <c r="L263" s="110">
        <v>3860</v>
      </c>
      <c r="M263" s="119">
        <v>0</v>
      </c>
      <c r="N263" s="110">
        <f t="shared" si="154"/>
        <v>3860</v>
      </c>
      <c r="O263" s="110">
        <f t="shared" si="155"/>
        <v>32.166666666666664</v>
      </c>
      <c r="P263" s="110">
        <f t="shared" si="156"/>
        <v>386</v>
      </c>
      <c r="Q263" s="110">
        <f t="shared" si="157"/>
        <v>0</v>
      </c>
      <c r="R263" s="110">
        <f t="shared" si="158"/>
        <v>386</v>
      </c>
      <c r="S263" s="111">
        <v>1</v>
      </c>
      <c r="T263" s="110">
        <f t="shared" si="159"/>
        <v>386</v>
      </c>
      <c r="U263" s="110">
        <f t="shared" si="160"/>
        <v>3345.3333333333348</v>
      </c>
      <c r="V263" s="110">
        <f t="shared" si="161"/>
        <v>3345.3333333333348</v>
      </c>
      <c r="W263" s="111">
        <v>1</v>
      </c>
      <c r="X263" s="110">
        <f t="shared" si="162"/>
        <v>3345.3333333333348</v>
      </c>
      <c r="Y263" s="110">
        <f t="shared" si="163"/>
        <v>3731.3333333333348</v>
      </c>
      <c r="Z263" s="110">
        <f t="shared" si="164"/>
        <v>321.66666666666515</v>
      </c>
      <c r="AA263" s="110">
        <f t="shared" si="147"/>
        <v>109.33333333333333</v>
      </c>
      <c r="AB263" s="110">
        <f t="shared" si="148"/>
        <v>119</v>
      </c>
      <c r="AC263" s="110">
        <f t="shared" si="149"/>
        <v>119.33333333333333</v>
      </c>
      <c r="AD263" s="110">
        <f t="shared" si="150"/>
        <v>118</v>
      </c>
      <c r="AE263" s="110">
        <f t="shared" si="151"/>
        <v>-8.3333333333333329E-2</v>
      </c>
      <c r="AF263" s="110">
        <f t="shared" si="165"/>
        <v>0</v>
      </c>
      <c r="AG263" s="107"/>
      <c r="AH263" s="107"/>
      <c r="AI263" s="107"/>
    </row>
    <row r="264" spans="2:35">
      <c r="B264" s="104" t="s">
        <v>821</v>
      </c>
      <c r="C264" s="210">
        <v>2009</v>
      </c>
      <c r="D264" s="104">
        <f t="shared" si="153"/>
        <v>109</v>
      </c>
      <c r="E264" s="104">
        <v>5</v>
      </c>
      <c r="F264" s="113">
        <v>0</v>
      </c>
      <c r="G264" s="112" t="s">
        <v>214</v>
      </c>
      <c r="H264" s="104">
        <v>10</v>
      </c>
      <c r="I264" s="104">
        <f t="shared" si="136"/>
        <v>119</v>
      </c>
      <c r="L264" s="110">
        <v>4550</v>
      </c>
      <c r="M264" s="119">
        <v>0</v>
      </c>
      <c r="N264" s="110">
        <f t="shared" si="154"/>
        <v>4550</v>
      </c>
      <c r="O264" s="110">
        <f t="shared" si="155"/>
        <v>37.916666666666664</v>
      </c>
      <c r="P264" s="110">
        <f t="shared" si="156"/>
        <v>455</v>
      </c>
      <c r="Q264" s="110">
        <f t="shared" si="157"/>
        <v>0</v>
      </c>
      <c r="R264" s="110">
        <f t="shared" si="158"/>
        <v>455</v>
      </c>
      <c r="S264" s="111">
        <v>1</v>
      </c>
      <c r="T264" s="110">
        <f t="shared" si="159"/>
        <v>455</v>
      </c>
      <c r="U264" s="110">
        <f t="shared" si="160"/>
        <v>3943.3333333333353</v>
      </c>
      <c r="V264" s="110">
        <f t="shared" si="161"/>
        <v>3943.3333333333353</v>
      </c>
      <c r="W264" s="111">
        <v>1</v>
      </c>
      <c r="X264" s="110">
        <f t="shared" si="162"/>
        <v>3943.3333333333353</v>
      </c>
      <c r="Y264" s="110">
        <f t="shared" si="163"/>
        <v>4398.3333333333358</v>
      </c>
      <c r="Z264" s="110">
        <f t="shared" si="164"/>
        <v>379.16666666666447</v>
      </c>
      <c r="AA264" s="110">
        <f t="shared" si="147"/>
        <v>109.33333333333333</v>
      </c>
      <c r="AB264" s="110">
        <f t="shared" si="148"/>
        <v>119</v>
      </c>
      <c r="AC264" s="110">
        <f t="shared" si="149"/>
        <v>119.33333333333333</v>
      </c>
      <c r="AD264" s="110">
        <f t="shared" si="150"/>
        <v>118</v>
      </c>
      <c r="AE264" s="110">
        <f t="shared" si="151"/>
        <v>-8.3333333333333329E-2</v>
      </c>
      <c r="AF264" s="110">
        <f t="shared" si="165"/>
        <v>0</v>
      </c>
      <c r="AG264" s="107"/>
      <c r="AH264" s="107"/>
      <c r="AI264" s="107"/>
    </row>
    <row r="265" spans="2:35">
      <c r="B265" s="104" t="s">
        <v>822</v>
      </c>
      <c r="C265" s="210">
        <v>2009</v>
      </c>
      <c r="D265" s="104">
        <f t="shared" si="153"/>
        <v>109</v>
      </c>
      <c r="E265" s="104">
        <v>5</v>
      </c>
      <c r="F265" s="113">
        <v>0</v>
      </c>
      <c r="G265" s="112" t="s">
        <v>214</v>
      </c>
      <c r="H265" s="104">
        <v>10</v>
      </c>
      <c r="I265" s="104">
        <f t="shared" si="136"/>
        <v>119</v>
      </c>
      <c r="L265" s="110">
        <v>12451</v>
      </c>
      <c r="M265" s="119">
        <v>0</v>
      </c>
      <c r="N265" s="110">
        <f t="shared" si="154"/>
        <v>12451</v>
      </c>
      <c r="O265" s="110">
        <f t="shared" si="155"/>
        <v>103.75833333333333</v>
      </c>
      <c r="P265" s="110">
        <f t="shared" si="156"/>
        <v>1245.0999999999999</v>
      </c>
      <c r="Q265" s="110">
        <f t="shared" si="157"/>
        <v>0</v>
      </c>
      <c r="R265" s="110">
        <f t="shared" si="158"/>
        <v>1245.0999999999999</v>
      </c>
      <c r="S265" s="111">
        <v>1</v>
      </c>
      <c r="T265" s="110">
        <f t="shared" si="159"/>
        <v>1245.0999999999999</v>
      </c>
      <c r="U265" s="110">
        <f t="shared" si="160"/>
        <v>10790.866666666672</v>
      </c>
      <c r="V265" s="110">
        <f t="shared" si="161"/>
        <v>10790.866666666672</v>
      </c>
      <c r="W265" s="111">
        <v>1</v>
      </c>
      <c r="X265" s="110">
        <f t="shared" si="162"/>
        <v>10790.866666666672</v>
      </c>
      <c r="Y265" s="110">
        <f t="shared" si="163"/>
        <v>12035.966666666673</v>
      </c>
      <c r="Z265" s="110">
        <f t="shared" si="164"/>
        <v>1037.5833333333276</v>
      </c>
      <c r="AA265" s="110">
        <f t="shared" si="147"/>
        <v>109.33333333333333</v>
      </c>
      <c r="AB265" s="110">
        <f t="shared" si="148"/>
        <v>119</v>
      </c>
      <c r="AC265" s="110">
        <f t="shared" si="149"/>
        <v>119.33333333333333</v>
      </c>
      <c r="AD265" s="110">
        <f t="shared" si="150"/>
        <v>118</v>
      </c>
      <c r="AE265" s="110">
        <f t="shared" si="151"/>
        <v>-8.3333333333333329E-2</v>
      </c>
      <c r="AF265" s="110">
        <f t="shared" si="165"/>
        <v>0</v>
      </c>
      <c r="AG265" s="107"/>
      <c r="AH265" s="107"/>
      <c r="AI265" s="107"/>
    </row>
    <row r="266" spans="2:35">
      <c r="B266" s="104" t="s">
        <v>814</v>
      </c>
      <c r="C266" s="210">
        <v>2009</v>
      </c>
      <c r="D266" s="104">
        <f t="shared" si="153"/>
        <v>109</v>
      </c>
      <c r="E266" s="104">
        <v>5</v>
      </c>
      <c r="F266" s="113">
        <v>0</v>
      </c>
      <c r="G266" s="112" t="s">
        <v>214</v>
      </c>
      <c r="H266" s="104">
        <v>10</v>
      </c>
      <c r="I266" s="104">
        <f t="shared" si="136"/>
        <v>119</v>
      </c>
      <c r="L266" s="110">
        <v>3471</v>
      </c>
      <c r="M266" s="119">
        <v>0</v>
      </c>
      <c r="N266" s="110">
        <f t="shared" si="154"/>
        <v>3471</v>
      </c>
      <c r="O266" s="110">
        <f t="shared" si="155"/>
        <v>28.925000000000001</v>
      </c>
      <c r="P266" s="110">
        <f t="shared" si="156"/>
        <v>347.1</v>
      </c>
      <c r="Q266" s="110">
        <f t="shared" si="157"/>
        <v>0</v>
      </c>
      <c r="R266" s="110">
        <f t="shared" si="158"/>
        <v>347.1</v>
      </c>
      <c r="S266" s="111">
        <v>1</v>
      </c>
      <c r="T266" s="110">
        <f t="shared" si="159"/>
        <v>347.1</v>
      </c>
      <c r="U266" s="110">
        <f t="shared" si="160"/>
        <v>3008.2000000000016</v>
      </c>
      <c r="V266" s="110">
        <f t="shared" si="161"/>
        <v>3008.2000000000016</v>
      </c>
      <c r="W266" s="111">
        <v>1</v>
      </c>
      <c r="X266" s="110">
        <f t="shared" si="162"/>
        <v>3008.2000000000016</v>
      </c>
      <c r="Y266" s="110">
        <f t="shared" si="163"/>
        <v>3355.3000000000015</v>
      </c>
      <c r="Z266" s="110">
        <f t="shared" si="164"/>
        <v>289.24999999999841</v>
      </c>
      <c r="AA266" s="110">
        <f t="shared" si="147"/>
        <v>109.33333333333333</v>
      </c>
      <c r="AB266" s="110">
        <f t="shared" si="148"/>
        <v>119</v>
      </c>
      <c r="AC266" s="110">
        <f t="shared" si="149"/>
        <v>119.33333333333333</v>
      </c>
      <c r="AD266" s="110">
        <f t="shared" si="150"/>
        <v>118</v>
      </c>
      <c r="AE266" s="110">
        <f t="shared" si="151"/>
        <v>-8.3333333333333329E-2</v>
      </c>
      <c r="AF266" s="110">
        <f t="shared" si="165"/>
        <v>0</v>
      </c>
      <c r="AG266" s="107"/>
      <c r="AH266" s="107"/>
      <c r="AI266" s="107"/>
    </row>
    <row r="267" spans="2:35">
      <c r="B267" s="104" t="s">
        <v>815</v>
      </c>
      <c r="C267" s="210">
        <v>2010</v>
      </c>
      <c r="D267" s="104">
        <f t="shared" si="153"/>
        <v>110</v>
      </c>
      <c r="E267" s="104">
        <v>6</v>
      </c>
      <c r="F267" s="113">
        <v>0</v>
      </c>
      <c r="G267" s="112" t="s">
        <v>214</v>
      </c>
      <c r="H267" s="104">
        <v>3</v>
      </c>
      <c r="I267" s="104">
        <f t="shared" si="136"/>
        <v>113</v>
      </c>
      <c r="L267" s="110">
        <v>28499</v>
      </c>
      <c r="M267" s="119">
        <v>0</v>
      </c>
      <c r="N267" s="110">
        <f t="shared" si="154"/>
        <v>28499</v>
      </c>
      <c r="O267" s="110">
        <f t="shared" si="155"/>
        <v>791.6388888888888</v>
      </c>
      <c r="P267" s="110">
        <f t="shared" si="156"/>
        <v>0</v>
      </c>
      <c r="Q267" s="110">
        <f t="shared" si="157"/>
        <v>0</v>
      </c>
      <c r="R267" s="110">
        <f t="shared" si="158"/>
        <v>0</v>
      </c>
      <c r="S267" s="111">
        <v>1</v>
      </c>
      <c r="T267" s="110">
        <f t="shared" si="159"/>
        <v>0</v>
      </c>
      <c r="U267" s="110">
        <f t="shared" si="160"/>
        <v>28499</v>
      </c>
      <c r="V267" s="110">
        <f t="shared" si="161"/>
        <v>28499</v>
      </c>
      <c r="W267" s="111">
        <v>1</v>
      </c>
      <c r="X267" s="110">
        <f t="shared" si="162"/>
        <v>28499</v>
      </c>
      <c r="Y267" s="110">
        <f t="shared" si="163"/>
        <v>28499</v>
      </c>
      <c r="Z267" s="110">
        <f t="shared" si="164"/>
        <v>0</v>
      </c>
      <c r="AA267" s="110">
        <f t="shared" si="147"/>
        <v>110.41666666666667</v>
      </c>
      <c r="AB267" s="110">
        <f t="shared" si="148"/>
        <v>119</v>
      </c>
      <c r="AC267" s="110">
        <f t="shared" si="149"/>
        <v>113.41666666666667</v>
      </c>
      <c r="AD267" s="110">
        <f t="shared" si="150"/>
        <v>118</v>
      </c>
      <c r="AE267" s="110">
        <f t="shared" si="151"/>
        <v>-8.3333333333333329E-2</v>
      </c>
      <c r="AF267" s="110">
        <f t="shared" si="165"/>
        <v>0</v>
      </c>
      <c r="AG267" s="107"/>
      <c r="AH267" s="107"/>
      <c r="AI267" s="107"/>
    </row>
    <row r="268" spans="2:35">
      <c r="B268" s="104" t="s">
        <v>816</v>
      </c>
      <c r="C268" s="210">
        <v>2011</v>
      </c>
      <c r="D268" s="104">
        <f t="shared" si="153"/>
        <v>111</v>
      </c>
      <c r="E268" s="104">
        <v>1</v>
      </c>
      <c r="F268" s="113">
        <v>0</v>
      </c>
      <c r="G268" s="112" t="s">
        <v>214</v>
      </c>
      <c r="H268" s="104">
        <v>5</v>
      </c>
      <c r="I268" s="104">
        <f t="shared" si="136"/>
        <v>116</v>
      </c>
      <c r="L268" s="110">
        <v>2723</v>
      </c>
      <c r="M268" s="119">
        <v>0</v>
      </c>
      <c r="N268" s="110">
        <f t="shared" si="154"/>
        <v>2723</v>
      </c>
      <c r="O268" s="110">
        <f t="shared" si="155"/>
        <v>45.383333333333333</v>
      </c>
      <c r="P268" s="110">
        <f t="shared" si="156"/>
        <v>0</v>
      </c>
      <c r="Q268" s="110">
        <f t="shared" si="157"/>
        <v>0</v>
      </c>
      <c r="R268" s="110">
        <f t="shared" si="158"/>
        <v>0</v>
      </c>
      <c r="S268" s="111">
        <v>1</v>
      </c>
      <c r="T268" s="110">
        <f t="shared" si="159"/>
        <v>0</v>
      </c>
      <c r="U268" s="110">
        <f t="shared" si="160"/>
        <v>2723</v>
      </c>
      <c r="V268" s="110">
        <f t="shared" si="161"/>
        <v>2723</v>
      </c>
      <c r="W268" s="111">
        <v>1</v>
      </c>
      <c r="X268" s="110">
        <f t="shared" si="162"/>
        <v>2723</v>
      </c>
      <c r="Y268" s="110">
        <f t="shared" si="163"/>
        <v>2723</v>
      </c>
      <c r="Z268" s="110">
        <f t="shared" si="164"/>
        <v>0</v>
      </c>
      <c r="AA268" s="110">
        <f t="shared" si="147"/>
        <v>111</v>
      </c>
      <c r="AB268" s="110">
        <f t="shared" si="148"/>
        <v>119</v>
      </c>
      <c r="AC268" s="110">
        <f t="shared" si="149"/>
        <v>116</v>
      </c>
      <c r="AD268" s="110">
        <f t="shared" si="150"/>
        <v>118</v>
      </c>
      <c r="AE268" s="110">
        <f t="shared" si="151"/>
        <v>-8.3333333333333329E-2</v>
      </c>
      <c r="AF268" s="110">
        <f t="shared" si="165"/>
        <v>0</v>
      </c>
      <c r="AG268" s="107"/>
      <c r="AH268" s="107"/>
      <c r="AI268" s="107"/>
    </row>
    <row r="269" spans="2:35">
      <c r="B269" s="104" t="s">
        <v>135</v>
      </c>
      <c r="C269" s="210">
        <v>2011</v>
      </c>
      <c r="D269" s="104">
        <f t="shared" si="153"/>
        <v>111</v>
      </c>
      <c r="E269" s="104">
        <v>8</v>
      </c>
      <c r="F269" s="113">
        <v>0</v>
      </c>
      <c r="G269" s="112" t="s">
        <v>214</v>
      </c>
      <c r="H269" s="104">
        <v>10</v>
      </c>
      <c r="I269" s="104">
        <f t="shared" si="136"/>
        <v>121</v>
      </c>
      <c r="L269" s="110">
        <v>15459</v>
      </c>
      <c r="M269" s="119">
        <v>0</v>
      </c>
      <c r="N269" s="110">
        <f t="shared" si="154"/>
        <v>15459</v>
      </c>
      <c r="O269" s="110">
        <f t="shared" si="155"/>
        <v>128.82500000000002</v>
      </c>
      <c r="P269" s="110">
        <f t="shared" si="156"/>
        <v>1545.9</v>
      </c>
      <c r="Q269" s="110">
        <f t="shared" si="157"/>
        <v>0</v>
      </c>
      <c r="R269" s="110">
        <f t="shared" si="158"/>
        <v>1545.9</v>
      </c>
      <c r="S269" s="111">
        <v>1</v>
      </c>
      <c r="T269" s="110">
        <f t="shared" si="159"/>
        <v>1545.9</v>
      </c>
      <c r="U269" s="110">
        <f t="shared" si="160"/>
        <v>9919.5250000000087</v>
      </c>
      <c r="V269" s="110">
        <f t="shared" si="161"/>
        <v>9919.5250000000087</v>
      </c>
      <c r="W269" s="111">
        <v>1</v>
      </c>
      <c r="X269" s="110">
        <f t="shared" si="162"/>
        <v>9919.5250000000087</v>
      </c>
      <c r="Y269" s="110">
        <f t="shared" si="163"/>
        <v>11465.425000000008</v>
      </c>
      <c r="Z269" s="110">
        <f t="shared" si="164"/>
        <v>4766.5249999999915</v>
      </c>
      <c r="AA269" s="110">
        <f t="shared" si="147"/>
        <v>111.58333333333333</v>
      </c>
      <c r="AB269" s="110">
        <f t="shared" si="148"/>
        <v>119</v>
      </c>
      <c r="AC269" s="110">
        <f t="shared" si="149"/>
        <v>121.58333333333333</v>
      </c>
      <c r="AD269" s="110">
        <f t="shared" si="150"/>
        <v>118</v>
      </c>
      <c r="AE269" s="110">
        <f t="shared" si="151"/>
        <v>-8.3333333333333329E-2</v>
      </c>
      <c r="AF269" s="110">
        <f t="shared" si="165"/>
        <v>0</v>
      </c>
      <c r="AG269" s="107"/>
      <c r="AH269" s="107"/>
      <c r="AI269" s="107"/>
    </row>
    <row r="270" spans="2:35">
      <c r="B270" s="104" t="s">
        <v>817</v>
      </c>
      <c r="C270" s="210">
        <v>2011</v>
      </c>
      <c r="D270" s="104">
        <f t="shared" si="153"/>
        <v>111</v>
      </c>
      <c r="E270" s="104">
        <v>9</v>
      </c>
      <c r="F270" s="113">
        <v>0</v>
      </c>
      <c r="G270" s="112" t="s">
        <v>214</v>
      </c>
      <c r="H270" s="104">
        <v>3</v>
      </c>
      <c r="I270" s="104">
        <f t="shared" si="136"/>
        <v>114</v>
      </c>
      <c r="L270" s="110">
        <v>1140</v>
      </c>
      <c r="M270" s="119">
        <v>0</v>
      </c>
      <c r="N270" s="110">
        <f t="shared" si="154"/>
        <v>1140</v>
      </c>
      <c r="O270" s="110">
        <f t="shared" si="155"/>
        <v>31.666666666666668</v>
      </c>
      <c r="P270" s="110">
        <f t="shared" si="156"/>
        <v>0</v>
      </c>
      <c r="Q270" s="110">
        <f t="shared" si="157"/>
        <v>0</v>
      </c>
      <c r="R270" s="110">
        <f t="shared" si="158"/>
        <v>0</v>
      </c>
      <c r="S270" s="111">
        <v>1</v>
      </c>
      <c r="T270" s="110">
        <f t="shared" si="159"/>
        <v>0</v>
      </c>
      <c r="U270" s="110">
        <f t="shared" si="160"/>
        <v>1140</v>
      </c>
      <c r="V270" s="110">
        <f t="shared" si="161"/>
        <v>1140</v>
      </c>
      <c r="W270" s="111">
        <v>1</v>
      </c>
      <c r="X270" s="110">
        <f t="shared" si="162"/>
        <v>1140</v>
      </c>
      <c r="Y270" s="110">
        <f t="shared" si="163"/>
        <v>1140</v>
      </c>
      <c r="Z270" s="110">
        <f t="shared" si="164"/>
        <v>0</v>
      </c>
      <c r="AA270" s="110">
        <f t="shared" si="147"/>
        <v>111.66666666666667</v>
      </c>
      <c r="AB270" s="110">
        <f t="shared" si="148"/>
        <v>119</v>
      </c>
      <c r="AC270" s="110">
        <f t="shared" si="149"/>
        <v>114.66666666666667</v>
      </c>
      <c r="AD270" s="110">
        <f t="shared" si="150"/>
        <v>118</v>
      </c>
      <c r="AE270" s="110">
        <f t="shared" si="151"/>
        <v>-8.3333333333333329E-2</v>
      </c>
      <c r="AF270" s="110">
        <f t="shared" si="165"/>
        <v>0</v>
      </c>
      <c r="AG270" s="107"/>
      <c r="AH270" s="107"/>
      <c r="AI270" s="107"/>
    </row>
    <row r="271" spans="2:35">
      <c r="B271" s="104" t="s">
        <v>817</v>
      </c>
      <c r="C271" s="210">
        <v>2014</v>
      </c>
      <c r="D271" s="104">
        <f t="shared" ref="D271:D278" si="166">+C271-1900</f>
        <v>114</v>
      </c>
      <c r="E271" s="104">
        <v>12</v>
      </c>
      <c r="F271" s="113">
        <v>0</v>
      </c>
      <c r="G271" s="112" t="s">
        <v>214</v>
      </c>
      <c r="H271" s="104">
        <v>3</v>
      </c>
      <c r="I271" s="104">
        <f t="shared" si="136"/>
        <v>117</v>
      </c>
      <c r="L271" s="110">
        <v>8635</v>
      </c>
      <c r="M271" s="119">
        <v>0</v>
      </c>
      <c r="N271" s="110">
        <f t="shared" ref="N271:N279" si="167">L271-(+L271*F271)</f>
        <v>8635</v>
      </c>
      <c r="O271" s="110">
        <f t="shared" ref="O271:O279" si="168">N271/H271/12</f>
        <v>239.86111111111111</v>
      </c>
      <c r="P271" s="110">
        <f t="shared" ref="P271:P279" si="169">IF(Q271&gt;0,0,IF(OR(AA271&gt;AB271,AC271&lt;AD271),0,IF(AND(AC271&gt;=AD271,AC271&lt;=AB271),O271*((AC271-AD271)*12),IF(AND(AD271&lt;=AA271,AB271&gt;=AA271),((AB271-AA271)*12)*O271,IF(AC271&gt;AB271,12*O271,0)))))</f>
        <v>0</v>
      </c>
      <c r="Q271" s="110">
        <f t="shared" ref="Q271:Q279" si="170">IF(M271=0,0,IF(AND(AE271&gt;=AD271,AE271&lt;=AC271),((AE271-AD271)*12)*O271,0))</f>
        <v>0</v>
      </c>
      <c r="R271" s="110">
        <f t="shared" ref="R271:R279" si="171">IF(Q271&gt;0,Q271,P271)</f>
        <v>0</v>
      </c>
      <c r="S271" s="111">
        <v>1</v>
      </c>
      <c r="T271" s="110">
        <f t="shared" ref="T271:T279" si="172">S271*SUM(P271:Q271)</f>
        <v>0</v>
      </c>
      <c r="U271" s="110">
        <f t="shared" ref="U271:U279" si="173">IF(AA271&gt;AB271,0,IF(AC271&lt;AD271,L271,IF(AND(AC271&gt;=AD271,AC271&lt;=AB271),(L271-R271),IF(AND(AD271&lt;=AA271,AB271&gt;=AA271),0,IF(AC271&gt;AB271,((AD271-AA271)*12)*O271,0)))))</f>
        <v>8635</v>
      </c>
      <c r="V271" s="110">
        <f t="shared" ref="V271:V279" si="174">U271*S271</f>
        <v>8635</v>
      </c>
      <c r="W271" s="111">
        <v>1</v>
      </c>
      <c r="X271" s="110">
        <f t="shared" ref="X271:X279" si="175">V271*W271</f>
        <v>8635</v>
      </c>
      <c r="Y271" s="110">
        <f t="shared" ref="Y271:Y279" si="176">IF(M271&gt;0,0,X271+T271*W271)*W271</f>
        <v>8635</v>
      </c>
      <c r="Z271" s="110">
        <f t="shared" ref="Z271:Z279" si="177">IF(M271&gt;0,(L271-X271)/2,IF(AA271&gt;=AD271,(((L271*S271)*W271)-Y271)/2,((((L271*S271)*W271)-X271)+(((L271*S271)*W271)-Y271))/2))</f>
        <v>0</v>
      </c>
      <c r="AA271" s="110">
        <f t="shared" si="147"/>
        <v>114.91666666666667</v>
      </c>
      <c r="AB271" s="110">
        <f t="shared" si="148"/>
        <v>119</v>
      </c>
      <c r="AC271" s="110">
        <f t="shared" si="149"/>
        <v>117.91666666666667</v>
      </c>
      <c r="AD271" s="110">
        <f t="shared" si="150"/>
        <v>118</v>
      </c>
      <c r="AE271" s="110">
        <f t="shared" si="151"/>
        <v>-8.3333333333333329E-2</v>
      </c>
      <c r="AF271" s="110">
        <f t="shared" ref="AF271:AF279" si="178">L271-((X271+Y271)/2)-Z271</f>
        <v>0</v>
      </c>
      <c r="AG271" s="107"/>
      <c r="AH271" s="107"/>
      <c r="AI271" s="107"/>
    </row>
    <row r="272" spans="2:35">
      <c r="B272" s="104" t="s">
        <v>818</v>
      </c>
      <c r="C272" s="210">
        <v>2014</v>
      </c>
      <c r="D272" s="104">
        <f t="shared" si="166"/>
        <v>114</v>
      </c>
      <c r="E272" s="104">
        <v>10</v>
      </c>
      <c r="F272" s="113">
        <v>0</v>
      </c>
      <c r="G272" s="112" t="s">
        <v>214</v>
      </c>
      <c r="H272" s="104">
        <v>10</v>
      </c>
      <c r="I272" s="104">
        <f t="shared" si="136"/>
        <v>124</v>
      </c>
      <c r="L272" s="110">
        <v>10527</v>
      </c>
      <c r="M272" s="119">
        <v>0</v>
      </c>
      <c r="N272" s="110">
        <f t="shared" si="167"/>
        <v>10527</v>
      </c>
      <c r="O272" s="110">
        <f t="shared" si="168"/>
        <v>87.725000000000009</v>
      </c>
      <c r="P272" s="110">
        <f t="shared" si="169"/>
        <v>1052.7</v>
      </c>
      <c r="Q272" s="110">
        <f t="shared" si="170"/>
        <v>0</v>
      </c>
      <c r="R272" s="110">
        <f t="shared" si="171"/>
        <v>1052.7</v>
      </c>
      <c r="S272" s="111">
        <v>1</v>
      </c>
      <c r="T272" s="110">
        <f t="shared" si="172"/>
        <v>1052.7</v>
      </c>
      <c r="U272" s="110">
        <f t="shared" si="173"/>
        <v>3421.2750000000005</v>
      </c>
      <c r="V272" s="110">
        <f t="shared" si="174"/>
        <v>3421.2750000000005</v>
      </c>
      <c r="W272" s="111">
        <v>1</v>
      </c>
      <c r="X272" s="110">
        <f t="shared" si="175"/>
        <v>3421.2750000000005</v>
      </c>
      <c r="Y272" s="110">
        <f t="shared" si="176"/>
        <v>4473.9750000000004</v>
      </c>
      <c r="Z272" s="110">
        <f t="shared" si="177"/>
        <v>6579.375</v>
      </c>
      <c r="AA272" s="110">
        <f t="shared" si="147"/>
        <v>114.75</v>
      </c>
      <c r="AB272" s="110">
        <f t="shared" si="148"/>
        <v>119</v>
      </c>
      <c r="AC272" s="110">
        <f t="shared" si="149"/>
        <v>124.75</v>
      </c>
      <c r="AD272" s="110">
        <f t="shared" si="150"/>
        <v>118</v>
      </c>
      <c r="AE272" s="110">
        <f t="shared" si="151"/>
        <v>-8.3333333333333329E-2</v>
      </c>
      <c r="AF272" s="110">
        <f t="shared" si="178"/>
        <v>0</v>
      </c>
      <c r="AG272" s="107"/>
      <c r="AH272" s="107"/>
      <c r="AI272" s="107"/>
    </row>
    <row r="273" spans="2:35">
      <c r="B273" s="104" t="s">
        <v>819</v>
      </c>
      <c r="C273" s="210">
        <v>2018</v>
      </c>
      <c r="D273" s="104">
        <f t="shared" si="166"/>
        <v>118</v>
      </c>
      <c r="E273" s="104">
        <v>4</v>
      </c>
      <c r="F273" s="113">
        <v>0</v>
      </c>
      <c r="G273" s="112" t="s">
        <v>214</v>
      </c>
      <c r="H273" s="104">
        <v>10</v>
      </c>
      <c r="I273" s="104">
        <f t="shared" si="136"/>
        <v>128</v>
      </c>
      <c r="L273" s="110">
        <v>7597</v>
      </c>
      <c r="M273" s="119">
        <v>0</v>
      </c>
      <c r="N273" s="110">
        <f t="shared" si="167"/>
        <v>7597</v>
      </c>
      <c r="O273" s="110">
        <f t="shared" si="168"/>
        <v>63.308333333333337</v>
      </c>
      <c r="P273" s="110">
        <f t="shared" si="169"/>
        <v>569.77500000000009</v>
      </c>
      <c r="Q273" s="110">
        <f t="shared" si="170"/>
        <v>0</v>
      </c>
      <c r="R273" s="110">
        <f t="shared" si="171"/>
        <v>569.77500000000009</v>
      </c>
      <c r="S273" s="111">
        <v>1</v>
      </c>
      <c r="T273" s="110">
        <f t="shared" si="172"/>
        <v>569.77500000000009</v>
      </c>
      <c r="U273" s="110">
        <f t="shared" si="173"/>
        <v>0</v>
      </c>
      <c r="V273" s="110">
        <f t="shared" si="174"/>
        <v>0</v>
      </c>
      <c r="W273" s="111">
        <v>1</v>
      </c>
      <c r="X273" s="110">
        <f t="shared" si="175"/>
        <v>0</v>
      </c>
      <c r="Y273" s="110">
        <f t="shared" si="176"/>
        <v>569.77500000000009</v>
      </c>
      <c r="Z273" s="110">
        <f t="shared" si="177"/>
        <v>3513.6125000000002</v>
      </c>
      <c r="AA273" s="110">
        <f t="shared" si="147"/>
        <v>118.25</v>
      </c>
      <c r="AB273" s="110">
        <f t="shared" si="148"/>
        <v>119</v>
      </c>
      <c r="AC273" s="110">
        <f t="shared" si="149"/>
        <v>128.25</v>
      </c>
      <c r="AD273" s="110">
        <f t="shared" si="150"/>
        <v>118</v>
      </c>
      <c r="AE273" s="110">
        <f t="shared" si="151"/>
        <v>-8.3333333333333329E-2</v>
      </c>
      <c r="AF273" s="110">
        <f t="shared" si="178"/>
        <v>3798.5</v>
      </c>
      <c r="AG273" s="107"/>
      <c r="AH273" s="107"/>
      <c r="AI273" s="107"/>
    </row>
    <row r="274" spans="2:35">
      <c r="B274" s="104" t="s">
        <v>819</v>
      </c>
      <c r="C274" s="210">
        <v>2018</v>
      </c>
      <c r="D274" s="104">
        <f t="shared" si="166"/>
        <v>118</v>
      </c>
      <c r="E274" s="104">
        <v>6</v>
      </c>
      <c r="F274" s="113">
        <v>0</v>
      </c>
      <c r="G274" s="112" t="s">
        <v>214</v>
      </c>
      <c r="H274" s="104">
        <v>10</v>
      </c>
      <c r="I274" s="104">
        <f t="shared" si="136"/>
        <v>128</v>
      </c>
      <c r="L274" s="110">
        <v>7893</v>
      </c>
      <c r="M274" s="119">
        <v>0</v>
      </c>
      <c r="N274" s="110">
        <f t="shared" si="167"/>
        <v>7893</v>
      </c>
      <c r="O274" s="110">
        <f t="shared" si="168"/>
        <v>65.774999999999991</v>
      </c>
      <c r="P274" s="110">
        <f t="shared" si="169"/>
        <v>460.4249999999962</v>
      </c>
      <c r="Q274" s="110">
        <f t="shared" si="170"/>
        <v>0</v>
      </c>
      <c r="R274" s="110">
        <f t="shared" si="171"/>
        <v>460.4249999999962</v>
      </c>
      <c r="S274" s="111">
        <v>1</v>
      </c>
      <c r="T274" s="110">
        <f t="shared" si="172"/>
        <v>460.4249999999962</v>
      </c>
      <c r="U274" s="110">
        <f t="shared" si="173"/>
        <v>0</v>
      </c>
      <c r="V274" s="110">
        <f t="shared" si="174"/>
        <v>0</v>
      </c>
      <c r="W274" s="111">
        <v>1</v>
      </c>
      <c r="X274" s="110">
        <f t="shared" si="175"/>
        <v>0</v>
      </c>
      <c r="Y274" s="110">
        <f t="shared" si="176"/>
        <v>460.4249999999962</v>
      </c>
      <c r="Z274" s="110">
        <f t="shared" si="177"/>
        <v>3716.2875000000017</v>
      </c>
      <c r="AA274" s="110">
        <f t="shared" si="147"/>
        <v>118.41666666666667</v>
      </c>
      <c r="AB274" s="110">
        <f t="shared" si="148"/>
        <v>119</v>
      </c>
      <c r="AC274" s="110">
        <f t="shared" si="149"/>
        <v>128.41666666666666</v>
      </c>
      <c r="AD274" s="110">
        <f t="shared" si="150"/>
        <v>118</v>
      </c>
      <c r="AE274" s="110">
        <f t="shared" si="151"/>
        <v>-8.3333333333333329E-2</v>
      </c>
      <c r="AF274" s="110">
        <f t="shared" si="178"/>
        <v>3946.5000000000005</v>
      </c>
      <c r="AG274" s="107"/>
      <c r="AH274" s="107"/>
      <c r="AI274" s="107"/>
    </row>
    <row r="275" spans="2:35">
      <c r="B275" s="104" t="s">
        <v>819</v>
      </c>
      <c r="C275" s="210">
        <v>2018</v>
      </c>
      <c r="D275" s="104">
        <f t="shared" si="166"/>
        <v>118</v>
      </c>
      <c r="E275" s="104">
        <v>6</v>
      </c>
      <c r="F275" s="113">
        <v>0</v>
      </c>
      <c r="G275" s="112" t="s">
        <v>214</v>
      </c>
      <c r="H275" s="104">
        <v>10</v>
      </c>
      <c r="I275" s="104">
        <f t="shared" si="136"/>
        <v>128</v>
      </c>
      <c r="L275" s="110">
        <v>7893</v>
      </c>
      <c r="M275" s="119">
        <v>0</v>
      </c>
      <c r="N275" s="110">
        <f t="shared" si="167"/>
        <v>7893</v>
      </c>
      <c r="O275" s="110">
        <f t="shared" si="168"/>
        <v>65.774999999999991</v>
      </c>
      <c r="P275" s="110">
        <f t="shared" si="169"/>
        <v>460.4249999999962</v>
      </c>
      <c r="Q275" s="110">
        <f t="shared" si="170"/>
        <v>0</v>
      </c>
      <c r="R275" s="110">
        <f t="shared" si="171"/>
        <v>460.4249999999962</v>
      </c>
      <c r="S275" s="111">
        <v>1</v>
      </c>
      <c r="T275" s="110">
        <f t="shared" si="172"/>
        <v>460.4249999999962</v>
      </c>
      <c r="U275" s="110">
        <f t="shared" si="173"/>
        <v>0</v>
      </c>
      <c r="V275" s="110">
        <f t="shared" si="174"/>
        <v>0</v>
      </c>
      <c r="W275" s="111">
        <v>1</v>
      </c>
      <c r="X275" s="110">
        <f t="shared" si="175"/>
        <v>0</v>
      </c>
      <c r="Y275" s="110">
        <f t="shared" si="176"/>
        <v>460.4249999999962</v>
      </c>
      <c r="Z275" s="110">
        <f t="shared" si="177"/>
        <v>3716.2875000000017</v>
      </c>
      <c r="AA275" s="110">
        <f t="shared" si="147"/>
        <v>118.41666666666667</v>
      </c>
      <c r="AB275" s="110">
        <f t="shared" si="148"/>
        <v>119</v>
      </c>
      <c r="AC275" s="110">
        <f t="shared" si="149"/>
        <v>128.41666666666666</v>
      </c>
      <c r="AD275" s="110">
        <f t="shared" si="150"/>
        <v>118</v>
      </c>
      <c r="AE275" s="110">
        <f t="shared" si="151"/>
        <v>-8.3333333333333329E-2</v>
      </c>
      <c r="AF275" s="110">
        <f t="shared" si="178"/>
        <v>3946.5000000000005</v>
      </c>
      <c r="AG275" s="107"/>
      <c r="AH275" s="107"/>
      <c r="AI275" s="107"/>
    </row>
    <row r="276" spans="2:35">
      <c r="B276" s="104" t="s">
        <v>820</v>
      </c>
      <c r="C276" s="210">
        <v>2018</v>
      </c>
      <c r="D276" s="104">
        <f t="shared" si="166"/>
        <v>118</v>
      </c>
      <c r="E276" s="104">
        <v>9</v>
      </c>
      <c r="F276" s="113">
        <v>0</v>
      </c>
      <c r="G276" s="112" t="s">
        <v>214</v>
      </c>
      <c r="H276" s="104">
        <v>10</v>
      </c>
      <c r="I276" s="104">
        <f t="shared" si="136"/>
        <v>128</v>
      </c>
      <c r="L276" s="110">
        <v>7139</v>
      </c>
      <c r="M276" s="119">
        <v>0</v>
      </c>
      <c r="N276" s="110">
        <f t="shared" si="167"/>
        <v>7139</v>
      </c>
      <c r="O276" s="110">
        <f t="shared" si="168"/>
        <v>59.491666666666667</v>
      </c>
      <c r="P276" s="110">
        <f t="shared" si="169"/>
        <v>237.96666666666329</v>
      </c>
      <c r="Q276" s="110">
        <f t="shared" si="170"/>
        <v>0</v>
      </c>
      <c r="R276" s="110">
        <f t="shared" si="171"/>
        <v>237.96666666666329</v>
      </c>
      <c r="S276" s="111">
        <v>1</v>
      </c>
      <c r="T276" s="110">
        <f t="shared" si="172"/>
        <v>237.96666666666329</v>
      </c>
      <c r="U276" s="110">
        <f t="shared" si="173"/>
        <v>0</v>
      </c>
      <c r="V276" s="110">
        <f t="shared" si="174"/>
        <v>0</v>
      </c>
      <c r="W276" s="111">
        <v>1</v>
      </c>
      <c r="X276" s="110">
        <f t="shared" si="175"/>
        <v>0</v>
      </c>
      <c r="Y276" s="110">
        <f t="shared" si="176"/>
        <v>237.96666666666329</v>
      </c>
      <c r="Z276" s="110">
        <f t="shared" si="177"/>
        <v>3450.5166666666682</v>
      </c>
      <c r="AA276" s="110">
        <f t="shared" si="147"/>
        <v>118.66666666666667</v>
      </c>
      <c r="AB276" s="110">
        <f t="shared" si="148"/>
        <v>119</v>
      </c>
      <c r="AC276" s="110">
        <f t="shared" si="149"/>
        <v>128.66666666666666</v>
      </c>
      <c r="AD276" s="110">
        <f t="shared" si="150"/>
        <v>118</v>
      </c>
      <c r="AE276" s="110">
        <f t="shared" si="151"/>
        <v>-8.3333333333333329E-2</v>
      </c>
      <c r="AF276" s="110">
        <f t="shared" si="178"/>
        <v>3569.5</v>
      </c>
      <c r="AG276" s="107"/>
      <c r="AH276" s="107"/>
      <c r="AI276" s="107"/>
    </row>
    <row r="277" spans="2:35">
      <c r="B277" s="104" t="s">
        <v>820</v>
      </c>
      <c r="C277" s="210">
        <v>2018</v>
      </c>
      <c r="D277" s="104">
        <f t="shared" si="166"/>
        <v>118</v>
      </c>
      <c r="E277" s="104">
        <v>9</v>
      </c>
      <c r="F277" s="113">
        <v>0</v>
      </c>
      <c r="G277" s="112" t="s">
        <v>214</v>
      </c>
      <c r="H277" s="104">
        <v>10</v>
      </c>
      <c r="I277" s="104">
        <f t="shared" si="136"/>
        <v>128</v>
      </c>
      <c r="L277" s="110">
        <v>7139</v>
      </c>
      <c r="M277" s="119">
        <v>0</v>
      </c>
      <c r="N277" s="110">
        <f t="shared" si="167"/>
        <v>7139</v>
      </c>
      <c r="O277" s="110">
        <f t="shared" si="168"/>
        <v>59.491666666666667</v>
      </c>
      <c r="P277" s="110">
        <f t="shared" si="169"/>
        <v>237.96666666666329</v>
      </c>
      <c r="Q277" s="110">
        <f t="shared" si="170"/>
        <v>0</v>
      </c>
      <c r="R277" s="110">
        <f t="shared" si="171"/>
        <v>237.96666666666329</v>
      </c>
      <c r="S277" s="111">
        <v>1</v>
      </c>
      <c r="T277" s="110">
        <f t="shared" si="172"/>
        <v>237.96666666666329</v>
      </c>
      <c r="U277" s="110">
        <f t="shared" si="173"/>
        <v>0</v>
      </c>
      <c r="V277" s="110">
        <f t="shared" si="174"/>
        <v>0</v>
      </c>
      <c r="W277" s="111">
        <v>1</v>
      </c>
      <c r="X277" s="110">
        <f t="shared" si="175"/>
        <v>0</v>
      </c>
      <c r="Y277" s="110">
        <f t="shared" si="176"/>
        <v>237.96666666666329</v>
      </c>
      <c r="Z277" s="110">
        <f t="shared" si="177"/>
        <v>3450.5166666666682</v>
      </c>
      <c r="AA277" s="110">
        <f t="shared" si="147"/>
        <v>118.66666666666667</v>
      </c>
      <c r="AB277" s="110">
        <f t="shared" si="148"/>
        <v>119</v>
      </c>
      <c r="AC277" s="110">
        <f t="shared" si="149"/>
        <v>128.66666666666666</v>
      </c>
      <c r="AD277" s="110">
        <f t="shared" si="150"/>
        <v>118</v>
      </c>
      <c r="AE277" s="110">
        <f t="shared" si="151"/>
        <v>-8.3333333333333329E-2</v>
      </c>
      <c r="AF277" s="110">
        <f t="shared" si="178"/>
        <v>3569.5</v>
      </c>
      <c r="AG277" s="107"/>
      <c r="AH277" s="107"/>
      <c r="AI277" s="107"/>
    </row>
    <row r="278" spans="2:35">
      <c r="B278" s="104" t="s">
        <v>820</v>
      </c>
      <c r="C278" s="210">
        <v>2018</v>
      </c>
      <c r="D278" s="104">
        <f t="shared" si="166"/>
        <v>118</v>
      </c>
      <c r="E278" s="104">
        <v>9</v>
      </c>
      <c r="F278" s="113">
        <v>0</v>
      </c>
      <c r="G278" s="112" t="s">
        <v>214</v>
      </c>
      <c r="H278" s="104">
        <v>10</v>
      </c>
      <c r="I278" s="104">
        <f t="shared" si="136"/>
        <v>128</v>
      </c>
      <c r="L278" s="110">
        <v>7139</v>
      </c>
      <c r="M278" s="119">
        <v>0</v>
      </c>
      <c r="N278" s="110">
        <f t="shared" si="167"/>
        <v>7139</v>
      </c>
      <c r="O278" s="110">
        <f t="shared" si="168"/>
        <v>59.491666666666667</v>
      </c>
      <c r="P278" s="110">
        <f t="shared" si="169"/>
        <v>237.96666666666329</v>
      </c>
      <c r="Q278" s="110">
        <f t="shared" si="170"/>
        <v>0</v>
      </c>
      <c r="R278" s="110">
        <f t="shared" si="171"/>
        <v>237.96666666666329</v>
      </c>
      <c r="S278" s="111">
        <v>1</v>
      </c>
      <c r="T278" s="110">
        <f t="shared" si="172"/>
        <v>237.96666666666329</v>
      </c>
      <c r="U278" s="110">
        <f t="shared" si="173"/>
        <v>0</v>
      </c>
      <c r="V278" s="110">
        <f t="shared" si="174"/>
        <v>0</v>
      </c>
      <c r="W278" s="111">
        <v>1</v>
      </c>
      <c r="X278" s="110">
        <f t="shared" si="175"/>
        <v>0</v>
      </c>
      <c r="Y278" s="110">
        <f t="shared" si="176"/>
        <v>237.96666666666329</v>
      </c>
      <c r="Z278" s="110">
        <f t="shared" si="177"/>
        <v>3450.5166666666682</v>
      </c>
      <c r="AA278" s="110">
        <f t="shared" si="147"/>
        <v>118.66666666666667</v>
      </c>
      <c r="AB278" s="110">
        <f t="shared" si="148"/>
        <v>119</v>
      </c>
      <c r="AC278" s="110">
        <f t="shared" si="149"/>
        <v>128.66666666666666</v>
      </c>
      <c r="AD278" s="110">
        <f t="shared" si="150"/>
        <v>118</v>
      </c>
      <c r="AE278" s="110">
        <f t="shared" si="151"/>
        <v>-8.3333333333333329E-2</v>
      </c>
      <c r="AF278" s="110">
        <f t="shared" si="178"/>
        <v>3569.5</v>
      </c>
      <c r="AG278" s="107"/>
      <c r="AH278" s="107"/>
      <c r="AI278" s="107"/>
    </row>
    <row r="279" spans="2:35">
      <c r="B279" s="104" t="s">
        <v>820</v>
      </c>
      <c r="C279" s="210">
        <v>2018</v>
      </c>
      <c r="D279" s="104">
        <f>+C279-1900</f>
        <v>118</v>
      </c>
      <c r="E279" s="104">
        <v>9</v>
      </c>
      <c r="F279" s="113">
        <v>0</v>
      </c>
      <c r="G279" s="112" t="s">
        <v>214</v>
      </c>
      <c r="H279" s="104">
        <v>10</v>
      </c>
      <c r="I279" s="104">
        <f t="shared" si="136"/>
        <v>128</v>
      </c>
      <c r="L279" s="110">
        <v>7139</v>
      </c>
      <c r="M279" s="119">
        <v>0</v>
      </c>
      <c r="N279" s="110">
        <f t="shared" si="167"/>
        <v>7139</v>
      </c>
      <c r="O279" s="110">
        <f t="shared" si="168"/>
        <v>59.491666666666667</v>
      </c>
      <c r="P279" s="110">
        <f t="shared" si="169"/>
        <v>237.96666666666329</v>
      </c>
      <c r="Q279" s="110">
        <f t="shared" si="170"/>
        <v>0</v>
      </c>
      <c r="R279" s="110">
        <f t="shared" si="171"/>
        <v>237.96666666666329</v>
      </c>
      <c r="S279" s="111">
        <v>1</v>
      </c>
      <c r="T279" s="110">
        <f t="shared" si="172"/>
        <v>237.96666666666329</v>
      </c>
      <c r="U279" s="110">
        <f t="shared" si="173"/>
        <v>0</v>
      </c>
      <c r="V279" s="110">
        <f t="shared" si="174"/>
        <v>0</v>
      </c>
      <c r="W279" s="111">
        <v>1</v>
      </c>
      <c r="X279" s="110">
        <f t="shared" si="175"/>
        <v>0</v>
      </c>
      <c r="Y279" s="110">
        <f t="shared" si="176"/>
        <v>237.96666666666329</v>
      </c>
      <c r="Z279" s="110">
        <f t="shared" si="177"/>
        <v>3450.5166666666682</v>
      </c>
      <c r="AA279" s="110">
        <f t="shared" si="147"/>
        <v>118.66666666666667</v>
      </c>
      <c r="AB279" s="110">
        <f t="shared" si="148"/>
        <v>119</v>
      </c>
      <c r="AC279" s="110">
        <f t="shared" si="149"/>
        <v>128.66666666666666</v>
      </c>
      <c r="AD279" s="110">
        <f t="shared" si="150"/>
        <v>118</v>
      </c>
      <c r="AE279" s="110">
        <f t="shared" si="151"/>
        <v>-8.3333333333333329E-2</v>
      </c>
      <c r="AF279" s="110">
        <f t="shared" si="178"/>
        <v>3569.5</v>
      </c>
      <c r="AG279" s="107"/>
      <c r="AH279" s="107"/>
      <c r="AI279" s="107"/>
    </row>
    <row r="280" spans="2:35">
      <c r="C280" s="210"/>
      <c r="F280" s="113"/>
      <c r="G280" s="112"/>
      <c r="L280" s="118"/>
      <c r="M280" s="119"/>
      <c r="N280" s="118"/>
      <c r="O280" s="118"/>
      <c r="P280" s="118"/>
      <c r="Q280" s="118"/>
      <c r="R280" s="118"/>
      <c r="S280" s="111"/>
      <c r="T280" s="118"/>
      <c r="U280" s="118"/>
      <c r="V280" s="118"/>
      <c r="W280" s="111"/>
      <c r="X280" s="118"/>
      <c r="Y280" s="118"/>
      <c r="Z280" s="118"/>
      <c r="AA280" s="110"/>
      <c r="AB280" s="110"/>
      <c r="AC280" s="110"/>
      <c r="AD280" s="110"/>
      <c r="AE280" s="110"/>
      <c r="AF280" s="118"/>
      <c r="AG280" s="107"/>
      <c r="AH280" s="107"/>
      <c r="AI280" s="107"/>
    </row>
    <row r="281" spans="2:35">
      <c r="B281" s="117" t="s">
        <v>215</v>
      </c>
      <c r="C281" s="210"/>
      <c r="F281" s="113"/>
      <c r="G281" s="112"/>
      <c r="L281" s="110">
        <f>SUM(L206:L279)</f>
        <v>549498</v>
      </c>
      <c r="M281" s="110"/>
      <c r="N281" s="110">
        <f>SUM(N206:N279)</f>
        <v>549498</v>
      </c>
      <c r="O281" s="110">
        <f>SUM(O206:O279)</f>
        <v>5346.0583333333343</v>
      </c>
      <c r="P281" s="110">
        <f>SUM(P206:P279)</f>
        <v>10106.524999999971</v>
      </c>
      <c r="Q281" s="110">
        <f>SUM(Q206:Q279)</f>
        <v>0</v>
      </c>
      <c r="R281" s="110">
        <f>SUM(R206:R279)</f>
        <v>10106.524999999971</v>
      </c>
      <c r="S281" s="110"/>
      <c r="T281" s="110">
        <f>SUM(T206:T279)</f>
        <v>10106.524999999971</v>
      </c>
      <c r="U281" s="110">
        <f>SUM(U206:U279)</f>
        <v>478537.9250000001</v>
      </c>
      <c r="V281" s="110">
        <f>SUM(V206:V279)</f>
        <v>478537.9250000001</v>
      </c>
      <c r="W281" s="110"/>
      <c r="X281" s="110">
        <f>SUM(X206:X279)</f>
        <v>478537.9250000001</v>
      </c>
      <c r="Y281" s="110">
        <f>SUM(Y206:Y279)</f>
        <v>488644.44999999995</v>
      </c>
      <c r="Z281" s="110">
        <f>SUM(Z206:Z279)</f>
        <v>39937.312499999993</v>
      </c>
      <c r="AA281" s="110"/>
      <c r="AB281" s="110"/>
      <c r="AC281" s="110"/>
      <c r="AD281" s="110"/>
      <c r="AE281" s="110"/>
      <c r="AF281" s="110">
        <f>SUM(AF206:AF279)</f>
        <v>25969.5</v>
      </c>
      <c r="AG281" s="107"/>
      <c r="AH281" s="107"/>
      <c r="AI281" s="107"/>
    </row>
    <row r="282" spans="2:35">
      <c r="B282" s="117"/>
      <c r="C282" s="210"/>
      <c r="F282" s="113"/>
      <c r="G282" s="112"/>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07"/>
      <c r="AH282" s="107"/>
      <c r="AI282" s="107"/>
    </row>
    <row r="283" spans="2:35" ht="16.5" thickBot="1">
      <c r="B283" s="109" t="s">
        <v>823</v>
      </c>
      <c r="C283" s="210"/>
      <c r="K283" s="487" t="s">
        <v>258</v>
      </c>
      <c r="L283" s="108">
        <f>SUM(L281:L282)</f>
        <v>549498</v>
      </c>
      <c r="M283" s="110"/>
      <c r="N283" s="108">
        <f>SUM(N281:N282)</f>
        <v>549498</v>
      </c>
      <c r="O283" s="108">
        <f>SUM(O281:O282)</f>
        <v>5346.0583333333343</v>
      </c>
      <c r="P283" s="108">
        <f>SUM(P281:P282)</f>
        <v>10106.524999999971</v>
      </c>
      <c r="Q283" s="108"/>
      <c r="R283" s="108">
        <f>SUM(R281:R282)</f>
        <v>10106.524999999971</v>
      </c>
      <c r="S283" s="105"/>
      <c r="T283" s="108">
        <f>SUM(T281:T282)</f>
        <v>10106.524999999971</v>
      </c>
      <c r="U283" s="108">
        <f>SUM(U281:U282)</f>
        <v>478537.9250000001</v>
      </c>
      <c r="V283" s="108">
        <f>SUM(V281:V282)</f>
        <v>478537.9250000001</v>
      </c>
      <c r="W283" s="105"/>
      <c r="X283" s="108">
        <f>SUM(X281:X282)</f>
        <v>478537.9250000001</v>
      </c>
      <c r="Y283" s="108">
        <f>SUM(Y281:Y282)</f>
        <v>488644.44999999995</v>
      </c>
      <c r="Z283" s="108">
        <f>SUM(Z281:Z282)</f>
        <v>39937.312499999993</v>
      </c>
      <c r="AA283" s="119"/>
      <c r="AB283" s="119"/>
      <c r="AC283" s="119"/>
      <c r="AD283" s="119"/>
      <c r="AE283" s="119"/>
      <c r="AF283" s="348">
        <f>SUM(AF281:AF282)</f>
        <v>25969.5</v>
      </c>
      <c r="AG283" s="106"/>
      <c r="AH283" s="107"/>
      <c r="AI283" s="107"/>
    </row>
    <row r="284" spans="2:35" ht="16.5" thickTop="1">
      <c r="B284" s="109"/>
      <c r="C284" s="210"/>
      <c r="L284" s="119"/>
      <c r="M284" s="119"/>
      <c r="N284" s="119"/>
      <c r="O284" s="119"/>
      <c r="P284" s="119"/>
      <c r="Q284" s="119"/>
      <c r="R284" s="119"/>
      <c r="S284" s="120"/>
      <c r="T284" s="119"/>
      <c r="U284" s="119"/>
      <c r="V284" s="119"/>
      <c r="W284" s="119"/>
      <c r="X284" s="119"/>
      <c r="Y284" s="119"/>
      <c r="Z284" s="119"/>
      <c r="AA284" s="119"/>
      <c r="AB284" s="119"/>
      <c r="AC284" s="119"/>
      <c r="AD284" s="119"/>
      <c r="AE284" s="119"/>
      <c r="AF284" s="119"/>
      <c r="AG284" s="106"/>
      <c r="AH284" s="107"/>
      <c r="AI284" s="107"/>
    </row>
    <row r="285" spans="2:35">
      <c r="L285" s="106"/>
      <c r="M285" s="107"/>
      <c r="N285" s="106"/>
      <c r="O285" s="107"/>
      <c r="P285" s="107"/>
      <c r="Q285" s="107"/>
      <c r="R285" s="107"/>
      <c r="T285" s="107"/>
      <c r="U285" s="106"/>
      <c r="V285" s="106"/>
      <c r="W285" s="105"/>
      <c r="X285" s="106"/>
      <c r="Y285" s="106"/>
      <c r="Z285" s="106"/>
      <c r="AA285" s="107"/>
      <c r="AB285" s="107"/>
      <c r="AC285" s="107"/>
      <c r="AD285" s="107"/>
      <c r="AE285" s="107"/>
      <c r="AF285" s="107"/>
      <c r="AG285" s="107"/>
      <c r="AH285" s="107"/>
      <c r="AI285" s="107"/>
    </row>
    <row r="286" spans="2:35">
      <c r="B286" s="1025" t="s">
        <v>984</v>
      </c>
      <c r="C286" s="1025"/>
      <c r="L286" s="106"/>
      <c r="M286" s="107"/>
      <c r="N286" s="106"/>
      <c r="O286" s="107"/>
      <c r="P286" s="107"/>
      <c r="Q286" s="107"/>
      <c r="R286" s="107"/>
      <c r="T286" s="107"/>
      <c r="U286" s="107"/>
      <c r="V286" s="107"/>
      <c r="X286" s="107"/>
      <c r="Y286" s="107"/>
      <c r="Z286" s="107"/>
      <c r="AA286" s="107"/>
      <c r="AB286" s="107"/>
      <c r="AC286" s="107"/>
      <c r="AD286" s="107"/>
      <c r="AE286" s="107"/>
      <c r="AF286" s="107"/>
      <c r="AG286" s="107"/>
      <c r="AH286" s="107"/>
      <c r="AI286" s="107"/>
    </row>
    <row r="287" spans="2:35">
      <c r="B287" s="117" t="s">
        <v>985</v>
      </c>
      <c r="C287" s="871">
        <f>+O64</f>
        <v>1302.69</v>
      </c>
      <c r="L287" s="106"/>
      <c r="M287" s="107"/>
      <c r="N287" s="106"/>
      <c r="O287" s="106"/>
      <c r="P287" s="106"/>
      <c r="Q287" s="106"/>
      <c r="R287" s="106"/>
      <c r="S287" s="105"/>
      <c r="T287" s="106"/>
      <c r="U287" s="106"/>
      <c r="V287" s="106"/>
      <c r="W287" s="105"/>
      <c r="X287" s="106"/>
      <c r="Y287" s="106"/>
      <c r="Z287" s="106"/>
      <c r="AA287" s="107"/>
      <c r="AB287" s="107"/>
      <c r="AC287" s="107"/>
      <c r="AD287" s="107"/>
      <c r="AE287" s="107"/>
      <c r="AF287" s="107"/>
      <c r="AG287" s="107"/>
      <c r="AH287" s="107"/>
      <c r="AI287" s="107"/>
    </row>
    <row r="288" spans="2:35">
      <c r="B288" s="117" t="s">
        <v>986</v>
      </c>
      <c r="C288" s="872">
        <v>12</v>
      </c>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7"/>
      <c r="AH288" s="107"/>
      <c r="AI288" s="107"/>
    </row>
    <row r="289" spans="2:35">
      <c r="B289" s="117" t="s">
        <v>987</v>
      </c>
      <c r="C289" s="871">
        <f>+C287*C288</f>
        <v>15632.28</v>
      </c>
      <c r="L289" s="106"/>
      <c r="M289" s="107"/>
      <c r="N289" s="106"/>
      <c r="O289" s="107"/>
      <c r="P289" s="107"/>
      <c r="Q289" s="107"/>
      <c r="R289" s="106"/>
      <c r="T289" s="107"/>
      <c r="U289" s="107"/>
      <c r="V289" s="107"/>
      <c r="X289" s="107"/>
      <c r="Y289" s="107"/>
      <c r="Z289" s="107"/>
      <c r="AA289" s="107"/>
      <c r="AB289" s="107"/>
      <c r="AC289" s="107"/>
      <c r="AD289" s="107"/>
      <c r="AE289" s="107"/>
      <c r="AF289" s="107"/>
      <c r="AG289" s="107"/>
      <c r="AH289" s="107"/>
      <c r="AI289" s="107"/>
    </row>
    <row r="290" spans="2:35">
      <c r="L290" s="106"/>
      <c r="M290" s="107"/>
      <c r="N290" s="106"/>
      <c r="O290" s="107"/>
      <c r="P290" s="106"/>
      <c r="Q290" s="107"/>
      <c r="R290" s="106"/>
      <c r="T290" s="107"/>
      <c r="U290" s="106"/>
      <c r="V290" s="106"/>
      <c r="X290" s="106"/>
      <c r="Y290" s="106"/>
      <c r="Z290" s="106"/>
      <c r="AA290" s="107"/>
      <c r="AB290" s="107"/>
      <c r="AC290" s="107"/>
      <c r="AD290" s="107"/>
      <c r="AE290" s="107"/>
      <c r="AF290" s="107"/>
      <c r="AG290" s="107"/>
      <c r="AH290" s="107"/>
      <c r="AI290" s="107"/>
    </row>
    <row r="291" spans="2:35">
      <c r="L291" s="106"/>
      <c r="M291" s="107"/>
      <c r="N291" s="106"/>
      <c r="O291" s="107"/>
      <c r="P291" s="106"/>
      <c r="Q291" s="107"/>
      <c r="R291" s="106"/>
      <c r="T291" s="107"/>
      <c r="U291" s="107"/>
      <c r="V291" s="107"/>
      <c r="X291" s="107"/>
      <c r="Y291" s="107"/>
      <c r="Z291" s="106"/>
      <c r="AA291" s="107"/>
      <c r="AB291" s="107"/>
      <c r="AC291" s="107"/>
      <c r="AD291" s="107"/>
      <c r="AE291" s="107"/>
      <c r="AF291" s="107"/>
      <c r="AG291" s="107"/>
      <c r="AH291" s="107"/>
      <c r="AI291" s="107"/>
    </row>
    <row r="292" spans="2:35">
      <c r="L292" s="106"/>
      <c r="M292" s="107"/>
      <c r="N292" s="106"/>
      <c r="O292" s="107"/>
      <c r="P292" s="107"/>
      <c r="Q292" s="107"/>
      <c r="R292" s="107"/>
      <c r="T292" s="107"/>
      <c r="U292" s="106"/>
      <c r="V292" s="106"/>
      <c r="W292" s="105"/>
      <c r="X292" s="106"/>
      <c r="Y292" s="106"/>
      <c r="Z292" s="107"/>
      <c r="AA292" s="107"/>
      <c r="AB292" s="107"/>
      <c r="AC292" s="107"/>
      <c r="AD292" s="107"/>
      <c r="AE292" s="107"/>
      <c r="AF292" s="107"/>
      <c r="AG292" s="107"/>
      <c r="AH292" s="107"/>
      <c r="AI292" s="107"/>
    </row>
    <row r="293" spans="2:35">
      <c r="L293" s="106"/>
      <c r="M293" s="107"/>
      <c r="N293" s="106"/>
      <c r="O293" s="107"/>
      <c r="P293" s="106"/>
      <c r="Q293" s="107"/>
      <c r="R293" s="107"/>
      <c r="T293" s="107"/>
      <c r="U293" s="106"/>
      <c r="V293" s="106"/>
      <c r="W293" s="105"/>
      <c r="X293" s="106"/>
      <c r="Y293" s="106"/>
      <c r="Z293" s="106"/>
      <c r="AA293" s="107"/>
      <c r="AB293" s="107"/>
      <c r="AC293" s="107"/>
      <c r="AD293" s="107"/>
      <c r="AE293" s="107"/>
      <c r="AF293" s="107"/>
      <c r="AG293" s="107"/>
      <c r="AH293" s="107"/>
      <c r="AI293" s="107"/>
    </row>
    <row r="294" spans="2:35">
      <c r="L294" s="106"/>
      <c r="M294" s="107"/>
      <c r="N294" s="106"/>
      <c r="O294" s="107"/>
      <c r="P294" s="107"/>
      <c r="Q294" s="107"/>
      <c r="R294" s="107"/>
      <c r="T294" s="107"/>
      <c r="U294" s="107"/>
      <c r="V294" s="107"/>
      <c r="X294" s="107"/>
      <c r="Y294" s="107"/>
      <c r="Z294" s="107"/>
      <c r="AA294" s="107"/>
      <c r="AB294" s="107"/>
      <c r="AC294" s="107"/>
      <c r="AD294" s="107"/>
      <c r="AE294" s="107"/>
      <c r="AF294" s="107"/>
      <c r="AG294" s="107"/>
      <c r="AH294" s="107"/>
      <c r="AI294" s="107"/>
    </row>
    <row r="295" spans="2:35">
      <c r="L295" s="106"/>
      <c r="M295" s="107"/>
      <c r="N295" s="106"/>
      <c r="O295" s="107"/>
      <c r="P295" s="107"/>
      <c r="Q295" s="107"/>
      <c r="R295" s="107"/>
      <c r="T295" s="107"/>
      <c r="U295" s="107"/>
      <c r="V295" s="107"/>
      <c r="X295" s="107"/>
      <c r="Y295" s="107"/>
      <c r="Z295" s="106"/>
      <c r="AA295" s="107"/>
      <c r="AB295" s="107"/>
      <c r="AC295" s="107"/>
      <c r="AD295" s="107"/>
      <c r="AE295" s="107"/>
      <c r="AF295" s="107"/>
      <c r="AG295" s="107"/>
      <c r="AH295" s="107"/>
      <c r="AI295" s="107"/>
    </row>
    <row r="296" spans="2:35">
      <c r="L296" s="106"/>
      <c r="M296" s="107"/>
      <c r="N296" s="106"/>
      <c r="O296" s="107"/>
      <c r="P296" s="107"/>
      <c r="Q296" s="107"/>
      <c r="R296" s="107"/>
      <c r="T296" s="107"/>
      <c r="U296" s="107"/>
      <c r="V296" s="107"/>
      <c r="X296" s="107"/>
      <c r="Y296" s="107"/>
      <c r="Z296" s="107"/>
      <c r="AA296" s="107"/>
      <c r="AB296" s="107"/>
      <c r="AC296" s="107"/>
      <c r="AD296" s="107"/>
      <c r="AE296" s="107"/>
      <c r="AF296" s="107"/>
      <c r="AG296" s="107"/>
      <c r="AH296" s="107"/>
      <c r="AI296" s="107"/>
    </row>
    <row r="297" spans="2:35">
      <c r="L297" s="106"/>
      <c r="M297" s="107"/>
      <c r="N297" s="107"/>
      <c r="O297" s="107"/>
      <c r="P297" s="107"/>
      <c r="Q297" s="107"/>
      <c r="R297" s="107"/>
      <c r="T297" s="107"/>
      <c r="U297" s="107"/>
      <c r="V297" s="107"/>
      <c r="X297" s="107"/>
      <c r="Y297" s="107"/>
      <c r="Z297" s="107"/>
      <c r="AA297" s="107"/>
      <c r="AB297" s="107"/>
      <c r="AC297" s="107"/>
      <c r="AD297" s="107"/>
      <c r="AE297" s="107"/>
      <c r="AF297" s="107"/>
      <c r="AG297" s="107"/>
      <c r="AH297" s="107"/>
      <c r="AI297" s="107"/>
    </row>
    <row r="298" spans="2:35">
      <c r="L298" s="105"/>
      <c r="T298" s="107"/>
      <c r="U298" s="106"/>
      <c r="V298" s="106"/>
      <c r="X298" s="106"/>
      <c r="Y298" s="106"/>
      <c r="Z298" s="106"/>
      <c r="AA298" s="107"/>
      <c r="AB298" s="107"/>
      <c r="AC298" s="107"/>
      <c r="AD298" s="107"/>
      <c r="AE298" s="107"/>
      <c r="AF298" s="107"/>
      <c r="AG298" s="107"/>
      <c r="AH298" s="107"/>
      <c r="AI298" s="107"/>
    </row>
    <row r="299" spans="2:35">
      <c r="T299" s="107"/>
      <c r="U299" s="107"/>
      <c r="V299" s="107"/>
      <c r="X299" s="107"/>
      <c r="Y299" s="107"/>
      <c r="Z299" s="107"/>
      <c r="AA299" s="107"/>
      <c r="AB299" s="107"/>
      <c r="AC299" s="107"/>
      <c r="AD299" s="107"/>
      <c r="AE299" s="107"/>
      <c r="AF299" s="107"/>
      <c r="AG299" s="107"/>
      <c r="AH299" s="107"/>
      <c r="AI299" s="107"/>
    </row>
    <row r="300" spans="2:35">
      <c r="T300" s="107"/>
      <c r="U300" s="107"/>
      <c r="V300" s="107"/>
      <c r="X300" s="107"/>
      <c r="Y300" s="107"/>
      <c r="Z300" s="107"/>
      <c r="AA300" s="107"/>
      <c r="AB300" s="107"/>
      <c r="AC300" s="107"/>
      <c r="AD300" s="107"/>
      <c r="AE300" s="107"/>
      <c r="AF300" s="107"/>
      <c r="AG300" s="107"/>
      <c r="AH300" s="107"/>
      <c r="AI300" s="107"/>
    </row>
    <row r="301" spans="2:35">
      <c r="L301" s="105"/>
      <c r="T301" s="107"/>
      <c r="U301" s="107"/>
      <c r="V301" s="106"/>
      <c r="X301" s="107"/>
      <c r="Y301" s="107"/>
      <c r="Z301" s="107"/>
      <c r="AA301" s="107"/>
      <c r="AB301" s="107"/>
      <c r="AC301" s="107"/>
      <c r="AD301" s="107"/>
      <c r="AE301" s="107"/>
      <c r="AF301" s="107"/>
      <c r="AG301" s="107"/>
      <c r="AH301" s="107"/>
      <c r="AI301" s="107"/>
    </row>
    <row r="302" spans="2:35">
      <c r="L302" s="105"/>
      <c r="T302" s="107"/>
      <c r="U302" s="107"/>
      <c r="V302" s="106"/>
      <c r="X302" s="107"/>
      <c r="Y302" s="107"/>
      <c r="Z302" s="107"/>
      <c r="AA302" s="107"/>
      <c r="AB302" s="107"/>
      <c r="AC302" s="107"/>
      <c r="AD302" s="107"/>
      <c r="AE302" s="107"/>
      <c r="AF302" s="107"/>
      <c r="AG302" s="107"/>
      <c r="AH302" s="107"/>
      <c r="AI302" s="107"/>
    </row>
    <row r="303" spans="2:35">
      <c r="L303" s="105"/>
      <c r="T303" s="107"/>
      <c r="U303" s="107"/>
      <c r="V303" s="106"/>
      <c r="X303" s="107"/>
      <c r="Y303" s="107"/>
      <c r="Z303" s="107"/>
      <c r="AA303" s="107"/>
      <c r="AB303" s="107"/>
      <c r="AC303" s="107"/>
      <c r="AD303" s="107"/>
      <c r="AE303" s="107"/>
      <c r="AF303" s="107"/>
      <c r="AG303" s="107"/>
      <c r="AH303" s="107"/>
      <c r="AI303" s="107"/>
    </row>
    <row r="304" spans="2:35">
      <c r="L304" s="105"/>
      <c r="T304" s="107"/>
      <c r="U304" s="107"/>
      <c r="V304" s="106"/>
      <c r="X304" s="107"/>
      <c r="Y304" s="107"/>
      <c r="Z304" s="107"/>
      <c r="AA304" s="107"/>
      <c r="AB304" s="107"/>
      <c r="AC304" s="107"/>
      <c r="AD304" s="107"/>
      <c r="AE304" s="107"/>
      <c r="AF304" s="107"/>
      <c r="AG304" s="107"/>
      <c r="AH304" s="107"/>
      <c r="AI304" s="107"/>
    </row>
    <row r="305" spans="12:35">
      <c r="L305" s="105"/>
      <c r="T305" s="107"/>
      <c r="U305" s="107"/>
      <c r="V305" s="106"/>
      <c r="X305" s="107"/>
      <c r="Y305" s="107"/>
      <c r="Z305" s="107"/>
      <c r="AA305" s="107"/>
      <c r="AB305" s="107"/>
      <c r="AC305" s="107"/>
      <c r="AD305" s="107"/>
      <c r="AE305" s="107"/>
      <c r="AF305" s="107"/>
      <c r="AG305" s="107"/>
      <c r="AH305" s="107"/>
      <c r="AI305" s="107"/>
    </row>
    <row r="306" spans="12:35">
      <c r="L306" s="105"/>
      <c r="T306" s="107"/>
      <c r="U306" s="107"/>
      <c r="V306" s="106"/>
      <c r="X306" s="107"/>
      <c r="Y306" s="107"/>
      <c r="Z306" s="107"/>
      <c r="AA306" s="107"/>
      <c r="AB306" s="107"/>
      <c r="AC306" s="107"/>
      <c r="AD306" s="107"/>
      <c r="AE306" s="107"/>
      <c r="AF306" s="107"/>
      <c r="AG306" s="107"/>
      <c r="AH306" s="107"/>
      <c r="AI306" s="107"/>
    </row>
    <row r="307" spans="12:35">
      <c r="L307" s="105"/>
      <c r="T307" s="107"/>
      <c r="U307" s="107"/>
      <c r="V307" s="106"/>
      <c r="X307" s="107"/>
      <c r="Y307" s="107"/>
      <c r="Z307" s="107"/>
      <c r="AA307" s="107"/>
      <c r="AB307" s="107"/>
      <c r="AC307" s="107"/>
      <c r="AD307" s="107"/>
      <c r="AE307" s="107"/>
      <c r="AF307" s="107"/>
      <c r="AG307" s="107"/>
      <c r="AH307" s="107"/>
      <c r="AI307" s="107"/>
    </row>
    <row r="308" spans="12:35">
      <c r="L308" s="105"/>
      <c r="T308" s="107"/>
      <c r="U308" s="107"/>
      <c r="V308" s="106"/>
      <c r="X308" s="107"/>
      <c r="Y308" s="107"/>
      <c r="Z308" s="107"/>
      <c r="AA308" s="107"/>
      <c r="AB308" s="107"/>
      <c r="AC308" s="107"/>
      <c r="AD308" s="107"/>
      <c r="AE308" s="107"/>
      <c r="AF308" s="107"/>
      <c r="AG308" s="107"/>
      <c r="AH308" s="107"/>
      <c r="AI308" s="107"/>
    </row>
    <row r="309" spans="12:35">
      <c r="L309" s="105"/>
      <c r="T309" s="107"/>
      <c r="U309" s="107"/>
      <c r="V309" s="106"/>
      <c r="X309" s="107"/>
      <c r="Y309" s="107"/>
      <c r="Z309" s="107"/>
      <c r="AA309" s="107"/>
      <c r="AB309" s="107"/>
      <c r="AC309" s="107"/>
      <c r="AD309" s="107"/>
      <c r="AE309" s="107"/>
      <c r="AF309" s="107"/>
      <c r="AG309" s="107"/>
      <c r="AH309" s="107"/>
      <c r="AI309" s="107"/>
    </row>
    <row r="310" spans="12:35">
      <c r="L310" s="105"/>
      <c r="T310" s="107"/>
      <c r="U310" s="107"/>
      <c r="V310" s="106"/>
      <c r="X310" s="107"/>
      <c r="Y310" s="107"/>
      <c r="Z310" s="107"/>
      <c r="AA310" s="107"/>
      <c r="AB310" s="107"/>
      <c r="AC310" s="107"/>
      <c r="AD310" s="107"/>
      <c r="AE310" s="107"/>
      <c r="AF310" s="107"/>
      <c r="AG310" s="107"/>
      <c r="AH310" s="107"/>
      <c r="AI310" s="107"/>
    </row>
    <row r="311" spans="12:35">
      <c r="L311" s="105"/>
      <c r="M311" s="105"/>
      <c r="N311" s="105"/>
      <c r="O311" s="105"/>
      <c r="P311" s="105"/>
      <c r="T311" s="107"/>
      <c r="U311" s="106"/>
      <c r="V311" s="106"/>
      <c r="X311" s="107"/>
      <c r="Y311" s="107"/>
      <c r="Z311" s="107"/>
      <c r="AA311" s="107"/>
      <c r="AB311" s="107"/>
      <c r="AC311" s="107"/>
      <c r="AD311" s="107"/>
      <c r="AE311" s="107"/>
      <c r="AF311" s="107"/>
      <c r="AG311" s="107"/>
      <c r="AH311" s="107"/>
      <c r="AI311" s="107"/>
    </row>
    <row r="312" spans="12:35">
      <c r="L312" s="105"/>
      <c r="M312" s="105"/>
      <c r="N312" s="105"/>
      <c r="O312" s="105"/>
      <c r="P312" s="105"/>
      <c r="T312" s="107"/>
      <c r="U312" s="106"/>
      <c r="V312" s="106"/>
      <c r="X312" s="107"/>
      <c r="Y312" s="107"/>
      <c r="Z312" s="107"/>
      <c r="AA312" s="107"/>
      <c r="AB312" s="107"/>
      <c r="AC312" s="107"/>
      <c r="AD312" s="107"/>
      <c r="AE312" s="107"/>
      <c r="AF312" s="107"/>
      <c r="AG312" s="107"/>
      <c r="AH312" s="107"/>
      <c r="AI312" s="107"/>
    </row>
    <row r="313" spans="12:35">
      <c r="L313" s="105"/>
      <c r="T313" s="107"/>
      <c r="U313" s="107"/>
      <c r="V313" s="107"/>
      <c r="X313" s="107"/>
      <c r="Y313" s="107"/>
      <c r="Z313" s="107"/>
      <c r="AA313" s="107"/>
      <c r="AB313" s="107"/>
      <c r="AC313" s="107"/>
      <c r="AD313" s="107"/>
      <c r="AE313" s="107"/>
      <c r="AF313" s="107"/>
      <c r="AG313" s="107"/>
      <c r="AH313" s="107"/>
      <c r="AI313" s="107"/>
    </row>
    <row r="314" spans="12:35">
      <c r="L314" s="105"/>
      <c r="T314" s="107"/>
      <c r="U314" s="107"/>
      <c r="V314" s="107"/>
      <c r="X314" s="107"/>
      <c r="Y314" s="107"/>
      <c r="Z314" s="107"/>
      <c r="AA314" s="107"/>
      <c r="AB314" s="107"/>
      <c r="AC314" s="107"/>
      <c r="AD314" s="107"/>
      <c r="AE314" s="107"/>
      <c r="AF314" s="107"/>
      <c r="AG314" s="107"/>
      <c r="AH314" s="107"/>
      <c r="AI314" s="107"/>
    </row>
    <row r="315" spans="12:35">
      <c r="L315" s="105"/>
      <c r="T315" s="107"/>
      <c r="U315" s="107"/>
      <c r="V315" s="107"/>
      <c r="X315" s="107"/>
      <c r="Y315" s="107"/>
      <c r="Z315" s="107"/>
      <c r="AA315" s="107"/>
      <c r="AB315" s="107"/>
      <c r="AC315" s="107"/>
      <c r="AD315" s="107"/>
      <c r="AE315" s="107"/>
      <c r="AF315" s="107"/>
      <c r="AG315" s="107"/>
      <c r="AH315" s="107"/>
      <c r="AI315" s="107"/>
    </row>
    <row r="316" spans="12:35">
      <c r="L316" s="105"/>
      <c r="T316" s="107"/>
      <c r="U316" s="107"/>
      <c r="V316" s="107"/>
      <c r="X316" s="107"/>
      <c r="Y316" s="107"/>
      <c r="Z316" s="107"/>
      <c r="AA316" s="107"/>
      <c r="AB316" s="107"/>
      <c r="AC316" s="107"/>
      <c r="AD316" s="107"/>
      <c r="AE316" s="107"/>
      <c r="AF316" s="107"/>
      <c r="AG316" s="107"/>
      <c r="AH316" s="107"/>
      <c r="AI316" s="107"/>
    </row>
    <row r="317" spans="12:35">
      <c r="L317" s="105"/>
      <c r="T317" s="107"/>
      <c r="U317" s="107"/>
      <c r="V317" s="107"/>
      <c r="X317" s="107"/>
      <c r="Y317" s="107"/>
      <c r="Z317" s="107"/>
      <c r="AA317" s="107"/>
      <c r="AB317" s="107"/>
      <c r="AC317" s="107"/>
      <c r="AD317" s="107"/>
      <c r="AE317" s="107"/>
      <c r="AF317" s="107"/>
      <c r="AG317" s="107"/>
      <c r="AH317" s="107"/>
      <c r="AI317" s="107"/>
    </row>
    <row r="318" spans="12:35">
      <c r="L318" s="105"/>
      <c r="T318" s="107"/>
      <c r="U318" s="107"/>
      <c r="V318" s="107"/>
      <c r="X318" s="107"/>
      <c r="Y318" s="107"/>
      <c r="Z318" s="107"/>
      <c r="AA318" s="107"/>
      <c r="AB318" s="107"/>
      <c r="AC318" s="107"/>
      <c r="AD318" s="107"/>
      <c r="AE318" s="107"/>
      <c r="AF318" s="107"/>
      <c r="AG318" s="107"/>
      <c r="AH318" s="107"/>
      <c r="AI318" s="107"/>
    </row>
    <row r="319" spans="12:35">
      <c r="L319" s="105"/>
      <c r="T319" s="107"/>
      <c r="U319" s="107"/>
      <c r="V319" s="107"/>
      <c r="X319" s="107"/>
      <c r="Y319" s="107"/>
      <c r="Z319" s="107"/>
      <c r="AA319" s="107"/>
      <c r="AB319" s="107"/>
      <c r="AC319" s="107"/>
      <c r="AD319" s="107"/>
      <c r="AE319" s="107"/>
      <c r="AF319" s="107"/>
      <c r="AG319" s="107"/>
      <c r="AH319" s="107"/>
      <c r="AI319" s="107"/>
    </row>
    <row r="320" spans="12:35">
      <c r="L320" s="105"/>
      <c r="T320" s="107"/>
      <c r="U320" s="107"/>
      <c r="V320" s="107"/>
      <c r="X320" s="107"/>
      <c r="Y320" s="107"/>
      <c r="Z320" s="107"/>
      <c r="AA320" s="107"/>
      <c r="AB320" s="107"/>
      <c r="AC320" s="107"/>
      <c r="AD320" s="107"/>
      <c r="AE320" s="107"/>
      <c r="AF320" s="107"/>
      <c r="AG320" s="107"/>
      <c r="AH320" s="107"/>
      <c r="AI320" s="107"/>
    </row>
    <row r="321" spans="12:35">
      <c r="L321" s="105"/>
      <c r="T321" s="107"/>
      <c r="U321" s="107"/>
      <c r="V321" s="107"/>
      <c r="X321" s="107"/>
      <c r="Y321" s="107"/>
      <c r="Z321" s="107"/>
      <c r="AA321" s="107"/>
      <c r="AB321" s="107"/>
      <c r="AC321" s="107"/>
      <c r="AD321" s="107"/>
      <c r="AE321" s="107"/>
      <c r="AF321" s="107"/>
      <c r="AG321" s="107"/>
      <c r="AH321" s="107"/>
      <c r="AI321" s="107"/>
    </row>
    <row r="322" spans="12:35">
      <c r="L322" s="105"/>
      <c r="T322" s="107"/>
      <c r="U322" s="107"/>
      <c r="V322" s="107"/>
      <c r="X322" s="107"/>
      <c r="Y322" s="107"/>
      <c r="Z322" s="107"/>
      <c r="AA322" s="107"/>
      <c r="AB322" s="107"/>
      <c r="AC322" s="107"/>
      <c r="AD322" s="107"/>
      <c r="AE322" s="107"/>
      <c r="AF322" s="107"/>
      <c r="AG322" s="107"/>
      <c r="AH322" s="107"/>
      <c r="AI322" s="107"/>
    </row>
    <row r="323" spans="12:35">
      <c r="L323" s="105"/>
      <c r="T323" s="107"/>
      <c r="U323" s="107"/>
      <c r="V323" s="107"/>
      <c r="X323" s="107"/>
      <c r="Y323" s="107"/>
      <c r="Z323" s="107"/>
      <c r="AA323" s="107"/>
      <c r="AB323" s="107"/>
      <c r="AC323" s="107"/>
      <c r="AD323" s="107"/>
      <c r="AE323" s="107"/>
      <c r="AF323" s="107"/>
      <c r="AG323" s="107"/>
      <c r="AH323" s="107"/>
      <c r="AI323" s="107"/>
    </row>
    <row r="324" spans="12:35">
      <c r="L324" s="105"/>
      <c r="T324" s="107"/>
      <c r="U324" s="107"/>
      <c r="V324" s="107"/>
      <c r="X324" s="107"/>
      <c r="Y324" s="107"/>
      <c r="Z324" s="107"/>
      <c r="AA324" s="107"/>
      <c r="AB324" s="107"/>
      <c r="AC324" s="107"/>
      <c r="AD324" s="107"/>
      <c r="AE324" s="107"/>
      <c r="AF324" s="107"/>
      <c r="AG324" s="107"/>
      <c r="AH324" s="107"/>
      <c r="AI324" s="107"/>
    </row>
    <row r="325" spans="12:35">
      <c r="L325" s="105"/>
      <c r="T325" s="107"/>
      <c r="U325" s="107"/>
      <c r="V325" s="107"/>
      <c r="X325" s="107"/>
      <c r="Y325" s="107"/>
      <c r="Z325" s="107"/>
      <c r="AA325" s="107"/>
      <c r="AB325" s="107"/>
      <c r="AC325" s="107"/>
      <c r="AD325" s="107"/>
      <c r="AE325" s="107"/>
      <c r="AF325" s="107"/>
      <c r="AG325" s="107"/>
      <c r="AH325" s="107"/>
      <c r="AI325" s="107"/>
    </row>
    <row r="326" spans="12:35">
      <c r="L326" s="105"/>
      <c r="T326" s="107"/>
      <c r="U326" s="107"/>
      <c r="V326" s="107"/>
      <c r="X326" s="107"/>
      <c r="Y326" s="107"/>
      <c r="Z326" s="107"/>
      <c r="AA326" s="107"/>
      <c r="AB326" s="107"/>
      <c r="AC326" s="107"/>
      <c r="AD326" s="107"/>
      <c r="AE326" s="107"/>
      <c r="AF326" s="107"/>
      <c r="AG326" s="107"/>
      <c r="AH326" s="107"/>
      <c r="AI326" s="107"/>
    </row>
    <row r="327" spans="12:35">
      <c r="L327" s="105"/>
      <c r="T327" s="107"/>
      <c r="U327" s="107"/>
      <c r="V327" s="107"/>
      <c r="X327" s="107"/>
      <c r="Y327" s="107"/>
      <c r="Z327" s="107"/>
      <c r="AA327" s="107"/>
      <c r="AB327" s="107"/>
      <c r="AC327" s="107"/>
      <c r="AD327" s="107"/>
      <c r="AE327" s="107"/>
      <c r="AF327" s="107"/>
      <c r="AG327" s="107"/>
      <c r="AH327" s="107"/>
      <c r="AI327" s="107"/>
    </row>
    <row r="328" spans="12:35">
      <c r="L328" s="105"/>
      <c r="T328" s="107"/>
      <c r="U328" s="107"/>
      <c r="V328" s="107"/>
      <c r="X328" s="107"/>
      <c r="Y328" s="107"/>
      <c r="Z328" s="107"/>
      <c r="AA328" s="107"/>
      <c r="AB328" s="107"/>
      <c r="AC328" s="107"/>
      <c r="AD328" s="107"/>
      <c r="AE328" s="107"/>
      <c r="AF328" s="107"/>
      <c r="AG328" s="107"/>
      <c r="AH328" s="107"/>
      <c r="AI328" s="107"/>
    </row>
    <row r="329" spans="12:35">
      <c r="L329" s="105"/>
      <c r="T329" s="107"/>
      <c r="U329" s="107"/>
      <c r="V329" s="107"/>
      <c r="X329" s="107"/>
      <c r="Y329" s="107"/>
      <c r="Z329" s="107"/>
      <c r="AA329" s="107"/>
      <c r="AB329" s="107"/>
      <c r="AC329" s="107"/>
      <c r="AD329" s="107"/>
      <c r="AE329" s="107"/>
      <c r="AF329" s="107"/>
      <c r="AG329" s="107"/>
      <c r="AH329" s="107"/>
      <c r="AI329" s="107"/>
    </row>
    <row r="330" spans="12:35">
      <c r="L330" s="105"/>
      <c r="T330" s="107"/>
      <c r="U330" s="107"/>
      <c r="V330" s="107"/>
      <c r="X330" s="107"/>
      <c r="Y330" s="107"/>
      <c r="Z330" s="107"/>
      <c r="AA330" s="107"/>
      <c r="AB330" s="107"/>
      <c r="AC330" s="107"/>
      <c r="AD330" s="107"/>
      <c r="AE330" s="107"/>
      <c r="AF330" s="107"/>
      <c r="AG330" s="107"/>
      <c r="AH330" s="107"/>
      <c r="AI330" s="107"/>
    </row>
    <row r="331" spans="12:35">
      <c r="L331" s="105"/>
      <c r="T331" s="107"/>
      <c r="U331" s="107"/>
      <c r="V331" s="107"/>
      <c r="X331" s="107"/>
      <c r="Y331" s="107"/>
      <c r="Z331" s="107"/>
      <c r="AA331" s="107"/>
      <c r="AB331" s="107"/>
      <c r="AC331" s="107"/>
      <c r="AD331" s="107"/>
      <c r="AE331" s="107"/>
      <c r="AF331" s="107"/>
      <c r="AG331" s="107"/>
      <c r="AH331" s="107"/>
      <c r="AI331" s="107"/>
    </row>
    <row r="332" spans="12:35">
      <c r="L332" s="105"/>
      <c r="T332" s="107"/>
      <c r="U332" s="107"/>
      <c r="V332" s="107"/>
      <c r="X332" s="107"/>
      <c r="Y332" s="107"/>
      <c r="Z332" s="107"/>
      <c r="AA332" s="107"/>
      <c r="AB332" s="107"/>
      <c r="AC332" s="107"/>
      <c r="AD332" s="107"/>
      <c r="AE332" s="107"/>
      <c r="AF332" s="107"/>
      <c r="AG332" s="107"/>
      <c r="AH332" s="107"/>
      <c r="AI332" s="107"/>
    </row>
    <row r="333" spans="12:35">
      <c r="L333" s="105"/>
      <c r="T333" s="107"/>
      <c r="U333" s="107"/>
      <c r="V333" s="107"/>
      <c r="X333" s="107"/>
      <c r="Y333" s="107"/>
      <c r="Z333" s="107"/>
      <c r="AA333" s="107"/>
      <c r="AB333" s="107"/>
      <c r="AC333" s="107"/>
      <c r="AD333" s="107"/>
      <c r="AE333" s="107"/>
      <c r="AF333" s="107"/>
      <c r="AG333" s="107"/>
      <c r="AH333" s="107"/>
      <c r="AI333" s="107"/>
    </row>
    <row r="334" spans="12:35">
      <c r="L334" s="105"/>
      <c r="T334" s="107"/>
      <c r="U334" s="107"/>
      <c r="V334" s="107"/>
      <c r="X334" s="107"/>
      <c r="Y334" s="107"/>
      <c r="Z334" s="107"/>
      <c r="AA334" s="107"/>
      <c r="AB334" s="107"/>
      <c r="AC334" s="107"/>
      <c r="AD334" s="107"/>
      <c r="AE334" s="107"/>
      <c r="AF334" s="107"/>
      <c r="AG334" s="107"/>
      <c r="AH334" s="107"/>
      <c r="AI334" s="107"/>
    </row>
    <row r="335" spans="12:35">
      <c r="L335" s="105"/>
      <c r="T335" s="107"/>
      <c r="U335" s="107"/>
      <c r="V335" s="107"/>
      <c r="X335" s="107"/>
      <c r="Y335" s="107"/>
      <c r="Z335" s="107"/>
      <c r="AA335" s="107"/>
      <c r="AB335" s="107"/>
      <c r="AC335" s="107"/>
      <c r="AD335" s="107"/>
      <c r="AE335" s="107"/>
      <c r="AF335" s="107"/>
      <c r="AG335" s="107"/>
      <c r="AH335" s="107"/>
      <c r="AI335" s="107"/>
    </row>
    <row r="336" spans="12:35">
      <c r="L336" s="105"/>
      <c r="T336" s="107"/>
      <c r="U336" s="107"/>
      <c r="V336" s="107"/>
      <c r="X336" s="107"/>
      <c r="Y336" s="107"/>
      <c r="Z336" s="107"/>
      <c r="AA336" s="107"/>
      <c r="AB336" s="107"/>
      <c r="AC336" s="107"/>
      <c r="AD336" s="107"/>
      <c r="AE336" s="107"/>
      <c r="AF336" s="107"/>
      <c r="AG336" s="107"/>
      <c r="AH336" s="107"/>
      <c r="AI336" s="107"/>
    </row>
    <row r="337" spans="12:35">
      <c r="L337" s="105"/>
      <c r="T337" s="107"/>
      <c r="U337" s="107"/>
      <c r="V337" s="107"/>
      <c r="X337" s="107"/>
      <c r="Y337" s="107"/>
      <c r="Z337" s="107"/>
      <c r="AA337" s="107"/>
      <c r="AB337" s="107"/>
      <c r="AC337" s="107"/>
      <c r="AD337" s="107"/>
      <c r="AE337" s="107"/>
      <c r="AF337" s="107"/>
      <c r="AG337" s="107"/>
      <c r="AH337" s="107"/>
      <c r="AI337" s="107"/>
    </row>
    <row r="338" spans="12:35">
      <c r="L338" s="105"/>
      <c r="T338" s="107"/>
      <c r="U338" s="107"/>
      <c r="V338" s="107"/>
      <c r="X338" s="107"/>
      <c r="Y338" s="107"/>
      <c r="Z338" s="107"/>
      <c r="AA338" s="107"/>
      <c r="AB338" s="107"/>
      <c r="AC338" s="107"/>
      <c r="AD338" s="107"/>
      <c r="AE338" s="107"/>
      <c r="AF338" s="107"/>
      <c r="AG338" s="107"/>
      <c r="AH338" s="107"/>
      <c r="AI338" s="107"/>
    </row>
    <row r="339" spans="12:35">
      <c r="L339" s="105"/>
      <c r="X339" s="107"/>
      <c r="Y339" s="107"/>
      <c r="Z339" s="107"/>
      <c r="AA339" s="107"/>
      <c r="AB339" s="107"/>
      <c r="AC339" s="107"/>
      <c r="AD339" s="107"/>
      <c r="AE339" s="107"/>
      <c r="AF339" s="107"/>
      <c r="AG339" s="107"/>
      <c r="AH339" s="107"/>
      <c r="AI339" s="107"/>
    </row>
    <row r="340" spans="12:35">
      <c r="L340" s="105"/>
      <c r="X340" s="107"/>
      <c r="Y340" s="107"/>
      <c r="Z340" s="107"/>
      <c r="AA340" s="107"/>
      <c r="AB340" s="107"/>
      <c r="AC340" s="107"/>
      <c r="AD340" s="107"/>
      <c r="AE340" s="107"/>
      <c r="AF340" s="107"/>
      <c r="AG340" s="107"/>
      <c r="AH340" s="107"/>
      <c r="AI340" s="107"/>
    </row>
    <row r="341" spans="12:35">
      <c r="L341" s="105"/>
      <c r="X341" s="107"/>
      <c r="Y341" s="107"/>
      <c r="Z341" s="107"/>
      <c r="AA341" s="107"/>
      <c r="AB341" s="107"/>
      <c r="AC341" s="107"/>
      <c r="AD341" s="107"/>
      <c r="AE341" s="107"/>
      <c r="AF341" s="107"/>
      <c r="AG341" s="107"/>
      <c r="AH341" s="107"/>
      <c r="AI341" s="107"/>
    </row>
    <row r="342" spans="12:35">
      <c r="L342" s="105"/>
      <c r="X342" s="107"/>
      <c r="Y342" s="107"/>
      <c r="Z342" s="107"/>
      <c r="AA342" s="107"/>
      <c r="AB342" s="107"/>
      <c r="AC342" s="107"/>
      <c r="AD342" s="107"/>
      <c r="AE342" s="107"/>
      <c r="AF342" s="107"/>
      <c r="AG342" s="107"/>
      <c r="AH342" s="107"/>
      <c r="AI342" s="107"/>
    </row>
    <row r="343" spans="12:35">
      <c r="L343" s="105"/>
      <c r="X343" s="107"/>
      <c r="Y343" s="107"/>
      <c r="Z343" s="107"/>
      <c r="AA343" s="107"/>
      <c r="AB343" s="107"/>
      <c r="AC343" s="107"/>
      <c r="AD343" s="107"/>
      <c r="AE343" s="107"/>
      <c r="AF343" s="107"/>
      <c r="AG343" s="107"/>
      <c r="AH343" s="107"/>
      <c r="AI343" s="107"/>
    </row>
    <row r="344" spans="12:35">
      <c r="L344" s="105"/>
      <c r="X344" s="107"/>
      <c r="Y344" s="107"/>
      <c r="Z344" s="107"/>
      <c r="AA344" s="107"/>
      <c r="AB344" s="107"/>
      <c r="AC344" s="107"/>
      <c r="AD344" s="107"/>
      <c r="AE344" s="107"/>
      <c r="AF344" s="107"/>
      <c r="AG344" s="107"/>
      <c r="AH344" s="107"/>
      <c r="AI344" s="107"/>
    </row>
    <row r="345" spans="12:35">
      <c r="L345" s="105"/>
      <c r="X345" s="107"/>
      <c r="Y345" s="107"/>
      <c r="Z345" s="107"/>
      <c r="AA345" s="107"/>
      <c r="AB345" s="107"/>
      <c r="AC345" s="107"/>
      <c r="AD345" s="107"/>
      <c r="AE345" s="107"/>
      <c r="AF345" s="107"/>
      <c r="AG345" s="107"/>
      <c r="AH345" s="107"/>
      <c r="AI345" s="107"/>
    </row>
    <row r="346" spans="12:35">
      <c r="L346" s="105"/>
      <c r="X346" s="107"/>
      <c r="Y346" s="107"/>
      <c r="Z346" s="107"/>
      <c r="AA346" s="107"/>
      <c r="AB346" s="107"/>
      <c r="AC346" s="107"/>
      <c r="AD346" s="107"/>
      <c r="AE346" s="107"/>
      <c r="AF346" s="107"/>
      <c r="AG346" s="107"/>
      <c r="AH346" s="107"/>
      <c r="AI346" s="107"/>
    </row>
    <row r="347" spans="12:35">
      <c r="L347" s="105"/>
      <c r="X347" s="107"/>
      <c r="Y347" s="107"/>
      <c r="Z347" s="107"/>
      <c r="AA347" s="107"/>
      <c r="AB347" s="107"/>
      <c r="AC347" s="107"/>
      <c r="AD347" s="107"/>
      <c r="AE347" s="107"/>
      <c r="AF347" s="107"/>
      <c r="AG347" s="107"/>
      <c r="AH347" s="107"/>
      <c r="AI347" s="107"/>
    </row>
    <row r="348" spans="12:35">
      <c r="L348" s="105"/>
      <c r="X348" s="107"/>
      <c r="Y348" s="107"/>
      <c r="Z348" s="107"/>
      <c r="AA348" s="107"/>
      <c r="AB348" s="107"/>
      <c r="AC348" s="107"/>
      <c r="AD348" s="107"/>
      <c r="AE348" s="107"/>
      <c r="AF348" s="107"/>
      <c r="AG348" s="107"/>
      <c r="AH348" s="107"/>
      <c r="AI348" s="107"/>
    </row>
    <row r="349" spans="12:35">
      <c r="L349" s="105"/>
      <c r="X349" s="107"/>
      <c r="Y349" s="107"/>
      <c r="Z349" s="107"/>
      <c r="AA349" s="107"/>
      <c r="AB349" s="107"/>
      <c r="AC349" s="107"/>
      <c r="AD349" s="107"/>
      <c r="AE349" s="107"/>
      <c r="AF349" s="107"/>
      <c r="AG349" s="107"/>
      <c r="AH349" s="107"/>
      <c r="AI349" s="107"/>
    </row>
    <row r="350" spans="12:35">
      <c r="L350" s="105"/>
      <c r="X350" s="107"/>
      <c r="Y350" s="107"/>
      <c r="Z350" s="107"/>
      <c r="AA350" s="107"/>
      <c r="AB350" s="107"/>
      <c r="AC350" s="107"/>
      <c r="AD350" s="107"/>
      <c r="AE350" s="107"/>
      <c r="AF350" s="107"/>
      <c r="AG350" s="107"/>
      <c r="AH350" s="107"/>
      <c r="AI350" s="107"/>
    </row>
    <row r="351" spans="12:35">
      <c r="L351" s="105"/>
      <c r="X351" s="107"/>
      <c r="Y351" s="107"/>
      <c r="Z351" s="107"/>
      <c r="AA351" s="107"/>
      <c r="AB351" s="107"/>
      <c r="AC351" s="107"/>
      <c r="AD351" s="107"/>
      <c r="AE351" s="107"/>
      <c r="AF351" s="107"/>
      <c r="AG351" s="107"/>
      <c r="AH351" s="107"/>
      <c r="AI351" s="107"/>
    </row>
    <row r="352" spans="12:35">
      <c r="L352" s="105"/>
      <c r="X352" s="107"/>
      <c r="Y352" s="107"/>
      <c r="Z352" s="107"/>
      <c r="AA352" s="107"/>
      <c r="AB352" s="107"/>
      <c r="AC352" s="107"/>
      <c r="AD352" s="107"/>
      <c r="AE352" s="107"/>
      <c r="AF352" s="107"/>
      <c r="AG352" s="107"/>
      <c r="AH352" s="107"/>
      <c r="AI352" s="107"/>
    </row>
    <row r="353" spans="12:35">
      <c r="L353" s="105"/>
      <c r="X353" s="107"/>
      <c r="Y353" s="107"/>
      <c r="Z353" s="107"/>
      <c r="AA353" s="107"/>
      <c r="AB353" s="107"/>
      <c r="AC353" s="107"/>
      <c r="AD353" s="107"/>
      <c r="AE353" s="107"/>
      <c r="AF353" s="107"/>
      <c r="AG353" s="107"/>
      <c r="AH353" s="107"/>
      <c r="AI353" s="107"/>
    </row>
    <row r="354" spans="12:35">
      <c r="L354" s="105"/>
      <c r="X354" s="107"/>
      <c r="Y354" s="107"/>
      <c r="Z354" s="107"/>
      <c r="AA354" s="107"/>
      <c r="AB354" s="107"/>
      <c r="AC354" s="107"/>
      <c r="AD354" s="107"/>
      <c r="AE354" s="107"/>
      <c r="AF354" s="107"/>
      <c r="AG354" s="107"/>
      <c r="AH354" s="107"/>
      <c r="AI354" s="107"/>
    </row>
    <row r="355" spans="12:35">
      <c r="L355" s="105"/>
      <c r="X355" s="107"/>
      <c r="Y355" s="107"/>
      <c r="Z355" s="107"/>
      <c r="AA355" s="107"/>
      <c r="AB355" s="107"/>
      <c r="AC355" s="107"/>
      <c r="AD355" s="107"/>
      <c r="AE355" s="107"/>
      <c r="AF355" s="107"/>
      <c r="AG355" s="107"/>
      <c r="AH355" s="107"/>
      <c r="AI355" s="107"/>
    </row>
    <row r="356" spans="12:35">
      <c r="L356" s="105"/>
      <c r="X356" s="107"/>
      <c r="Y356" s="107"/>
      <c r="Z356" s="107"/>
      <c r="AA356" s="107"/>
      <c r="AB356" s="107"/>
      <c r="AC356" s="107"/>
      <c r="AD356" s="107"/>
      <c r="AE356" s="107"/>
      <c r="AF356" s="107"/>
      <c r="AG356" s="107"/>
      <c r="AH356" s="107"/>
      <c r="AI356" s="107"/>
    </row>
    <row r="357" spans="12:35">
      <c r="L357" s="105"/>
      <c r="X357" s="107"/>
      <c r="Y357" s="107"/>
      <c r="Z357" s="107"/>
      <c r="AA357" s="107"/>
      <c r="AB357" s="107"/>
      <c r="AC357" s="107"/>
      <c r="AD357" s="107"/>
      <c r="AE357" s="107"/>
      <c r="AF357" s="107"/>
      <c r="AG357" s="107"/>
      <c r="AH357" s="107"/>
      <c r="AI357" s="107"/>
    </row>
    <row r="358" spans="12:35">
      <c r="L358" s="105"/>
      <c r="X358" s="107"/>
      <c r="Y358" s="107"/>
      <c r="Z358" s="107"/>
      <c r="AA358" s="107"/>
      <c r="AB358" s="107"/>
      <c r="AC358" s="107"/>
      <c r="AD358" s="107"/>
      <c r="AE358" s="107"/>
      <c r="AF358" s="107"/>
      <c r="AG358" s="107"/>
      <c r="AH358" s="107"/>
      <c r="AI358" s="107"/>
    </row>
    <row r="359" spans="12:35">
      <c r="X359" s="107"/>
      <c r="Y359" s="107"/>
      <c r="Z359" s="107"/>
      <c r="AA359" s="107"/>
      <c r="AB359" s="107"/>
      <c r="AC359" s="107"/>
      <c r="AD359" s="107"/>
      <c r="AE359" s="107"/>
      <c r="AF359" s="107"/>
      <c r="AG359" s="107"/>
      <c r="AH359" s="107"/>
      <c r="AI359" s="107"/>
    </row>
    <row r="360" spans="12:35">
      <c r="X360" s="107"/>
      <c r="Y360" s="107"/>
      <c r="Z360" s="107"/>
      <c r="AA360" s="107"/>
      <c r="AB360" s="107"/>
      <c r="AC360" s="107"/>
      <c r="AD360" s="107"/>
      <c r="AE360" s="107"/>
      <c r="AF360" s="107"/>
      <c r="AG360" s="107"/>
      <c r="AH360" s="107"/>
      <c r="AI360" s="107"/>
    </row>
    <row r="361" spans="12:35">
      <c r="X361" s="107"/>
      <c r="Y361" s="107"/>
      <c r="Z361" s="107"/>
      <c r="AA361" s="107"/>
      <c r="AB361" s="107"/>
      <c r="AC361" s="107"/>
      <c r="AD361" s="107"/>
      <c r="AE361" s="107"/>
      <c r="AF361" s="107"/>
      <c r="AG361" s="107"/>
      <c r="AH361" s="107"/>
      <c r="AI361" s="107"/>
    </row>
    <row r="362" spans="12:35">
      <c r="X362" s="107"/>
      <c r="Y362" s="107"/>
      <c r="Z362" s="107"/>
      <c r="AA362" s="107"/>
      <c r="AB362" s="107"/>
      <c r="AC362" s="107"/>
      <c r="AD362" s="107"/>
      <c r="AE362" s="107"/>
      <c r="AF362" s="107"/>
      <c r="AG362" s="107"/>
      <c r="AH362" s="107"/>
      <c r="AI362" s="107"/>
    </row>
    <row r="363" spans="12:35">
      <c r="X363" s="107"/>
      <c r="Y363" s="107"/>
      <c r="Z363" s="107"/>
      <c r="AA363" s="107"/>
      <c r="AB363" s="107"/>
      <c r="AC363" s="107"/>
      <c r="AD363" s="107"/>
      <c r="AE363" s="107"/>
      <c r="AF363" s="107"/>
      <c r="AG363" s="107"/>
      <c r="AH363" s="107"/>
      <c r="AI363" s="107"/>
    </row>
    <row r="364" spans="12:35">
      <c r="X364" s="107"/>
      <c r="Y364" s="107"/>
      <c r="Z364" s="107"/>
      <c r="AA364" s="107"/>
      <c r="AB364" s="107"/>
      <c r="AC364" s="107"/>
      <c r="AD364" s="107"/>
      <c r="AE364" s="107"/>
      <c r="AF364" s="107"/>
      <c r="AG364" s="107"/>
      <c r="AH364" s="107"/>
      <c r="AI364" s="107"/>
    </row>
    <row r="365" spans="12:35">
      <c r="X365" s="107"/>
      <c r="Y365" s="107"/>
      <c r="Z365" s="107"/>
      <c r="AA365" s="107"/>
      <c r="AB365" s="107"/>
      <c r="AC365" s="107"/>
      <c r="AD365" s="107"/>
      <c r="AE365" s="107"/>
      <c r="AF365" s="107"/>
      <c r="AG365" s="107"/>
      <c r="AH365" s="107"/>
      <c r="AI365" s="107"/>
    </row>
    <row r="366" spans="12:35">
      <c r="X366" s="107"/>
      <c r="Y366" s="107"/>
      <c r="Z366" s="107"/>
      <c r="AA366" s="107"/>
      <c r="AB366" s="107"/>
      <c r="AC366" s="107"/>
      <c r="AD366" s="107"/>
      <c r="AE366" s="107"/>
      <c r="AF366" s="107"/>
      <c r="AG366" s="107"/>
      <c r="AH366" s="107"/>
      <c r="AI366" s="107"/>
    </row>
    <row r="367" spans="12:35">
      <c r="X367" s="107"/>
      <c r="Y367" s="107"/>
      <c r="Z367" s="107"/>
      <c r="AA367" s="107"/>
      <c r="AB367" s="107"/>
      <c r="AC367" s="107"/>
      <c r="AD367" s="107"/>
      <c r="AE367" s="107"/>
      <c r="AF367" s="107"/>
      <c r="AG367" s="107"/>
      <c r="AH367" s="107"/>
      <c r="AI367" s="107"/>
    </row>
    <row r="368" spans="12:35">
      <c r="X368" s="107"/>
      <c r="Y368" s="107"/>
      <c r="Z368" s="107"/>
      <c r="AA368" s="107"/>
      <c r="AB368" s="107"/>
      <c r="AC368" s="107"/>
      <c r="AD368" s="107"/>
      <c r="AE368" s="107"/>
      <c r="AF368" s="107"/>
      <c r="AG368" s="107"/>
      <c r="AH368" s="107"/>
      <c r="AI368" s="107"/>
    </row>
    <row r="369" spans="24:35">
      <c r="X369" s="107"/>
      <c r="Y369" s="107"/>
      <c r="Z369" s="107"/>
      <c r="AA369" s="107"/>
      <c r="AB369" s="107"/>
      <c r="AC369" s="107"/>
      <c r="AD369" s="107"/>
      <c r="AE369" s="107"/>
      <c r="AF369" s="107"/>
      <c r="AG369" s="107"/>
      <c r="AH369" s="107"/>
      <c r="AI369" s="107"/>
    </row>
    <row r="370" spans="24:35">
      <c r="X370" s="107"/>
      <c r="Y370" s="107"/>
      <c r="Z370" s="107"/>
      <c r="AA370" s="107"/>
      <c r="AB370" s="107"/>
      <c r="AC370" s="107"/>
      <c r="AD370" s="107"/>
      <c r="AE370" s="107"/>
      <c r="AF370" s="107"/>
      <c r="AG370" s="107"/>
      <c r="AH370" s="107"/>
      <c r="AI370" s="107"/>
    </row>
    <row r="371" spans="24:35">
      <c r="X371" s="107"/>
      <c r="Y371" s="107"/>
      <c r="Z371" s="107"/>
      <c r="AA371" s="107"/>
      <c r="AB371" s="107"/>
      <c r="AC371" s="107"/>
      <c r="AD371" s="107"/>
      <c r="AE371" s="107"/>
      <c r="AF371" s="107"/>
      <c r="AG371" s="107"/>
      <c r="AH371" s="107"/>
      <c r="AI371" s="107"/>
    </row>
    <row r="372" spans="24:35">
      <c r="X372" s="107"/>
      <c r="Y372" s="107"/>
      <c r="Z372" s="107"/>
      <c r="AA372" s="107"/>
      <c r="AB372" s="107"/>
      <c r="AC372" s="107"/>
      <c r="AD372" s="107"/>
      <c r="AE372" s="107"/>
      <c r="AF372" s="107"/>
      <c r="AG372" s="107"/>
      <c r="AH372" s="107"/>
      <c r="AI372" s="107"/>
    </row>
    <row r="373" spans="24:35">
      <c r="X373" s="107"/>
      <c r="Y373" s="107"/>
      <c r="Z373" s="107"/>
      <c r="AA373" s="107"/>
      <c r="AB373" s="107"/>
      <c r="AC373" s="107"/>
      <c r="AD373" s="107"/>
      <c r="AE373" s="107"/>
      <c r="AF373" s="107"/>
      <c r="AG373" s="107"/>
      <c r="AH373" s="107"/>
      <c r="AI373" s="107"/>
    </row>
    <row r="374" spans="24:35">
      <c r="X374" s="107"/>
      <c r="Y374" s="107"/>
      <c r="Z374" s="107"/>
      <c r="AA374" s="107"/>
      <c r="AB374" s="107"/>
      <c r="AC374" s="107"/>
      <c r="AD374" s="107"/>
      <c r="AE374" s="107"/>
      <c r="AF374" s="107"/>
      <c r="AG374" s="107"/>
      <c r="AH374" s="107"/>
      <c r="AI374" s="107"/>
    </row>
    <row r="375" spans="24:35">
      <c r="X375" s="107"/>
      <c r="Y375" s="107"/>
      <c r="Z375" s="107"/>
      <c r="AA375" s="107"/>
      <c r="AB375" s="107"/>
      <c r="AC375" s="107"/>
      <c r="AD375" s="107"/>
      <c r="AE375" s="107"/>
      <c r="AF375" s="107"/>
      <c r="AG375" s="107"/>
      <c r="AH375" s="107"/>
      <c r="AI375" s="107"/>
    </row>
    <row r="376" spans="24:35">
      <c r="X376" s="107"/>
      <c r="Y376" s="107"/>
      <c r="Z376" s="107"/>
      <c r="AA376" s="107"/>
      <c r="AB376" s="107"/>
      <c r="AC376" s="107"/>
      <c r="AD376" s="107"/>
      <c r="AE376" s="107"/>
      <c r="AF376" s="107"/>
      <c r="AG376" s="107"/>
      <c r="AH376" s="107"/>
      <c r="AI376" s="107"/>
    </row>
    <row r="377" spans="24:35">
      <c r="X377" s="107"/>
      <c r="Y377" s="107"/>
      <c r="Z377" s="107"/>
      <c r="AA377" s="107"/>
      <c r="AB377" s="107"/>
      <c r="AC377" s="107"/>
      <c r="AD377" s="107"/>
      <c r="AE377" s="107"/>
      <c r="AF377" s="107"/>
      <c r="AG377" s="107"/>
      <c r="AH377" s="107"/>
      <c r="AI377" s="107"/>
    </row>
    <row r="378" spans="24:35">
      <c r="X378" s="107"/>
      <c r="Y378" s="107"/>
      <c r="Z378" s="107"/>
      <c r="AA378" s="107"/>
      <c r="AB378" s="107"/>
      <c r="AC378" s="107"/>
      <c r="AD378" s="107"/>
      <c r="AE378" s="107"/>
      <c r="AF378" s="107"/>
      <c r="AG378" s="107"/>
      <c r="AH378" s="107"/>
      <c r="AI378" s="107"/>
    </row>
    <row r="379" spans="24:35">
      <c r="X379" s="107"/>
      <c r="Y379" s="107"/>
      <c r="Z379" s="107"/>
      <c r="AA379" s="107"/>
      <c r="AB379" s="107"/>
      <c r="AC379" s="107"/>
      <c r="AD379" s="107"/>
      <c r="AE379" s="107"/>
      <c r="AF379" s="107"/>
      <c r="AG379" s="107"/>
      <c r="AH379" s="107"/>
      <c r="AI379" s="107"/>
    </row>
    <row r="380" spans="24:35">
      <c r="X380" s="107"/>
      <c r="Y380" s="107"/>
      <c r="Z380" s="107"/>
      <c r="AA380" s="107"/>
      <c r="AB380" s="107"/>
      <c r="AC380" s="107"/>
      <c r="AD380" s="107"/>
      <c r="AE380" s="107"/>
      <c r="AF380" s="107"/>
      <c r="AG380" s="107"/>
      <c r="AH380" s="107"/>
      <c r="AI380" s="107"/>
    </row>
    <row r="381" spans="24:35">
      <c r="X381" s="107"/>
      <c r="Y381" s="107"/>
      <c r="Z381" s="107"/>
      <c r="AA381" s="107"/>
      <c r="AB381" s="107"/>
      <c r="AC381" s="107"/>
      <c r="AD381" s="107"/>
      <c r="AE381" s="107"/>
      <c r="AF381" s="107"/>
      <c r="AG381" s="107"/>
      <c r="AH381" s="107"/>
      <c r="AI381" s="107"/>
    </row>
    <row r="382" spans="24:35">
      <c r="X382" s="107"/>
      <c r="Y382" s="107"/>
      <c r="Z382" s="107"/>
      <c r="AA382" s="107"/>
      <c r="AB382" s="107"/>
      <c r="AC382" s="107"/>
      <c r="AD382" s="107"/>
      <c r="AE382" s="107"/>
      <c r="AF382" s="107"/>
      <c r="AG382" s="107"/>
      <c r="AH382" s="107"/>
      <c r="AI382" s="107"/>
    </row>
    <row r="383" spans="24:35">
      <c r="X383" s="107"/>
      <c r="Y383" s="107"/>
      <c r="Z383" s="107"/>
      <c r="AA383" s="107"/>
      <c r="AB383" s="107"/>
      <c r="AC383" s="107"/>
      <c r="AD383" s="107"/>
      <c r="AE383" s="107"/>
      <c r="AF383" s="107"/>
      <c r="AG383" s="107"/>
      <c r="AH383" s="107"/>
      <c r="AI383" s="107"/>
    </row>
    <row r="384" spans="24:35">
      <c r="X384" s="107"/>
      <c r="Y384" s="107"/>
      <c r="Z384" s="107"/>
      <c r="AA384" s="107"/>
      <c r="AB384" s="107"/>
      <c r="AC384" s="107"/>
      <c r="AD384" s="107"/>
      <c r="AE384" s="107"/>
      <c r="AF384" s="107"/>
      <c r="AG384" s="107"/>
      <c r="AH384" s="107"/>
      <c r="AI384" s="107"/>
    </row>
    <row r="385" spans="24:35">
      <c r="X385" s="107"/>
      <c r="Y385" s="107"/>
      <c r="Z385" s="107"/>
      <c r="AA385" s="107"/>
      <c r="AB385" s="107"/>
      <c r="AC385" s="107"/>
      <c r="AD385" s="107"/>
      <c r="AE385" s="107"/>
      <c r="AF385" s="107"/>
      <c r="AG385" s="107"/>
      <c r="AH385" s="107"/>
      <c r="AI385" s="107"/>
    </row>
    <row r="386" spans="24:35">
      <c r="X386" s="107"/>
      <c r="Y386" s="107"/>
      <c r="Z386" s="107"/>
      <c r="AA386" s="107"/>
      <c r="AB386" s="107"/>
      <c r="AC386" s="107"/>
      <c r="AD386" s="107"/>
      <c r="AE386" s="107"/>
      <c r="AF386" s="107"/>
      <c r="AG386" s="107"/>
      <c r="AH386" s="107"/>
      <c r="AI386" s="107"/>
    </row>
    <row r="387" spans="24:35">
      <c r="X387" s="107"/>
      <c r="Y387" s="107"/>
      <c r="Z387" s="107"/>
      <c r="AA387" s="107"/>
      <c r="AB387" s="107"/>
      <c r="AC387" s="107"/>
      <c r="AD387" s="107"/>
      <c r="AE387" s="107"/>
      <c r="AF387" s="107"/>
      <c r="AG387" s="107"/>
      <c r="AH387" s="107"/>
      <c r="AI387" s="107"/>
    </row>
    <row r="388" spans="24:35">
      <c r="X388" s="107"/>
      <c r="Y388" s="107"/>
      <c r="Z388" s="107"/>
      <c r="AA388" s="107"/>
      <c r="AB388" s="107"/>
      <c r="AC388" s="107"/>
      <c r="AD388" s="107"/>
      <c r="AE388" s="107"/>
      <c r="AF388" s="107"/>
      <c r="AG388" s="107"/>
      <c r="AH388" s="107"/>
      <c r="AI388" s="107"/>
    </row>
    <row r="389" spans="24:35">
      <c r="X389" s="107"/>
      <c r="Y389" s="107"/>
      <c r="Z389" s="107"/>
      <c r="AA389" s="107"/>
      <c r="AB389" s="107"/>
      <c r="AC389" s="107"/>
      <c r="AD389" s="107"/>
      <c r="AE389" s="107"/>
      <c r="AF389" s="107"/>
      <c r="AG389" s="107"/>
      <c r="AH389" s="107"/>
      <c r="AI389" s="107"/>
    </row>
    <row r="390" spans="24:35">
      <c r="X390" s="107"/>
      <c r="Y390" s="107"/>
      <c r="Z390" s="107"/>
      <c r="AA390" s="107"/>
      <c r="AB390" s="107"/>
      <c r="AC390" s="107"/>
      <c r="AD390" s="107"/>
      <c r="AE390" s="107"/>
      <c r="AF390" s="107"/>
      <c r="AG390" s="107"/>
      <c r="AH390" s="107"/>
      <c r="AI390" s="107"/>
    </row>
    <row r="391" spans="24:35">
      <c r="X391" s="107"/>
      <c r="Y391" s="107"/>
      <c r="Z391" s="107"/>
      <c r="AA391" s="107"/>
      <c r="AB391" s="107"/>
      <c r="AC391" s="107"/>
      <c r="AD391" s="107"/>
      <c r="AE391" s="107"/>
      <c r="AF391" s="107"/>
      <c r="AG391" s="107"/>
      <c r="AH391" s="107"/>
      <c r="AI391" s="107"/>
    </row>
    <row r="392" spans="24:35">
      <c r="X392" s="107"/>
      <c r="Y392" s="107"/>
      <c r="Z392" s="107"/>
      <c r="AA392" s="107"/>
      <c r="AB392" s="107"/>
      <c r="AC392" s="107"/>
      <c r="AD392" s="107"/>
      <c r="AE392" s="107"/>
      <c r="AF392" s="107"/>
      <c r="AG392" s="107"/>
      <c r="AH392" s="107"/>
      <c r="AI392" s="107"/>
    </row>
    <row r="393" spans="24:35">
      <c r="X393" s="107"/>
      <c r="Y393" s="107"/>
      <c r="Z393" s="107"/>
      <c r="AA393" s="107"/>
      <c r="AB393" s="107"/>
      <c r="AC393" s="107"/>
      <c r="AD393" s="107"/>
      <c r="AE393" s="107"/>
      <c r="AF393" s="107"/>
      <c r="AG393" s="107"/>
      <c r="AH393" s="107"/>
      <c r="AI393" s="107"/>
    </row>
    <row r="394" spans="24:35">
      <c r="X394" s="107"/>
      <c r="Y394" s="107"/>
      <c r="Z394" s="107"/>
      <c r="AA394" s="107"/>
      <c r="AB394" s="107"/>
      <c r="AC394" s="107"/>
      <c r="AD394" s="107"/>
      <c r="AE394" s="107"/>
      <c r="AF394" s="107"/>
      <c r="AG394" s="107"/>
      <c r="AH394" s="107"/>
      <c r="AI394" s="107"/>
    </row>
    <row r="395" spans="24:35">
      <c r="X395" s="107"/>
      <c r="Y395" s="107"/>
      <c r="Z395" s="107"/>
      <c r="AA395" s="107"/>
      <c r="AB395" s="107"/>
      <c r="AC395" s="107"/>
      <c r="AD395" s="107"/>
      <c r="AE395" s="107"/>
      <c r="AF395" s="107"/>
      <c r="AG395" s="107"/>
      <c r="AH395" s="107"/>
      <c r="AI395" s="107"/>
    </row>
    <row r="396" spans="24:35">
      <c r="X396" s="107"/>
      <c r="Y396" s="107"/>
      <c r="Z396" s="107"/>
      <c r="AA396" s="107"/>
      <c r="AB396" s="107"/>
      <c r="AC396" s="107"/>
      <c r="AD396" s="107"/>
      <c r="AE396" s="107"/>
      <c r="AF396" s="107"/>
      <c r="AG396" s="107"/>
      <c r="AH396" s="107"/>
      <c r="AI396" s="107"/>
    </row>
    <row r="397" spans="24:35">
      <c r="X397" s="107"/>
      <c r="Y397" s="107"/>
      <c r="Z397" s="107"/>
      <c r="AA397" s="107"/>
      <c r="AB397" s="107"/>
      <c r="AC397" s="107"/>
      <c r="AD397" s="107"/>
      <c r="AE397" s="107"/>
      <c r="AF397" s="107"/>
      <c r="AG397" s="107"/>
      <c r="AH397" s="107"/>
      <c r="AI397" s="107"/>
    </row>
    <row r="398" spans="24:35">
      <c r="X398" s="107"/>
      <c r="Y398" s="107"/>
      <c r="Z398" s="107"/>
      <c r="AA398" s="107"/>
      <c r="AB398" s="107"/>
      <c r="AC398" s="107"/>
      <c r="AD398" s="107"/>
      <c r="AE398" s="107"/>
      <c r="AF398" s="107"/>
      <c r="AG398" s="107"/>
      <c r="AH398" s="107"/>
      <c r="AI398" s="107"/>
    </row>
    <row r="399" spans="24:35">
      <c r="X399" s="107"/>
      <c r="Y399" s="107"/>
      <c r="Z399" s="107"/>
      <c r="AA399" s="107"/>
      <c r="AB399" s="107"/>
      <c r="AC399" s="107"/>
      <c r="AD399" s="107"/>
      <c r="AE399" s="107"/>
      <c r="AF399" s="107"/>
      <c r="AG399" s="107"/>
      <c r="AH399" s="107"/>
      <c r="AI399" s="107"/>
    </row>
    <row r="400" spans="24:35">
      <c r="X400" s="107"/>
      <c r="Y400" s="107"/>
      <c r="Z400" s="107"/>
      <c r="AA400" s="107"/>
      <c r="AB400" s="107"/>
      <c r="AC400" s="107"/>
      <c r="AD400" s="107"/>
      <c r="AE400" s="107"/>
      <c r="AF400" s="107"/>
      <c r="AG400" s="107"/>
      <c r="AH400" s="107"/>
      <c r="AI400" s="107"/>
    </row>
    <row r="401" spans="24:35">
      <c r="X401" s="107"/>
      <c r="Y401" s="107"/>
      <c r="Z401" s="107"/>
      <c r="AA401" s="107"/>
      <c r="AB401" s="107"/>
      <c r="AC401" s="107"/>
      <c r="AD401" s="107"/>
      <c r="AE401" s="107"/>
      <c r="AF401" s="107"/>
      <c r="AG401" s="107"/>
      <c r="AH401" s="107"/>
      <c r="AI401" s="107"/>
    </row>
    <row r="402" spans="24:35">
      <c r="X402" s="107"/>
      <c r="Y402" s="107"/>
      <c r="Z402" s="107"/>
      <c r="AA402" s="107"/>
      <c r="AB402" s="107"/>
      <c r="AC402" s="107"/>
      <c r="AD402" s="107"/>
      <c r="AE402" s="107"/>
      <c r="AF402" s="107"/>
      <c r="AG402" s="107"/>
      <c r="AH402" s="107"/>
      <c r="AI402" s="107"/>
    </row>
    <row r="403" spans="24:35">
      <c r="X403" s="107"/>
      <c r="Y403" s="107"/>
      <c r="Z403" s="107"/>
      <c r="AA403" s="107"/>
      <c r="AB403" s="107"/>
      <c r="AC403" s="107"/>
      <c r="AD403" s="107"/>
      <c r="AE403" s="107"/>
      <c r="AF403" s="107"/>
      <c r="AG403" s="107"/>
      <c r="AH403" s="107"/>
      <c r="AI403" s="107"/>
    </row>
    <row r="404" spans="24:35">
      <c r="X404" s="107"/>
      <c r="Y404" s="107"/>
      <c r="Z404" s="107"/>
      <c r="AA404" s="107"/>
      <c r="AB404" s="107"/>
      <c r="AC404" s="107"/>
      <c r="AD404" s="107"/>
      <c r="AE404" s="107"/>
      <c r="AF404" s="107"/>
      <c r="AG404" s="107"/>
      <c r="AH404" s="107"/>
      <c r="AI404" s="107"/>
    </row>
    <row r="405" spans="24:35">
      <c r="X405" s="107"/>
      <c r="Y405" s="107"/>
      <c r="Z405" s="107"/>
      <c r="AA405" s="107"/>
      <c r="AB405" s="107"/>
      <c r="AC405" s="107"/>
      <c r="AD405" s="107"/>
      <c r="AE405" s="107"/>
      <c r="AF405" s="107"/>
      <c r="AG405" s="107"/>
      <c r="AH405" s="107"/>
      <c r="AI405" s="107"/>
    </row>
    <row r="406" spans="24:35">
      <c r="X406" s="107"/>
      <c r="Y406" s="107"/>
      <c r="Z406" s="107"/>
      <c r="AA406" s="107"/>
      <c r="AB406" s="107"/>
      <c r="AC406" s="107"/>
      <c r="AD406" s="107"/>
      <c r="AE406" s="107"/>
      <c r="AF406" s="107"/>
      <c r="AG406" s="107"/>
      <c r="AH406" s="107"/>
      <c r="AI406" s="107"/>
    </row>
    <row r="407" spans="24:35">
      <c r="X407" s="107"/>
      <c r="Y407" s="107"/>
      <c r="Z407" s="107"/>
      <c r="AA407" s="107"/>
      <c r="AB407" s="107"/>
      <c r="AC407" s="107"/>
      <c r="AD407" s="107"/>
      <c r="AE407" s="107"/>
      <c r="AF407" s="107"/>
      <c r="AG407" s="107"/>
      <c r="AH407" s="107"/>
      <c r="AI407" s="107"/>
    </row>
    <row r="408" spans="24:35">
      <c r="X408" s="107"/>
      <c r="Y408" s="107"/>
      <c r="Z408" s="107"/>
      <c r="AA408" s="107"/>
      <c r="AB408" s="107"/>
      <c r="AC408" s="107"/>
      <c r="AD408" s="107"/>
      <c r="AE408" s="107"/>
      <c r="AF408" s="107"/>
      <c r="AG408" s="107"/>
      <c r="AH408" s="107"/>
      <c r="AI408" s="107"/>
    </row>
    <row r="409" spans="24:35">
      <c r="X409" s="107"/>
      <c r="Y409" s="107"/>
      <c r="Z409" s="107"/>
      <c r="AA409" s="107"/>
      <c r="AB409" s="107"/>
      <c r="AC409" s="107"/>
      <c r="AD409" s="107"/>
      <c r="AE409" s="107"/>
      <c r="AF409" s="107"/>
      <c r="AG409" s="107"/>
      <c r="AH409" s="107"/>
      <c r="AI409" s="107"/>
    </row>
    <row r="410" spans="24:35">
      <c r="X410" s="107"/>
      <c r="Y410" s="107"/>
      <c r="Z410" s="107"/>
      <c r="AA410" s="107"/>
      <c r="AB410" s="107"/>
      <c r="AC410" s="107"/>
      <c r="AD410" s="107"/>
      <c r="AE410" s="107"/>
      <c r="AF410" s="107"/>
      <c r="AG410" s="107"/>
      <c r="AH410" s="107"/>
      <c r="AI410" s="107"/>
    </row>
    <row r="411" spans="24:35">
      <c r="X411" s="107"/>
      <c r="Y411" s="107"/>
      <c r="Z411" s="107"/>
      <c r="AA411" s="107"/>
      <c r="AB411" s="107"/>
      <c r="AC411" s="107"/>
      <c r="AD411" s="107"/>
      <c r="AE411" s="107"/>
      <c r="AF411" s="107"/>
      <c r="AG411" s="107"/>
      <c r="AH411" s="107"/>
      <c r="AI411" s="107"/>
    </row>
    <row r="412" spans="24:35">
      <c r="X412" s="107"/>
      <c r="Y412" s="107"/>
      <c r="Z412" s="107"/>
      <c r="AA412" s="107"/>
      <c r="AB412" s="107"/>
      <c r="AC412" s="107"/>
      <c r="AD412" s="107"/>
      <c r="AE412" s="107"/>
      <c r="AF412" s="107"/>
      <c r="AG412" s="107"/>
      <c r="AH412" s="107"/>
      <c r="AI412" s="107"/>
    </row>
    <row r="413" spans="24:35">
      <c r="X413" s="107"/>
      <c r="Y413" s="107"/>
      <c r="Z413" s="107"/>
      <c r="AA413" s="107"/>
      <c r="AB413" s="107"/>
      <c r="AC413" s="107"/>
      <c r="AD413" s="107"/>
      <c r="AE413" s="107"/>
      <c r="AF413" s="107"/>
      <c r="AG413" s="107"/>
      <c r="AH413" s="107"/>
      <c r="AI413" s="107"/>
    </row>
    <row r="414" spans="24:35">
      <c r="X414" s="107"/>
      <c r="Y414" s="107"/>
      <c r="Z414" s="107"/>
      <c r="AA414" s="107"/>
      <c r="AB414" s="107"/>
      <c r="AC414" s="107"/>
      <c r="AD414" s="107"/>
      <c r="AE414" s="107"/>
      <c r="AF414" s="107"/>
      <c r="AG414" s="107"/>
      <c r="AH414" s="107"/>
      <c r="AI414" s="107"/>
    </row>
    <row r="415" spans="24:35">
      <c r="X415" s="107"/>
      <c r="Y415" s="107"/>
      <c r="Z415" s="107"/>
      <c r="AA415" s="107"/>
      <c r="AB415" s="107"/>
      <c r="AC415" s="107"/>
      <c r="AD415" s="107"/>
      <c r="AE415" s="107"/>
      <c r="AF415" s="107"/>
      <c r="AG415" s="107"/>
      <c r="AH415" s="107"/>
      <c r="AI415" s="107"/>
    </row>
    <row r="416" spans="24:35">
      <c r="X416" s="107"/>
      <c r="Y416" s="107"/>
      <c r="Z416" s="107"/>
      <c r="AA416" s="107"/>
      <c r="AB416" s="107"/>
      <c r="AC416" s="107"/>
      <c r="AD416" s="107"/>
      <c r="AE416" s="107"/>
      <c r="AF416" s="107"/>
      <c r="AG416" s="107"/>
      <c r="AH416" s="107"/>
      <c r="AI416" s="107"/>
    </row>
    <row r="417" spans="24:35">
      <c r="X417" s="107"/>
      <c r="Y417" s="107"/>
      <c r="Z417" s="107"/>
      <c r="AA417" s="107"/>
      <c r="AB417" s="107"/>
      <c r="AC417" s="107"/>
      <c r="AD417" s="107"/>
      <c r="AE417" s="107"/>
      <c r="AF417" s="107"/>
      <c r="AG417" s="107"/>
      <c r="AH417" s="107"/>
      <c r="AI417" s="107"/>
    </row>
    <row r="418" spans="24:35">
      <c r="X418" s="107"/>
      <c r="Y418" s="107"/>
      <c r="Z418" s="107"/>
      <c r="AA418" s="107"/>
      <c r="AB418" s="107"/>
      <c r="AC418" s="107"/>
      <c r="AD418" s="107"/>
      <c r="AE418" s="107"/>
      <c r="AF418" s="107"/>
      <c r="AG418" s="107"/>
      <c r="AH418" s="107"/>
      <c r="AI418" s="107"/>
    </row>
    <row r="419" spans="24:35">
      <c r="X419" s="107"/>
      <c r="Y419" s="107"/>
      <c r="Z419" s="107"/>
      <c r="AA419" s="107"/>
      <c r="AB419" s="107"/>
      <c r="AC419" s="107"/>
      <c r="AD419" s="107"/>
      <c r="AE419" s="107"/>
      <c r="AF419" s="107"/>
      <c r="AG419" s="107"/>
      <c r="AH419" s="107"/>
      <c r="AI419" s="107"/>
    </row>
    <row r="420" spans="24:35">
      <c r="X420" s="107"/>
      <c r="Y420" s="107"/>
      <c r="Z420" s="107"/>
      <c r="AA420" s="107"/>
      <c r="AB420" s="107"/>
      <c r="AC420" s="107"/>
      <c r="AD420" s="107"/>
      <c r="AE420" s="107"/>
      <c r="AF420" s="107"/>
      <c r="AG420" s="107"/>
      <c r="AH420" s="107"/>
      <c r="AI420" s="107"/>
    </row>
    <row r="421" spans="24:35">
      <c r="X421" s="107"/>
      <c r="Y421" s="107"/>
      <c r="Z421" s="107"/>
      <c r="AA421" s="107"/>
      <c r="AB421" s="107"/>
      <c r="AC421" s="107"/>
      <c r="AD421" s="107"/>
      <c r="AE421" s="107"/>
      <c r="AF421" s="107"/>
      <c r="AG421" s="107"/>
      <c r="AH421" s="107"/>
      <c r="AI421" s="107"/>
    </row>
    <row r="422" spans="24:35">
      <c r="X422" s="107"/>
      <c r="Y422" s="107"/>
      <c r="Z422" s="107"/>
      <c r="AA422" s="107"/>
      <c r="AB422" s="107"/>
      <c r="AC422" s="107"/>
      <c r="AD422" s="107"/>
      <c r="AE422" s="107"/>
      <c r="AF422" s="107"/>
      <c r="AG422" s="107"/>
      <c r="AH422" s="107"/>
      <c r="AI422" s="107"/>
    </row>
    <row r="423" spans="24:35">
      <c r="X423" s="107"/>
      <c r="Y423" s="107"/>
      <c r="Z423" s="107"/>
      <c r="AA423" s="107"/>
      <c r="AB423" s="107"/>
      <c r="AC423" s="107"/>
      <c r="AD423" s="107"/>
      <c r="AE423" s="107"/>
      <c r="AF423" s="107"/>
      <c r="AG423" s="107"/>
      <c r="AH423" s="107"/>
      <c r="AI423" s="107"/>
    </row>
    <row r="424" spans="24:35">
      <c r="X424" s="107"/>
      <c r="Y424" s="107"/>
      <c r="Z424" s="107"/>
      <c r="AA424" s="107"/>
      <c r="AB424" s="107"/>
      <c r="AC424" s="107"/>
      <c r="AD424" s="107"/>
      <c r="AE424" s="107"/>
      <c r="AF424" s="107"/>
      <c r="AG424" s="107"/>
      <c r="AH424" s="107"/>
      <c r="AI424" s="107"/>
    </row>
    <row r="425" spans="24:35">
      <c r="X425" s="107"/>
      <c r="Y425" s="107"/>
      <c r="Z425" s="107"/>
      <c r="AA425" s="107"/>
      <c r="AB425" s="107"/>
      <c r="AC425" s="107"/>
      <c r="AD425" s="107"/>
      <c r="AE425" s="107"/>
      <c r="AF425" s="107"/>
      <c r="AG425" s="107"/>
      <c r="AH425" s="107"/>
      <c r="AI425" s="107"/>
    </row>
    <row r="426" spans="24:35">
      <c r="X426" s="107"/>
      <c r="Y426" s="107"/>
      <c r="Z426" s="107"/>
      <c r="AA426" s="107"/>
      <c r="AB426" s="107"/>
      <c r="AC426" s="107"/>
      <c r="AD426" s="107"/>
      <c r="AE426" s="107"/>
      <c r="AF426" s="107"/>
      <c r="AG426" s="107"/>
      <c r="AH426" s="107"/>
      <c r="AI426" s="107"/>
    </row>
    <row r="427" spans="24:35">
      <c r="X427" s="107"/>
      <c r="Y427" s="107"/>
      <c r="Z427" s="107"/>
      <c r="AA427" s="107"/>
      <c r="AB427" s="107"/>
      <c r="AC427" s="107"/>
      <c r="AD427" s="107"/>
      <c r="AE427" s="107"/>
      <c r="AF427" s="107"/>
      <c r="AG427" s="107"/>
      <c r="AH427" s="107"/>
      <c r="AI427" s="107"/>
    </row>
    <row r="428" spans="24:35">
      <c r="X428" s="107"/>
      <c r="Y428" s="107"/>
      <c r="Z428" s="107"/>
      <c r="AA428" s="107"/>
      <c r="AB428" s="107"/>
      <c r="AC428" s="107"/>
      <c r="AD428" s="107"/>
      <c r="AE428" s="107"/>
      <c r="AF428" s="107"/>
      <c r="AG428" s="107"/>
      <c r="AH428" s="107"/>
      <c r="AI428" s="107"/>
    </row>
    <row r="429" spans="24:35">
      <c r="X429" s="107"/>
      <c r="Y429" s="107"/>
      <c r="Z429" s="107"/>
      <c r="AA429" s="107"/>
      <c r="AB429" s="107"/>
      <c r="AC429" s="107"/>
      <c r="AD429" s="107"/>
      <c r="AE429" s="107"/>
      <c r="AF429" s="107"/>
      <c r="AG429" s="107"/>
      <c r="AH429" s="107"/>
      <c r="AI429" s="107"/>
    </row>
    <row r="430" spans="24:35">
      <c r="X430" s="107"/>
      <c r="Y430" s="107"/>
      <c r="Z430" s="107"/>
      <c r="AA430" s="107"/>
      <c r="AB430" s="107"/>
      <c r="AC430" s="107"/>
      <c r="AD430" s="107"/>
      <c r="AE430" s="107"/>
      <c r="AF430" s="107"/>
      <c r="AG430" s="107"/>
      <c r="AH430" s="107"/>
      <c r="AI430" s="107"/>
    </row>
    <row r="431" spans="24:35">
      <c r="X431" s="107"/>
      <c r="Y431" s="107"/>
      <c r="Z431" s="107"/>
      <c r="AA431" s="107"/>
      <c r="AB431" s="107"/>
      <c r="AC431" s="107"/>
      <c r="AD431" s="107"/>
      <c r="AE431" s="107"/>
      <c r="AF431" s="107"/>
      <c r="AG431" s="107"/>
      <c r="AH431" s="107"/>
      <c r="AI431" s="107"/>
    </row>
    <row r="432" spans="24:35">
      <c r="X432" s="107"/>
      <c r="Y432" s="107"/>
      <c r="Z432" s="107"/>
      <c r="AA432" s="107"/>
      <c r="AB432" s="107"/>
      <c r="AC432" s="107"/>
      <c r="AD432" s="107"/>
      <c r="AE432" s="107"/>
      <c r="AF432" s="107"/>
      <c r="AG432" s="107"/>
      <c r="AH432" s="107"/>
      <c r="AI432" s="107"/>
    </row>
    <row r="433" spans="24:35">
      <c r="X433" s="107"/>
      <c r="Y433" s="107"/>
      <c r="Z433" s="107"/>
      <c r="AA433" s="107"/>
      <c r="AB433" s="107"/>
      <c r="AC433" s="107"/>
      <c r="AD433" s="107"/>
      <c r="AE433" s="107"/>
      <c r="AF433" s="107"/>
      <c r="AG433" s="107"/>
      <c r="AH433" s="107"/>
      <c r="AI433" s="107"/>
    </row>
    <row r="434" spans="24:35">
      <c r="X434" s="107"/>
      <c r="Y434" s="107"/>
      <c r="Z434" s="107"/>
      <c r="AA434" s="107"/>
      <c r="AB434" s="107"/>
      <c r="AC434" s="107"/>
      <c r="AD434" s="107"/>
      <c r="AE434" s="107"/>
      <c r="AF434" s="107"/>
      <c r="AG434" s="107"/>
      <c r="AH434" s="107"/>
      <c r="AI434" s="107"/>
    </row>
    <row r="435" spans="24:35">
      <c r="X435" s="107"/>
      <c r="Y435" s="107"/>
      <c r="Z435" s="107"/>
      <c r="AA435" s="107"/>
      <c r="AB435" s="107"/>
      <c r="AC435" s="107"/>
      <c r="AD435" s="107"/>
      <c r="AE435" s="107"/>
      <c r="AF435" s="107"/>
      <c r="AG435" s="107"/>
      <c r="AH435" s="107"/>
      <c r="AI435" s="107"/>
    </row>
    <row r="436" spans="24:35">
      <c r="X436" s="107"/>
      <c r="Y436" s="107"/>
      <c r="Z436" s="107"/>
      <c r="AA436" s="107"/>
      <c r="AB436" s="107"/>
      <c r="AC436" s="107"/>
      <c r="AD436" s="107"/>
      <c r="AE436" s="107"/>
      <c r="AF436" s="107"/>
      <c r="AG436" s="107"/>
      <c r="AH436" s="107"/>
      <c r="AI436" s="107"/>
    </row>
    <row r="437" spans="24:35">
      <c r="X437" s="107"/>
      <c r="Y437" s="107"/>
      <c r="Z437" s="107"/>
      <c r="AA437" s="107"/>
      <c r="AB437" s="107"/>
      <c r="AC437" s="107"/>
      <c r="AD437" s="107"/>
      <c r="AE437" s="107"/>
      <c r="AF437" s="107"/>
      <c r="AG437" s="107"/>
      <c r="AH437" s="107"/>
      <c r="AI437" s="107"/>
    </row>
    <row r="438" spans="24:35">
      <c r="X438" s="107"/>
      <c r="Y438" s="107"/>
      <c r="Z438" s="107"/>
      <c r="AA438" s="107"/>
      <c r="AB438" s="107"/>
      <c r="AC438" s="107"/>
      <c r="AD438" s="107"/>
      <c r="AE438" s="107"/>
      <c r="AF438" s="107"/>
      <c r="AG438" s="107"/>
      <c r="AH438" s="107"/>
      <c r="AI438" s="107"/>
    </row>
    <row r="439" spans="24:35">
      <c r="X439" s="107"/>
      <c r="Y439" s="107"/>
      <c r="Z439" s="107"/>
      <c r="AA439" s="107"/>
      <c r="AB439" s="107"/>
      <c r="AC439" s="107"/>
      <c r="AD439" s="107"/>
      <c r="AE439" s="107"/>
      <c r="AF439" s="107"/>
      <c r="AG439" s="107"/>
      <c r="AH439" s="107"/>
      <c r="AI439" s="107"/>
    </row>
    <row r="440" spans="24:35">
      <c r="X440" s="107"/>
      <c r="Y440" s="107"/>
      <c r="Z440" s="107"/>
      <c r="AA440" s="107"/>
      <c r="AB440" s="107"/>
      <c r="AC440" s="107"/>
      <c r="AD440" s="107"/>
      <c r="AE440" s="107"/>
      <c r="AF440" s="107"/>
      <c r="AG440" s="107"/>
      <c r="AH440" s="107"/>
      <c r="AI440" s="107"/>
    </row>
    <row r="441" spans="24:35">
      <c r="X441" s="107"/>
      <c r="Y441" s="107"/>
      <c r="Z441" s="107"/>
      <c r="AA441" s="107"/>
      <c r="AB441" s="107"/>
      <c r="AC441" s="107"/>
      <c r="AD441" s="107"/>
      <c r="AE441" s="107"/>
      <c r="AF441" s="107"/>
      <c r="AG441" s="107"/>
      <c r="AH441" s="107"/>
      <c r="AI441" s="107"/>
    </row>
    <row r="442" spans="24:35">
      <c r="X442" s="107"/>
      <c r="Y442" s="107"/>
      <c r="Z442" s="107"/>
      <c r="AA442" s="107"/>
      <c r="AB442" s="107"/>
      <c r="AC442" s="107"/>
      <c r="AD442" s="107"/>
      <c r="AE442" s="107"/>
      <c r="AF442" s="107"/>
      <c r="AG442" s="107"/>
      <c r="AH442" s="107"/>
      <c r="AI442" s="107"/>
    </row>
    <row r="443" spans="24:35">
      <c r="X443" s="107"/>
      <c r="Y443" s="107"/>
      <c r="Z443" s="107"/>
      <c r="AA443" s="107"/>
      <c r="AB443" s="107"/>
      <c r="AC443" s="107"/>
      <c r="AD443" s="107"/>
      <c r="AE443" s="107"/>
      <c r="AF443" s="107"/>
      <c r="AG443" s="107"/>
      <c r="AH443" s="107"/>
      <c r="AI443" s="107"/>
    </row>
    <row r="444" spans="24:35">
      <c r="X444" s="107"/>
      <c r="Y444" s="107"/>
      <c r="Z444" s="107"/>
      <c r="AA444" s="107"/>
      <c r="AB444" s="107"/>
      <c r="AC444" s="107"/>
      <c r="AD444" s="107"/>
      <c r="AE444" s="107"/>
      <c r="AF444" s="107"/>
      <c r="AG444" s="107"/>
      <c r="AH444" s="107"/>
      <c r="AI444" s="107"/>
    </row>
    <row r="445" spans="24:35">
      <c r="X445" s="107"/>
      <c r="Y445" s="107"/>
      <c r="Z445" s="107"/>
      <c r="AA445" s="107"/>
      <c r="AB445" s="107"/>
      <c r="AC445" s="107"/>
      <c r="AD445" s="107"/>
      <c r="AE445" s="107"/>
      <c r="AF445" s="107"/>
      <c r="AG445" s="107"/>
      <c r="AH445" s="107"/>
      <c r="AI445" s="107"/>
    </row>
    <row r="446" spans="24:35">
      <c r="X446" s="107"/>
      <c r="Y446" s="107"/>
      <c r="Z446" s="107"/>
      <c r="AA446" s="107"/>
      <c r="AB446" s="107"/>
      <c r="AC446" s="107"/>
      <c r="AD446" s="107"/>
      <c r="AE446" s="107"/>
      <c r="AF446" s="107"/>
      <c r="AG446" s="107"/>
      <c r="AH446" s="107"/>
      <c r="AI446" s="107"/>
    </row>
    <row r="447" spans="24:35">
      <c r="X447" s="107"/>
      <c r="Y447" s="107"/>
      <c r="Z447" s="107"/>
      <c r="AA447" s="107"/>
      <c r="AB447" s="107"/>
      <c r="AC447" s="107"/>
      <c r="AD447" s="107"/>
      <c r="AE447" s="107"/>
      <c r="AF447" s="107"/>
      <c r="AG447" s="107"/>
      <c r="AH447" s="107"/>
      <c r="AI447" s="107"/>
    </row>
    <row r="448" spans="24:35">
      <c r="X448" s="107"/>
      <c r="Y448" s="107"/>
      <c r="Z448" s="107"/>
      <c r="AA448" s="107"/>
      <c r="AB448" s="107"/>
      <c r="AC448" s="107"/>
      <c r="AD448" s="107"/>
      <c r="AE448" s="107"/>
      <c r="AF448" s="107"/>
      <c r="AG448" s="107"/>
      <c r="AH448" s="107"/>
      <c r="AI448" s="107"/>
    </row>
    <row r="449" spans="24:35">
      <c r="X449" s="107"/>
      <c r="Y449" s="107"/>
      <c r="Z449" s="107"/>
      <c r="AA449" s="107"/>
      <c r="AB449" s="107"/>
      <c r="AC449" s="107"/>
      <c r="AD449" s="107"/>
      <c r="AE449" s="107"/>
      <c r="AF449" s="107"/>
      <c r="AG449" s="107"/>
      <c r="AH449" s="107"/>
      <c r="AI449" s="107"/>
    </row>
    <row r="450" spans="24:35">
      <c r="X450" s="107"/>
      <c r="Y450" s="107"/>
      <c r="Z450" s="107"/>
      <c r="AA450" s="107"/>
      <c r="AB450" s="107"/>
      <c r="AC450" s="107"/>
      <c r="AD450" s="107"/>
      <c r="AE450" s="107"/>
      <c r="AF450" s="107"/>
      <c r="AG450" s="107"/>
      <c r="AH450" s="107"/>
      <c r="AI450" s="107"/>
    </row>
    <row r="451" spans="24:35">
      <c r="X451" s="107"/>
      <c r="Y451" s="107"/>
      <c r="Z451" s="107"/>
      <c r="AA451" s="107"/>
      <c r="AB451" s="107"/>
      <c r="AC451" s="107"/>
      <c r="AD451" s="107"/>
      <c r="AE451" s="107"/>
      <c r="AF451" s="107"/>
      <c r="AG451" s="107"/>
      <c r="AH451" s="107"/>
      <c r="AI451" s="107"/>
    </row>
    <row r="452" spans="24:35">
      <c r="X452" s="107"/>
      <c r="Y452" s="107"/>
      <c r="Z452" s="107"/>
      <c r="AA452" s="107"/>
      <c r="AB452" s="107"/>
      <c r="AC452" s="107"/>
      <c r="AD452" s="107"/>
      <c r="AE452" s="107"/>
      <c r="AF452" s="107"/>
      <c r="AG452" s="107"/>
      <c r="AH452" s="107"/>
      <c r="AI452" s="107"/>
    </row>
    <row r="453" spans="24:35">
      <c r="X453" s="107"/>
      <c r="Y453" s="107"/>
      <c r="Z453" s="107"/>
      <c r="AA453" s="107"/>
      <c r="AB453" s="107"/>
      <c r="AC453" s="107"/>
      <c r="AD453" s="107"/>
      <c r="AE453" s="107"/>
      <c r="AF453" s="107"/>
      <c r="AG453" s="107"/>
      <c r="AH453" s="107"/>
      <c r="AI453" s="107"/>
    </row>
    <row r="454" spans="24:35">
      <c r="X454" s="107"/>
      <c r="Y454" s="107"/>
      <c r="Z454" s="107"/>
      <c r="AA454" s="107"/>
      <c r="AB454" s="107"/>
      <c r="AC454" s="107"/>
      <c r="AD454" s="107"/>
      <c r="AE454" s="107"/>
      <c r="AF454" s="107"/>
      <c r="AG454" s="107"/>
      <c r="AH454" s="107"/>
      <c r="AI454" s="107"/>
    </row>
    <row r="455" spans="24:35">
      <c r="X455" s="107"/>
      <c r="Y455" s="107"/>
      <c r="Z455" s="107"/>
      <c r="AA455" s="107"/>
      <c r="AB455" s="107"/>
      <c r="AC455" s="107"/>
      <c r="AD455" s="107"/>
      <c r="AE455" s="107"/>
      <c r="AF455" s="107"/>
      <c r="AG455" s="107"/>
      <c r="AH455" s="107"/>
      <c r="AI455" s="107"/>
    </row>
    <row r="456" spans="24:35">
      <c r="X456" s="107"/>
      <c r="Y456" s="107"/>
      <c r="Z456" s="107"/>
      <c r="AA456" s="107"/>
      <c r="AB456" s="107"/>
      <c r="AC456" s="107"/>
      <c r="AD456" s="107"/>
      <c r="AE456" s="107"/>
      <c r="AF456" s="107"/>
      <c r="AG456" s="107"/>
      <c r="AH456" s="107"/>
      <c r="AI456" s="107"/>
    </row>
    <row r="457" spans="24:35">
      <c r="X457" s="107"/>
      <c r="Y457" s="107"/>
      <c r="Z457" s="107"/>
      <c r="AA457" s="107"/>
      <c r="AB457" s="107"/>
      <c r="AC457" s="107"/>
      <c r="AD457" s="107"/>
      <c r="AE457" s="107"/>
      <c r="AF457" s="107"/>
      <c r="AG457" s="107"/>
      <c r="AH457" s="107"/>
      <c r="AI457" s="107"/>
    </row>
    <row r="458" spans="24:35">
      <c r="X458" s="107"/>
      <c r="Y458" s="107"/>
      <c r="Z458" s="107"/>
      <c r="AA458" s="107"/>
      <c r="AB458" s="107"/>
      <c r="AC458" s="107"/>
      <c r="AD458" s="107"/>
      <c r="AE458" s="107"/>
      <c r="AF458" s="107"/>
      <c r="AG458" s="107"/>
      <c r="AH458" s="107"/>
      <c r="AI458" s="107"/>
    </row>
    <row r="459" spans="24:35">
      <c r="X459" s="107"/>
      <c r="Y459" s="107"/>
      <c r="Z459" s="107"/>
      <c r="AA459" s="107"/>
      <c r="AB459" s="107"/>
      <c r="AC459" s="107"/>
      <c r="AD459" s="107"/>
      <c r="AE459" s="107"/>
      <c r="AF459" s="107"/>
      <c r="AG459" s="107"/>
      <c r="AH459" s="107"/>
      <c r="AI459" s="107"/>
    </row>
    <row r="460" spans="24:35">
      <c r="X460" s="107"/>
      <c r="Y460" s="107"/>
      <c r="Z460" s="107"/>
      <c r="AA460" s="107"/>
      <c r="AB460" s="107"/>
      <c r="AC460" s="107"/>
      <c r="AD460" s="107"/>
      <c r="AE460" s="107"/>
      <c r="AF460" s="107"/>
      <c r="AG460" s="107"/>
      <c r="AH460" s="107"/>
      <c r="AI460" s="107"/>
    </row>
    <row r="461" spans="24:35">
      <c r="X461" s="107"/>
      <c r="Y461" s="107"/>
      <c r="Z461" s="107"/>
      <c r="AA461" s="107"/>
      <c r="AB461" s="107"/>
      <c r="AC461" s="107"/>
      <c r="AD461" s="107"/>
      <c r="AE461" s="107"/>
      <c r="AF461" s="107"/>
      <c r="AG461" s="107"/>
      <c r="AH461" s="107"/>
      <c r="AI461" s="107"/>
    </row>
    <row r="462" spans="24:35">
      <c r="X462" s="107"/>
      <c r="Y462" s="107"/>
      <c r="Z462" s="107"/>
      <c r="AA462" s="107"/>
      <c r="AB462" s="107"/>
      <c r="AC462" s="107"/>
      <c r="AD462" s="107"/>
      <c r="AE462" s="107"/>
      <c r="AF462" s="107"/>
      <c r="AG462" s="107"/>
      <c r="AH462" s="107"/>
      <c r="AI462" s="107"/>
    </row>
    <row r="463" spans="24:35">
      <c r="X463" s="107"/>
      <c r="Y463" s="107"/>
      <c r="Z463" s="107"/>
      <c r="AA463" s="107"/>
      <c r="AB463" s="107"/>
      <c r="AC463" s="107"/>
      <c r="AD463" s="107"/>
      <c r="AE463" s="107"/>
      <c r="AF463" s="107"/>
      <c r="AG463" s="107"/>
      <c r="AH463" s="107"/>
      <c r="AI463" s="107"/>
    </row>
    <row r="464" spans="24:35">
      <c r="X464" s="107"/>
      <c r="Y464" s="107"/>
      <c r="Z464" s="107"/>
      <c r="AA464" s="107"/>
      <c r="AB464" s="107"/>
      <c r="AC464" s="107"/>
      <c r="AD464" s="107"/>
      <c r="AE464" s="107"/>
      <c r="AF464" s="107"/>
      <c r="AG464" s="107"/>
      <c r="AH464" s="107"/>
      <c r="AI464" s="107"/>
    </row>
    <row r="465" spans="24:35">
      <c r="X465" s="107"/>
      <c r="Y465" s="107"/>
      <c r="Z465" s="107"/>
      <c r="AA465" s="107"/>
      <c r="AB465" s="107"/>
      <c r="AC465" s="107"/>
      <c r="AD465" s="107"/>
      <c r="AE465" s="107"/>
      <c r="AF465" s="107"/>
      <c r="AG465" s="107"/>
      <c r="AH465" s="107"/>
      <c r="AI465" s="107"/>
    </row>
    <row r="466" spans="24:35">
      <c r="X466" s="107"/>
      <c r="Y466" s="107"/>
      <c r="Z466" s="107"/>
      <c r="AA466" s="107"/>
      <c r="AB466" s="107"/>
      <c r="AC466" s="107"/>
      <c r="AD466" s="107"/>
      <c r="AE466" s="107"/>
      <c r="AF466" s="107"/>
      <c r="AG466" s="107"/>
      <c r="AH466" s="107"/>
      <c r="AI466" s="107"/>
    </row>
    <row r="467" spans="24:35">
      <c r="X467" s="107"/>
      <c r="Y467" s="107"/>
      <c r="Z467" s="107"/>
      <c r="AA467" s="107"/>
      <c r="AB467" s="107"/>
      <c r="AC467" s="107"/>
      <c r="AD467" s="107"/>
      <c r="AE467" s="107"/>
      <c r="AF467" s="107"/>
      <c r="AG467" s="107"/>
      <c r="AH467" s="107"/>
      <c r="AI467" s="107"/>
    </row>
    <row r="468" spans="24:35">
      <c r="X468" s="107"/>
      <c r="Y468" s="107"/>
      <c r="Z468" s="107"/>
      <c r="AA468" s="107"/>
      <c r="AB468" s="107"/>
      <c r="AC468" s="107"/>
      <c r="AD468" s="107"/>
      <c r="AE468" s="107"/>
      <c r="AF468" s="107"/>
      <c r="AG468" s="107"/>
      <c r="AH468" s="107"/>
      <c r="AI468" s="107"/>
    </row>
    <row r="469" spans="24:35">
      <c r="X469" s="107"/>
      <c r="Y469" s="107"/>
      <c r="Z469" s="107"/>
      <c r="AA469" s="107"/>
      <c r="AB469" s="107"/>
      <c r="AC469" s="107"/>
      <c r="AD469" s="107"/>
      <c r="AE469" s="107"/>
      <c r="AF469" s="107"/>
      <c r="AG469" s="107"/>
      <c r="AH469" s="107"/>
      <c r="AI469" s="107"/>
    </row>
    <row r="470" spans="24:35">
      <c r="X470" s="107"/>
      <c r="Y470" s="107"/>
      <c r="Z470" s="107"/>
      <c r="AA470" s="107"/>
      <c r="AB470" s="107"/>
      <c r="AC470" s="107"/>
      <c r="AD470" s="107"/>
      <c r="AE470" s="107"/>
      <c r="AF470" s="107"/>
      <c r="AG470" s="107"/>
      <c r="AH470" s="107"/>
      <c r="AI470" s="107"/>
    </row>
    <row r="471" spans="24:35">
      <c r="X471" s="107"/>
      <c r="Y471" s="107"/>
      <c r="Z471" s="107"/>
      <c r="AA471" s="107"/>
      <c r="AB471" s="107"/>
      <c r="AC471" s="107"/>
      <c r="AD471" s="107"/>
      <c r="AE471" s="107"/>
      <c r="AF471" s="107"/>
      <c r="AG471" s="107"/>
      <c r="AH471" s="107"/>
      <c r="AI471" s="107"/>
    </row>
    <row r="472" spans="24:35">
      <c r="X472" s="107"/>
      <c r="Y472" s="107"/>
      <c r="Z472" s="107"/>
      <c r="AA472" s="107"/>
      <c r="AB472" s="107"/>
      <c r="AC472" s="107"/>
      <c r="AD472" s="107"/>
      <c r="AE472" s="107"/>
      <c r="AF472" s="107"/>
      <c r="AG472" s="107"/>
      <c r="AH472" s="107"/>
      <c r="AI472" s="107"/>
    </row>
    <row r="473" spans="24:35">
      <c r="X473" s="107"/>
      <c r="Y473" s="107"/>
      <c r="Z473" s="107"/>
      <c r="AA473" s="107"/>
      <c r="AB473" s="107"/>
      <c r="AC473" s="107"/>
      <c r="AD473" s="107"/>
      <c r="AE473" s="107"/>
      <c r="AF473" s="107"/>
      <c r="AG473" s="107"/>
      <c r="AH473" s="107"/>
      <c r="AI473" s="107"/>
    </row>
    <row r="474" spans="24:35">
      <c r="X474" s="107"/>
      <c r="Y474" s="107"/>
      <c r="Z474" s="107"/>
      <c r="AA474" s="107"/>
      <c r="AB474" s="107"/>
      <c r="AC474" s="107"/>
      <c r="AD474" s="107"/>
      <c r="AE474" s="107"/>
      <c r="AF474" s="107"/>
      <c r="AG474" s="107"/>
      <c r="AH474" s="107"/>
      <c r="AI474" s="107"/>
    </row>
    <row r="475" spans="24:35">
      <c r="X475" s="107"/>
      <c r="Y475" s="107"/>
      <c r="Z475" s="107"/>
      <c r="AA475" s="107"/>
      <c r="AB475" s="107"/>
      <c r="AC475" s="107"/>
      <c r="AD475" s="107"/>
      <c r="AE475" s="107"/>
      <c r="AF475" s="107"/>
      <c r="AG475" s="107"/>
      <c r="AH475" s="107"/>
      <c r="AI475" s="107"/>
    </row>
    <row r="476" spans="24:35">
      <c r="X476" s="107"/>
      <c r="Y476" s="107"/>
      <c r="Z476" s="107"/>
      <c r="AA476" s="107"/>
      <c r="AB476" s="107"/>
      <c r="AC476" s="107"/>
      <c r="AD476" s="107"/>
      <c r="AE476" s="107"/>
      <c r="AF476" s="107"/>
      <c r="AG476" s="107"/>
      <c r="AH476" s="107"/>
      <c r="AI476" s="107"/>
    </row>
    <row r="477" spans="24:35">
      <c r="X477" s="107"/>
      <c r="Y477" s="107"/>
      <c r="Z477" s="107"/>
      <c r="AA477" s="107"/>
      <c r="AB477" s="107"/>
      <c r="AC477" s="107"/>
      <c r="AD477" s="107"/>
      <c r="AE477" s="107"/>
      <c r="AF477" s="107"/>
      <c r="AG477" s="107"/>
      <c r="AH477" s="107"/>
      <c r="AI477" s="107"/>
    </row>
    <row r="478" spans="24:35">
      <c r="X478" s="107"/>
      <c r="Y478" s="107"/>
      <c r="Z478" s="107"/>
      <c r="AA478" s="107"/>
      <c r="AB478" s="107"/>
      <c r="AC478" s="107"/>
      <c r="AD478" s="107"/>
      <c r="AE478" s="107"/>
      <c r="AF478" s="107"/>
      <c r="AG478" s="107"/>
      <c r="AH478" s="107"/>
      <c r="AI478" s="107"/>
    </row>
    <row r="479" spans="24:35">
      <c r="X479" s="107"/>
      <c r="Y479" s="107"/>
      <c r="Z479" s="107"/>
      <c r="AA479" s="107"/>
      <c r="AB479" s="107"/>
      <c r="AC479" s="107"/>
      <c r="AD479" s="107"/>
      <c r="AE479" s="107"/>
      <c r="AF479" s="107"/>
      <c r="AG479" s="107"/>
      <c r="AH479" s="107"/>
      <c r="AI479" s="107"/>
    </row>
    <row r="480" spans="24:35">
      <c r="X480" s="107"/>
      <c r="Y480" s="107"/>
      <c r="Z480" s="107"/>
      <c r="AA480" s="107"/>
      <c r="AB480" s="107"/>
      <c r="AC480" s="107"/>
      <c r="AD480" s="107"/>
      <c r="AE480" s="107"/>
      <c r="AF480" s="107"/>
      <c r="AG480" s="107"/>
      <c r="AH480" s="107"/>
      <c r="AI480" s="107"/>
    </row>
    <row r="481" spans="24:35">
      <c r="X481" s="107"/>
      <c r="Y481" s="107"/>
      <c r="Z481" s="107"/>
      <c r="AA481" s="107"/>
      <c r="AB481" s="107"/>
      <c r="AC481" s="107"/>
      <c r="AD481" s="107"/>
      <c r="AE481" s="107"/>
      <c r="AF481" s="107"/>
      <c r="AG481" s="107"/>
      <c r="AH481" s="107"/>
      <c r="AI481" s="107"/>
    </row>
    <row r="482" spans="24:35">
      <c r="X482" s="107"/>
      <c r="Y482" s="107"/>
      <c r="Z482" s="107"/>
      <c r="AA482" s="107"/>
      <c r="AB482" s="107"/>
      <c r="AC482" s="107"/>
      <c r="AD482" s="107"/>
      <c r="AE482" s="107"/>
      <c r="AF482" s="107"/>
      <c r="AG482" s="107"/>
      <c r="AH482" s="107"/>
      <c r="AI482" s="107"/>
    </row>
    <row r="483" spans="24:35">
      <c r="X483" s="107"/>
      <c r="Y483" s="107"/>
      <c r="Z483" s="107"/>
      <c r="AA483" s="107"/>
      <c r="AB483" s="107"/>
      <c r="AC483" s="107"/>
      <c r="AD483" s="107"/>
      <c r="AE483" s="107"/>
      <c r="AF483" s="107"/>
      <c r="AG483" s="107"/>
      <c r="AH483" s="107"/>
      <c r="AI483" s="107"/>
    </row>
    <row r="484" spans="24:35">
      <c r="X484" s="107"/>
      <c r="Y484" s="107"/>
      <c r="Z484" s="107"/>
      <c r="AA484" s="107"/>
      <c r="AB484" s="107"/>
      <c r="AC484" s="107"/>
      <c r="AD484" s="107"/>
      <c r="AE484" s="107"/>
      <c r="AF484" s="107"/>
      <c r="AG484" s="107"/>
      <c r="AH484" s="107"/>
      <c r="AI484" s="107"/>
    </row>
    <row r="485" spans="24:35">
      <c r="X485" s="107"/>
      <c r="Y485" s="107"/>
      <c r="Z485" s="107"/>
      <c r="AA485" s="107"/>
      <c r="AB485" s="107"/>
      <c r="AC485" s="107"/>
      <c r="AD485" s="107"/>
      <c r="AE485" s="107"/>
      <c r="AF485" s="107"/>
      <c r="AG485" s="107"/>
      <c r="AH485" s="107"/>
      <c r="AI485" s="107"/>
    </row>
    <row r="486" spans="24:35">
      <c r="X486" s="107"/>
      <c r="Y486" s="107"/>
      <c r="Z486" s="107"/>
      <c r="AA486" s="107"/>
      <c r="AB486" s="107"/>
      <c r="AC486" s="107"/>
      <c r="AD486" s="107"/>
      <c r="AE486" s="107"/>
      <c r="AF486" s="107"/>
      <c r="AG486" s="107"/>
      <c r="AH486" s="107"/>
      <c r="AI486" s="107"/>
    </row>
    <row r="487" spans="24:35">
      <c r="X487" s="107"/>
      <c r="Y487" s="107"/>
      <c r="Z487" s="107"/>
      <c r="AA487" s="107"/>
      <c r="AB487" s="107"/>
      <c r="AC487" s="107"/>
      <c r="AD487" s="107"/>
      <c r="AE487" s="107"/>
      <c r="AF487" s="107"/>
      <c r="AG487" s="107"/>
      <c r="AH487" s="107"/>
      <c r="AI487" s="107"/>
    </row>
    <row r="488" spans="24:35">
      <c r="X488" s="107"/>
      <c r="Y488" s="107"/>
      <c r="Z488" s="107"/>
      <c r="AA488" s="107"/>
      <c r="AB488" s="107"/>
      <c r="AC488" s="107"/>
      <c r="AD488" s="107"/>
      <c r="AE488" s="107"/>
      <c r="AF488" s="107"/>
      <c r="AG488" s="107"/>
      <c r="AH488" s="107"/>
      <c r="AI488" s="107"/>
    </row>
    <row r="489" spans="24:35">
      <c r="X489" s="107"/>
      <c r="Y489" s="107"/>
      <c r="Z489" s="107"/>
      <c r="AA489" s="107"/>
      <c r="AB489" s="107"/>
      <c r="AC489" s="107"/>
      <c r="AD489" s="107"/>
      <c r="AE489" s="107"/>
      <c r="AF489" s="107"/>
      <c r="AG489" s="107"/>
      <c r="AH489" s="107"/>
      <c r="AI489" s="107"/>
    </row>
    <row r="490" spans="24:35">
      <c r="X490" s="107"/>
      <c r="Y490" s="107"/>
      <c r="Z490" s="107"/>
      <c r="AA490" s="107"/>
      <c r="AB490" s="107"/>
      <c r="AC490" s="107"/>
      <c r="AD490" s="107"/>
      <c r="AE490" s="107"/>
      <c r="AF490" s="107"/>
      <c r="AG490" s="107"/>
      <c r="AH490" s="107"/>
      <c r="AI490" s="107"/>
    </row>
    <row r="491" spans="24:35">
      <c r="X491" s="107"/>
      <c r="Y491" s="107"/>
      <c r="Z491" s="107"/>
      <c r="AA491" s="107"/>
      <c r="AB491" s="107"/>
      <c r="AC491" s="107"/>
      <c r="AD491" s="107"/>
      <c r="AE491" s="107"/>
      <c r="AF491" s="107"/>
      <c r="AG491" s="107"/>
      <c r="AH491" s="107"/>
      <c r="AI491" s="107"/>
    </row>
    <row r="492" spans="24:35">
      <c r="X492" s="107"/>
      <c r="Y492" s="107"/>
      <c r="Z492" s="107"/>
      <c r="AA492" s="107"/>
      <c r="AB492" s="107"/>
      <c r="AC492" s="107"/>
      <c r="AD492" s="107"/>
      <c r="AE492" s="107"/>
      <c r="AF492" s="107"/>
      <c r="AG492" s="107"/>
      <c r="AH492" s="107"/>
      <c r="AI492" s="107"/>
    </row>
    <row r="493" spans="24:35">
      <c r="X493" s="107"/>
      <c r="Y493" s="107"/>
      <c r="Z493" s="107"/>
      <c r="AA493" s="107"/>
      <c r="AB493" s="107"/>
      <c r="AC493" s="107"/>
      <c r="AD493" s="107"/>
      <c r="AE493" s="107"/>
      <c r="AF493" s="107"/>
      <c r="AG493" s="107"/>
      <c r="AH493" s="107"/>
      <c r="AI493" s="107"/>
    </row>
    <row r="494" spans="24:35">
      <c r="X494" s="107"/>
      <c r="Y494" s="107"/>
      <c r="Z494" s="107"/>
      <c r="AA494" s="107"/>
      <c r="AB494" s="107"/>
      <c r="AC494" s="107"/>
      <c r="AD494" s="107"/>
      <c r="AE494" s="107"/>
      <c r="AF494" s="107"/>
      <c r="AG494" s="107"/>
      <c r="AH494" s="107"/>
      <c r="AI494" s="107"/>
    </row>
    <row r="495" spans="24:35">
      <c r="X495" s="107"/>
      <c r="Y495" s="107"/>
      <c r="Z495" s="107"/>
      <c r="AA495" s="107"/>
      <c r="AB495" s="107"/>
      <c r="AC495" s="107"/>
      <c r="AD495" s="107"/>
      <c r="AE495" s="107"/>
      <c r="AF495" s="107"/>
      <c r="AG495" s="107"/>
      <c r="AH495" s="107"/>
      <c r="AI495" s="107"/>
    </row>
    <row r="496" spans="24:35">
      <c r="X496" s="107"/>
      <c r="Y496" s="107"/>
      <c r="Z496" s="107"/>
      <c r="AA496" s="107"/>
      <c r="AB496" s="107"/>
      <c r="AC496" s="107"/>
      <c r="AD496" s="107"/>
      <c r="AE496" s="107"/>
      <c r="AF496" s="107"/>
      <c r="AG496" s="107"/>
      <c r="AH496" s="107"/>
      <c r="AI496" s="107"/>
    </row>
    <row r="497" spans="24:35">
      <c r="X497" s="107"/>
      <c r="Y497" s="107"/>
      <c r="Z497" s="107"/>
      <c r="AA497" s="107"/>
      <c r="AB497" s="107"/>
      <c r="AC497" s="107"/>
      <c r="AD497" s="107"/>
      <c r="AE497" s="107"/>
      <c r="AF497" s="107"/>
      <c r="AG497" s="107"/>
      <c r="AH497" s="107"/>
      <c r="AI497" s="107"/>
    </row>
    <row r="498" spans="24:35">
      <c r="X498" s="107"/>
      <c r="Y498" s="107"/>
      <c r="Z498" s="107"/>
      <c r="AA498" s="107"/>
      <c r="AB498" s="107"/>
      <c r="AC498" s="107"/>
      <c r="AD498" s="107"/>
      <c r="AE498" s="107"/>
      <c r="AF498" s="107"/>
      <c r="AG498" s="107"/>
      <c r="AH498" s="107"/>
      <c r="AI498" s="107"/>
    </row>
    <row r="499" spans="24:35">
      <c r="X499" s="107"/>
      <c r="Y499" s="107"/>
      <c r="Z499" s="107"/>
      <c r="AA499" s="107"/>
      <c r="AB499" s="107"/>
      <c r="AC499" s="107"/>
      <c r="AD499" s="107"/>
      <c r="AE499" s="107"/>
      <c r="AF499" s="107"/>
      <c r="AG499" s="107"/>
      <c r="AH499" s="107"/>
      <c r="AI499" s="107"/>
    </row>
    <row r="500" spans="24:35">
      <c r="X500" s="107"/>
      <c r="Y500" s="107"/>
      <c r="Z500" s="107"/>
      <c r="AA500" s="107"/>
      <c r="AB500" s="107"/>
      <c r="AC500" s="107"/>
      <c r="AD500" s="107"/>
      <c r="AE500" s="107"/>
      <c r="AF500" s="107"/>
      <c r="AG500" s="107"/>
      <c r="AH500" s="107"/>
      <c r="AI500" s="107"/>
    </row>
    <row r="501" spans="24:35">
      <c r="X501" s="107"/>
      <c r="Y501" s="107"/>
      <c r="Z501" s="107"/>
      <c r="AA501" s="107"/>
      <c r="AB501" s="107"/>
      <c r="AC501" s="107"/>
      <c r="AD501" s="107"/>
      <c r="AE501" s="107"/>
      <c r="AF501" s="107"/>
      <c r="AG501" s="107"/>
      <c r="AH501" s="107"/>
      <c r="AI501" s="107"/>
    </row>
    <row r="502" spans="24:35">
      <c r="X502" s="107"/>
      <c r="Y502" s="107"/>
      <c r="Z502" s="107"/>
      <c r="AA502" s="107"/>
      <c r="AB502" s="107"/>
      <c r="AC502" s="107"/>
      <c r="AD502" s="107"/>
      <c r="AE502" s="107"/>
      <c r="AF502" s="107"/>
      <c r="AG502" s="107"/>
      <c r="AH502" s="107"/>
      <c r="AI502" s="107"/>
    </row>
    <row r="503" spans="24:35">
      <c r="X503" s="107"/>
      <c r="Y503" s="107"/>
      <c r="Z503" s="107"/>
      <c r="AA503" s="107"/>
      <c r="AB503" s="107"/>
      <c r="AC503" s="107"/>
      <c r="AD503" s="107"/>
      <c r="AE503" s="107"/>
      <c r="AF503" s="107"/>
      <c r="AG503" s="107"/>
      <c r="AH503" s="107"/>
      <c r="AI503" s="107"/>
    </row>
    <row r="504" spans="24:35">
      <c r="X504" s="107"/>
      <c r="Y504" s="107"/>
      <c r="Z504" s="107"/>
      <c r="AA504" s="107"/>
      <c r="AB504" s="107"/>
      <c r="AC504" s="107"/>
      <c r="AD504" s="107"/>
      <c r="AE504" s="107"/>
      <c r="AF504" s="107"/>
      <c r="AG504" s="107"/>
      <c r="AH504" s="107"/>
      <c r="AI504" s="107"/>
    </row>
    <row r="505" spans="24:35">
      <c r="X505" s="107"/>
      <c r="Y505" s="107"/>
      <c r="Z505" s="107"/>
      <c r="AA505" s="107"/>
      <c r="AB505" s="107"/>
      <c r="AC505" s="107"/>
      <c r="AD505" s="107"/>
      <c r="AE505" s="107"/>
      <c r="AF505" s="107"/>
      <c r="AG505" s="107"/>
      <c r="AH505" s="107"/>
      <c r="AI505" s="107"/>
    </row>
    <row r="506" spans="24:35">
      <c r="X506" s="107"/>
      <c r="Y506" s="107"/>
      <c r="Z506" s="107"/>
      <c r="AA506" s="107"/>
      <c r="AB506" s="107"/>
      <c r="AC506" s="107"/>
      <c r="AD506" s="107"/>
      <c r="AE506" s="107"/>
      <c r="AF506" s="107"/>
      <c r="AG506" s="107"/>
      <c r="AH506" s="107"/>
      <c r="AI506" s="107"/>
    </row>
    <row r="507" spans="24:35">
      <c r="X507" s="107"/>
      <c r="Y507" s="107"/>
      <c r="Z507" s="107"/>
      <c r="AA507" s="107"/>
      <c r="AB507" s="107"/>
      <c r="AC507" s="107"/>
      <c r="AD507" s="107"/>
      <c r="AE507" s="107"/>
      <c r="AF507" s="107"/>
      <c r="AG507" s="107"/>
      <c r="AH507" s="107"/>
      <c r="AI507" s="107"/>
    </row>
    <row r="508" spans="24:35">
      <c r="X508" s="107"/>
      <c r="Y508" s="107"/>
      <c r="Z508" s="107"/>
      <c r="AA508" s="107"/>
      <c r="AB508" s="107"/>
      <c r="AC508" s="107"/>
      <c r="AD508" s="107"/>
      <c r="AE508" s="107"/>
      <c r="AF508" s="107"/>
      <c r="AG508" s="107"/>
      <c r="AH508" s="107"/>
      <c r="AI508" s="107"/>
    </row>
    <row r="509" spans="24:35">
      <c r="X509" s="107"/>
      <c r="Y509" s="107"/>
      <c r="Z509" s="107"/>
      <c r="AA509" s="107"/>
      <c r="AB509" s="107"/>
      <c r="AC509" s="107"/>
      <c r="AD509" s="107"/>
      <c r="AE509" s="107"/>
      <c r="AF509" s="107"/>
      <c r="AG509" s="107"/>
      <c r="AH509" s="107"/>
      <c r="AI509" s="107"/>
    </row>
    <row r="510" spans="24:35">
      <c r="X510" s="107"/>
      <c r="Y510" s="107"/>
      <c r="Z510" s="107"/>
      <c r="AA510" s="107"/>
      <c r="AB510" s="107"/>
      <c r="AC510" s="107"/>
      <c r="AD510" s="107"/>
      <c r="AE510" s="107"/>
      <c r="AF510" s="107"/>
      <c r="AG510" s="107"/>
      <c r="AH510" s="107"/>
      <c r="AI510" s="107"/>
    </row>
    <row r="511" spans="24:35">
      <c r="X511" s="107"/>
      <c r="Y511" s="107"/>
      <c r="Z511" s="107"/>
      <c r="AA511" s="107"/>
      <c r="AB511" s="107"/>
      <c r="AC511" s="107"/>
      <c r="AD511" s="107"/>
      <c r="AE511" s="107"/>
      <c r="AF511" s="107"/>
      <c r="AG511" s="107"/>
      <c r="AH511" s="107"/>
      <c r="AI511" s="107"/>
    </row>
    <row r="512" spans="24:35">
      <c r="X512" s="107"/>
      <c r="Y512" s="107"/>
      <c r="Z512" s="107"/>
      <c r="AA512" s="107"/>
      <c r="AB512" s="107"/>
      <c r="AC512" s="107"/>
      <c r="AD512" s="107"/>
      <c r="AE512" s="107"/>
      <c r="AF512" s="107"/>
      <c r="AG512" s="107"/>
      <c r="AH512" s="107"/>
      <c r="AI512" s="107"/>
    </row>
    <row r="513" spans="24:35">
      <c r="X513" s="107"/>
      <c r="Y513" s="107"/>
      <c r="Z513" s="107"/>
      <c r="AA513" s="107"/>
      <c r="AB513" s="107"/>
      <c r="AC513" s="107"/>
      <c r="AD513" s="107"/>
      <c r="AE513" s="107"/>
      <c r="AF513" s="107"/>
      <c r="AG513" s="107"/>
      <c r="AH513" s="107"/>
      <c r="AI513" s="107"/>
    </row>
    <row r="514" spans="24:35">
      <c r="X514" s="107"/>
      <c r="Y514" s="107"/>
      <c r="Z514" s="107"/>
      <c r="AA514" s="107"/>
      <c r="AB514" s="107"/>
      <c r="AC514" s="107"/>
      <c r="AD514" s="107"/>
      <c r="AE514" s="107"/>
      <c r="AF514" s="107"/>
      <c r="AG514" s="107"/>
      <c r="AH514" s="107"/>
      <c r="AI514" s="107"/>
    </row>
    <row r="515" spans="24:35">
      <c r="X515" s="107"/>
      <c r="Y515" s="107"/>
      <c r="Z515" s="107"/>
      <c r="AA515" s="107"/>
      <c r="AB515" s="107"/>
      <c r="AC515" s="107"/>
      <c r="AD515" s="107"/>
      <c r="AE515" s="107"/>
      <c r="AF515" s="107"/>
      <c r="AG515" s="107"/>
      <c r="AH515" s="107"/>
      <c r="AI515" s="107"/>
    </row>
    <row r="516" spans="24:35">
      <c r="X516" s="107"/>
      <c r="Y516" s="107"/>
      <c r="Z516" s="107"/>
      <c r="AA516" s="107"/>
      <c r="AB516" s="107"/>
      <c r="AC516" s="107"/>
      <c r="AD516" s="107"/>
      <c r="AE516" s="107"/>
      <c r="AF516" s="107"/>
      <c r="AG516" s="107"/>
      <c r="AH516" s="107"/>
      <c r="AI516" s="107"/>
    </row>
    <row r="517" spans="24:35">
      <c r="X517" s="107"/>
      <c r="Y517" s="107"/>
      <c r="Z517" s="107"/>
      <c r="AA517" s="107"/>
      <c r="AB517" s="107"/>
      <c r="AC517" s="107"/>
      <c r="AD517" s="107"/>
      <c r="AE517" s="107"/>
      <c r="AF517" s="107"/>
      <c r="AG517" s="107"/>
      <c r="AH517" s="107"/>
      <c r="AI517" s="107"/>
    </row>
    <row r="518" spans="24:35">
      <c r="X518" s="107"/>
      <c r="Y518" s="107"/>
      <c r="Z518" s="107"/>
      <c r="AA518" s="107"/>
      <c r="AB518" s="107"/>
      <c r="AC518" s="107"/>
      <c r="AD518" s="107"/>
      <c r="AE518" s="107"/>
      <c r="AF518" s="107"/>
      <c r="AG518" s="107"/>
      <c r="AH518" s="107"/>
      <c r="AI518" s="107"/>
    </row>
    <row r="519" spans="24:35">
      <c r="X519" s="107"/>
      <c r="Y519" s="107"/>
      <c r="Z519" s="107"/>
      <c r="AA519" s="107"/>
      <c r="AB519" s="107"/>
      <c r="AC519" s="107"/>
      <c r="AD519" s="107"/>
      <c r="AE519" s="107"/>
      <c r="AF519" s="107"/>
      <c r="AG519" s="107"/>
      <c r="AH519" s="107"/>
      <c r="AI519" s="107"/>
    </row>
    <row r="520" spans="24:35">
      <c r="X520" s="107"/>
      <c r="Y520" s="107"/>
      <c r="Z520" s="107"/>
      <c r="AA520" s="107"/>
      <c r="AB520" s="107"/>
      <c r="AC520" s="107"/>
      <c r="AD520" s="107"/>
      <c r="AE520" s="107"/>
      <c r="AF520" s="107"/>
      <c r="AG520" s="107"/>
      <c r="AH520" s="107"/>
      <c r="AI520" s="107"/>
    </row>
    <row r="521" spans="24:35">
      <c r="X521" s="107"/>
      <c r="Y521" s="107"/>
      <c r="Z521" s="107"/>
      <c r="AA521" s="107"/>
      <c r="AB521" s="107"/>
      <c r="AC521" s="107"/>
      <c r="AD521" s="107"/>
      <c r="AE521" s="107"/>
      <c r="AF521" s="107"/>
      <c r="AG521" s="107"/>
      <c r="AH521" s="107"/>
      <c r="AI521" s="107"/>
    </row>
    <row r="522" spans="24:35">
      <c r="X522" s="107"/>
      <c r="Y522" s="107"/>
      <c r="Z522" s="107"/>
      <c r="AA522" s="107"/>
      <c r="AB522" s="107"/>
      <c r="AC522" s="107"/>
      <c r="AD522" s="107"/>
      <c r="AE522" s="107"/>
      <c r="AF522" s="107"/>
      <c r="AG522" s="107"/>
      <c r="AH522" s="107"/>
      <c r="AI522" s="107"/>
    </row>
    <row r="523" spans="24:35">
      <c r="X523" s="107"/>
      <c r="Y523" s="107"/>
      <c r="Z523" s="107"/>
      <c r="AA523" s="107"/>
      <c r="AB523" s="107"/>
      <c r="AC523" s="107"/>
      <c r="AD523" s="107"/>
      <c r="AE523" s="107"/>
      <c r="AF523" s="107"/>
      <c r="AG523" s="107"/>
      <c r="AH523" s="107"/>
      <c r="AI523" s="107"/>
    </row>
    <row r="524" spans="24:35">
      <c r="X524" s="107"/>
      <c r="Y524" s="107"/>
      <c r="Z524" s="107"/>
      <c r="AA524" s="107"/>
      <c r="AB524" s="107"/>
      <c r="AC524" s="107"/>
      <c r="AD524" s="107"/>
      <c r="AE524" s="107"/>
      <c r="AF524" s="107"/>
      <c r="AG524" s="107"/>
      <c r="AH524" s="107"/>
      <c r="AI524" s="107"/>
    </row>
    <row r="525" spans="24:35">
      <c r="X525" s="107"/>
      <c r="Y525" s="107"/>
      <c r="Z525" s="107"/>
      <c r="AA525" s="107"/>
      <c r="AB525" s="107"/>
      <c r="AC525" s="107"/>
      <c r="AD525" s="107"/>
      <c r="AE525" s="107"/>
      <c r="AF525" s="107"/>
      <c r="AG525" s="107"/>
      <c r="AH525" s="107"/>
      <c r="AI525" s="107"/>
    </row>
    <row r="526" spans="24:35">
      <c r="X526" s="107"/>
      <c r="Y526" s="107"/>
      <c r="Z526" s="107"/>
      <c r="AA526" s="107"/>
      <c r="AB526" s="107"/>
      <c r="AC526" s="107"/>
      <c r="AD526" s="107"/>
      <c r="AE526" s="107"/>
      <c r="AF526" s="107"/>
      <c r="AG526" s="107"/>
      <c r="AH526" s="107"/>
      <c r="AI526" s="107"/>
    </row>
    <row r="527" spans="24:35">
      <c r="X527" s="107"/>
      <c r="Y527" s="107"/>
      <c r="Z527" s="107"/>
      <c r="AA527" s="107"/>
      <c r="AB527" s="107"/>
      <c r="AC527" s="107"/>
      <c r="AD527" s="107"/>
      <c r="AE527" s="107"/>
      <c r="AF527" s="107"/>
      <c r="AG527" s="107"/>
      <c r="AH527" s="107"/>
      <c r="AI527" s="107"/>
    </row>
    <row r="528" spans="24:35">
      <c r="X528" s="107"/>
      <c r="Y528" s="107"/>
      <c r="Z528" s="107"/>
      <c r="AA528" s="107"/>
      <c r="AB528" s="107"/>
      <c r="AC528" s="107"/>
      <c r="AD528" s="107"/>
      <c r="AE528" s="107"/>
      <c r="AF528" s="107"/>
      <c r="AG528" s="107"/>
      <c r="AH528" s="107"/>
      <c r="AI528" s="107"/>
    </row>
    <row r="529" spans="24:35">
      <c r="X529" s="107"/>
      <c r="Y529" s="107"/>
      <c r="Z529" s="107"/>
      <c r="AA529" s="107"/>
      <c r="AB529" s="107"/>
      <c r="AC529" s="107"/>
      <c r="AD529" s="107"/>
      <c r="AE529" s="107"/>
      <c r="AF529" s="107"/>
      <c r="AG529" s="107"/>
      <c r="AH529" s="107"/>
      <c r="AI529" s="107"/>
    </row>
    <row r="530" spans="24:35">
      <c r="X530" s="107"/>
      <c r="Y530" s="107"/>
      <c r="Z530" s="107"/>
      <c r="AA530" s="107"/>
      <c r="AB530" s="107"/>
      <c r="AC530" s="107"/>
      <c r="AD530" s="107"/>
      <c r="AE530" s="107"/>
      <c r="AF530" s="107"/>
      <c r="AG530" s="107"/>
      <c r="AH530" s="107"/>
      <c r="AI530" s="107"/>
    </row>
    <row r="531" spans="24:35">
      <c r="X531" s="107"/>
      <c r="Y531" s="107"/>
      <c r="Z531" s="107"/>
      <c r="AA531" s="107"/>
      <c r="AB531" s="107"/>
      <c r="AC531" s="107"/>
      <c r="AD531" s="107"/>
      <c r="AE531" s="107"/>
      <c r="AF531" s="107"/>
      <c r="AG531" s="107"/>
      <c r="AH531" s="107"/>
      <c r="AI531" s="107"/>
    </row>
    <row r="532" spans="24:35">
      <c r="X532" s="107"/>
      <c r="Y532" s="107"/>
      <c r="Z532" s="107"/>
      <c r="AA532" s="107"/>
      <c r="AB532" s="107"/>
      <c r="AC532" s="107"/>
      <c r="AD532" s="107"/>
      <c r="AE532" s="107"/>
      <c r="AF532" s="107"/>
      <c r="AG532" s="107"/>
      <c r="AH532" s="107"/>
      <c r="AI532" s="107"/>
    </row>
    <row r="533" spans="24:35">
      <c r="X533" s="107"/>
      <c r="Y533" s="107"/>
      <c r="Z533" s="107"/>
      <c r="AA533" s="107"/>
      <c r="AB533" s="107"/>
      <c r="AC533" s="107"/>
      <c r="AD533" s="107"/>
      <c r="AE533" s="107"/>
      <c r="AF533" s="107"/>
      <c r="AG533" s="107"/>
      <c r="AH533" s="107"/>
      <c r="AI533" s="107"/>
    </row>
    <row r="534" spans="24:35">
      <c r="X534" s="107"/>
      <c r="Y534" s="107"/>
      <c r="Z534" s="107"/>
      <c r="AA534" s="107"/>
      <c r="AB534" s="107"/>
      <c r="AC534" s="107"/>
      <c r="AD534" s="107"/>
      <c r="AE534" s="107"/>
      <c r="AF534" s="107"/>
      <c r="AG534" s="107"/>
      <c r="AH534" s="107"/>
      <c r="AI534" s="107"/>
    </row>
    <row r="535" spans="24:35">
      <c r="X535" s="107"/>
      <c r="Y535" s="107"/>
      <c r="Z535" s="107"/>
      <c r="AA535" s="107"/>
      <c r="AB535" s="107"/>
      <c r="AC535" s="107"/>
      <c r="AD535" s="107"/>
      <c r="AE535" s="107"/>
      <c r="AF535" s="107"/>
      <c r="AG535" s="107"/>
      <c r="AH535" s="107"/>
      <c r="AI535" s="107"/>
    </row>
    <row r="536" spans="24:35">
      <c r="X536" s="107"/>
      <c r="Y536" s="107"/>
      <c r="Z536" s="107"/>
      <c r="AA536" s="107"/>
      <c r="AB536" s="107"/>
      <c r="AC536" s="107"/>
      <c r="AD536" s="107"/>
      <c r="AE536" s="107"/>
      <c r="AF536" s="107"/>
      <c r="AG536" s="107"/>
      <c r="AH536" s="107"/>
      <c r="AI536" s="107"/>
    </row>
    <row r="537" spans="24:35">
      <c r="X537" s="107"/>
      <c r="Y537" s="107"/>
      <c r="Z537" s="107"/>
      <c r="AA537" s="107"/>
      <c r="AB537" s="107"/>
      <c r="AC537" s="107"/>
      <c r="AD537" s="107"/>
      <c r="AE537" s="107"/>
      <c r="AF537" s="107"/>
      <c r="AG537" s="107"/>
      <c r="AH537" s="107"/>
      <c r="AI537" s="107"/>
    </row>
    <row r="538" spans="24:35">
      <c r="X538" s="107"/>
      <c r="Y538" s="107"/>
      <c r="Z538" s="107"/>
      <c r="AA538" s="107"/>
      <c r="AB538" s="107"/>
      <c r="AC538" s="107"/>
      <c r="AD538" s="107"/>
      <c r="AE538" s="107"/>
      <c r="AF538" s="107"/>
      <c r="AG538" s="107"/>
      <c r="AH538" s="107"/>
      <c r="AI538" s="107"/>
    </row>
    <row r="539" spans="24:35">
      <c r="X539" s="107"/>
      <c r="Y539" s="107"/>
      <c r="Z539" s="107"/>
      <c r="AA539" s="107"/>
      <c r="AB539" s="107"/>
      <c r="AC539" s="107"/>
      <c r="AD539" s="107"/>
      <c r="AE539" s="107"/>
      <c r="AF539" s="107"/>
      <c r="AG539" s="107"/>
      <c r="AH539" s="107"/>
      <c r="AI539" s="107"/>
    </row>
    <row r="540" spans="24:35">
      <c r="X540" s="107"/>
      <c r="Y540" s="107"/>
      <c r="Z540" s="107"/>
      <c r="AA540" s="107"/>
      <c r="AB540" s="107"/>
      <c r="AC540" s="107"/>
      <c r="AD540" s="107"/>
      <c r="AE540" s="107"/>
      <c r="AF540" s="107"/>
      <c r="AG540" s="107"/>
      <c r="AH540" s="107"/>
      <c r="AI540" s="107"/>
    </row>
    <row r="541" spans="24:35">
      <c r="X541" s="107"/>
      <c r="Y541" s="107"/>
      <c r="Z541" s="107"/>
      <c r="AA541" s="107"/>
      <c r="AB541" s="107"/>
      <c r="AC541" s="107"/>
      <c r="AD541" s="107"/>
      <c r="AE541" s="107"/>
      <c r="AF541" s="107"/>
      <c r="AG541" s="107"/>
      <c r="AH541" s="107"/>
      <c r="AI541" s="107"/>
    </row>
    <row r="542" spans="24:35">
      <c r="X542" s="107"/>
      <c r="Y542" s="107"/>
      <c r="Z542" s="107"/>
      <c r="AA542" s="107"/>
      <c r="AB542" s="107"/>
      <c r="AC542" s="107"/>
      <c r="AD542" s="107"/>
      <c r="AE542" s="107"/>
      <c r="AF542" s="107"/>
      <c r="AG542" s="107"/>
      <c r="AH542" s="107"/>
      <c r="AI542" s="107"/>
    </row>
    <row r="543" spans="24:35">
      <c r="X543" s="107"/>
      <c r="Y543" s="107"/>
      <c r="Z543" s="107"/>
      <c r="AA543" s="107"/>
      <c r="AB543" s="107"/>
      <c r="AC543" s="107"/>
      <c r="AD543" s="107"/>
      <c r="AE543" s="107"/>
      <c r="AF543" s="107"/>
      <c r="AG543" s="107"/>
      <c r="AH543" s="107"/>
      <c r="AI543" s="107"/>
    </row>
    <row r="544" spans="24:35">
      <c r="X544" s="107"/>
      <c r="Y544" s="107"/>
      <c r="Z544" s="107"/>
      <c r="AA544" s="107"/>
      <c r="AB544" s="107"/>
      <c r="AC544" s="107"/>
      <c r="AD544" s="107"/>
      <c r="AE544" s="107"/>
      <c r="AF544" s="107"/>
      <c r="AG544" s="107"/>
      <c r="AH544" s="107"/>
      <c r="AI544" s="107"/>
    </row>
    <row r="545" spans="24:35">
      <c r="X545" s="107"/>
      <c r="Y545" s="107"/>
      <c r="Z545" s="107"/>
      <c r="AA545" s="107"/>
      <c r="AB545" s="107"/>
      <c r="AC545" s="107"/>
      <c r="AD545" s="107"/>
      <c r="AE545" s="107"/>
      <c r="AF545" s="107"/>
      <c r="AG545" s="107"/>
      <c r="AH545" s="107"/>
      <c r="AI545" s="107"/>
    </row>
    <row r="546" spans="24:35">
      <c r="X546" s="107"/>
      <c r="Y546" s="107"/>
      <c r="Z546" s="107"/>
      <c r="AA546" s="107"/>
      <c r="AB546" s="107"/>
      <c r="AC546" s="107"/>
      <c r="AD546" s="107"/>
      <c r="AE546" s="107"/>
      <c r="AF546" s="107"/>
      <c r="AG546" s="107"/>
      <c r="AH546" s="107"/>
      <c r="AI546" s="107"/>
    </row>
    <row r="547" spans="24:35">
      <c r="X547" s="107"/>
      <c r="Y547" s="107"/>
      <c r="Z547" s="107"/>
      <c r="AA547" s="107"/>
      <c r="AB547" s="107"/>
      <c r="AC547" s="107"/>
      <c r="AD547" s="107"/>
      <c r="AE547" s="107"/>
      <c r="AF547" s="107"/>
      <c r="AG547" s="107"/>
      <c r="AH547" s="107"/>
      <c r="AI547" s="107"/>
    </row>
    <row r="548" spans="24:35">
      <c r="X548" s="107"/>
      <c r="Y548" s="107"/>
      <c r="Z548" s="107"/>
      <c r="AA548" s="107"/>
      <c r="AB548" s="107"/>
      <c r="AC548" s="107"/>
      <c r="AD548" s="107"/>
      <c r="AE548" s="107"/>
      <c r="AF548" s="107"/>
      <c r="AG548" s="107"/>
      <c r="AH548" s="107"/>
      <c r="AI548" s="107"/>
    </row>
    <row r="549" spans="24:35">
      <c r="X549" s="107"/>
      <c r="Y549" s="107"/>
      <c r="Z549" s="107"/>
      <c r="AA549" s="107"/>
      <c r="AB549" s="107"/>
      <c r="AC549" s="107"/>
      <c r="AD549" s="107"/>
      <c r="AE549" s="107"/>
      <c r="AF549" s="107"/>
      <c r="AG549" s="107"/>
      <c r="AH549" s="107"/>
      <c r="AI549" s="107"/>
    </row>
    <row r="550" spans="24:35">
      <c r="X550" s="107"/>
      <c r="Y550" s="107"/>
      <c r="Z550" s="107"/>
      <c r="AA550" s="107"/>
      <c r="AB550" s="107"/>
      <c r="AC550" s="107"/>
      <c r="AD550" s="107"/>
      <c r="AE550" s="107"/>
      <c r="AF550" s="107"/>
      <c r="AG550" s="107"/>
      <c r="AH550" s="107"/>
      <c r="AI550" s="107"/>
    </row>
    <row r="551" spans="24:35">
      <c r="X551" s="107"/>
      <c r="Y551" s="107"/>
      <c r="Z551" s="107"/>
      <c r="AA551" s="107"/>
      <c r="AB551" s="107"/>
      <c r="AC551" s="107"/>
      <c r="AD551" s="107"/>
      <c r="AE551" s="107"/>
      <c r="AF551" s="107"/>
      <c r="AG551" s="107"/>
      <c r="AH551" s="107"/>
      <c r="AI551" s="107"/>
    </row>
    <row r="552" spans="24:35">
      <c r="X552" s="107"/>
      <c r="Y552" s="107"/>
      <c r="Z552" s="107"/>
      <c r="AA552" s="107"/>
      <c r="AB552" s="107"/>
      <c r="AC552" s="107"/>
      <c r="AD552" s="107"/>
      <c r="AE552" s="107"/>
      <c r="AF552" s="107"/>
      <c r="AG552" s="107"/>
      <c r="AH552" s="107"/>
      <c r="AI552" s="107"/>
    </row>
    <row r="553" spans="24:35">
      <c r="X553" s="107"/>
      <c r="Y553" s="107"/>
      <c r="Z553" s="107"/>
      <c r="AA553" s="107"/>
      <c r="AB553" s="107"/>
      <c r="AC553" s="107"/>
      <c r="AD553" s="107"/>
      <c r="AE553" s="107"/>
      <c r="AF553" s="107"/>
      <c r="AG553" s="107"/>
      <c r="AH553" s="107"/>
      <c r="AI553" s="107"/>
    </row>
    <row r="554" spans="24:35">
      <c r="X554" s="107"/>
      <c r="Y554" s="107"/>
      <c r="Z554" s="107"/>
      <c r="AA554" s="107"/>
      <c r="AB554" s="107"/>
      <c r="AC554" s="107"/>
      <c r="AD554" s="107"/>
      <c r="AE554" s="107"/>
      <c r="AF554" s="107"/>
      <c r="AG554" s="107"/>
      <c r="AH554" s="107"/>
      <c r="AI554" s="107"/>
    </row>
    <row r="555" spans="24:35">
      <c r="X555" s="107"/>
      <c r="Y555" s="107"/>
      <c r="Z555" s="107"/>
      <c r="AA555" s="107"/>
      <c r="AB555" s="107"/>
      <c r="AC555" s="107"/>
      <c r="AD555" s="107"/>
      <c r="AE555" s="107"/>
      <c r="AF555" s="107"/>
      <c r="AG555" s="107"/>
      <c r="AH555" s="107"/>
      <c r="AI555" s="107"/>
    </row>
    <row r="556" spans="24:35">
      <c r="X556" s="107"/>
      <c r="Y556" s="107"/>
      <c r="Z556" s="107"/>
      <c r="AA556" s="107"/>
      <c r="AB556" s="107"/>
      <c r="AC556" s="107"/>
      <c r="AD556" s="107"/>
      <c r="AE556" s="107"/>
      <c r="AF556" s="107"/>
      <c r="AG556" s="107"/>
      <c r="AH556" s="107"/>
      <c r="AI556" s="107"/>
    </row>
    <row r="557" spans="24:35">
      <c r="X557" s="107"/>
      <c r="Y557" s="107"/>
      <c r="Z557" s="107"/>
      <c r="AA557" s="107"/>
      <c r="AB557" s="107"/>
      <c r="AC557" s="107"/>
      <c r="AD557" s="107"/>
      <c r="AE557" s="107"/>
      <c r="AF557" s="107"/>
      <c r="AG557" s="107"/>
      <c r="AH557" s="107"/>
      <c r="AI557" s="107"/>
    </row>
    <row r="558" spans="24:35">
      <c r="X558" s="107"/>
      <c r="Y558" s="107"/>
      <c r="Z558" s="107"/>
      <c r="AA558" s="107"/>
      <c r="AB558" s="107"/>
      <c r="AC558" s="107"/>
      <c r="AD558" s="107"/>
      <c r="AE558" s="107"/>
      <c r="AF558" s="107"/>
      <c r="AG558" s="107"/>
      <c r="AH558" s="107"/>
      <c r="AI558" s="107"/>
    </row>
    <row r="559" spans="24:35">
      <c r="X559" s="107"/>
      <c r="Y559" s="107"/>
      <c r="Z559" s="107"/>
      <c r="AA559" s="107"/>
      <c r="AB559" s="107"/>
      <c r="AC559" s="107"/>
      <c r="AD559" s="107"/>
      <c r="AE559" s="107"/>
      <c r="AF559" s="107"/>
      <c r="AG559" s="107"/>
      <c r="AH559" s="107"/>
      <c r="AI559" s="107"/>
    </row>
    <row r="560" spans="24:35">
      <c r="X560" s="107"/>
      <c r="Y560" s="107"/>
      <c r="Z560" s="107"/>
      <c r="AA560" s="107"/>
      <c r="AB560" s="107"/>
      <c r="AC560" s="107"/>
      <c r="AD560" s="107"/>
      <c r="AE560" s="107"/>
      <c r="AF560" s="107"/>
      <c r="AG560" s="107"/>
      <c r="AH560" s="107"/>
      <c r="AI560" s="107"/>
    </row>
    <row r="561" spans="24:35">
      <c r="X561" s="107"/>
      <c r="Y561" s="107"/>
      <c r="Z561" s="107"/>
      <c r="AA561" s="107"/>
      <c r="AB561" s="107"/>
      <c r="AC561" s="107"/>
      <c r="AD561" s="107"/>
      <c r="AE561" s="107"/>
      <c r="AF561" s="107"/>
      <c r="AG561" s="107"/>
      <c r="AH561" s="107"/>
      <c r="AI561" s="107"/>
    </row>
    <row r="562" spans="24:35">
      <c r="X562" s="107"/>
      <c r="Y562" s="107"/>
      <c r="Z562" s="107"/>
      <c r="AA562" s="107"/>
      <c r="AB562" s="107"/>
      <c r="AC562" s="107"/>
      <c r="AD562" s="107"/>
      <c r="AE562" s="107"/>
      <c r="AF562" s="107"/>
      <c r="AG562" s="107"/>
      <c r="AH562" s="107"/>
      <c r="AI562" s="107"/>
    </row>
    <row r="563" spans="24:35">
      <c r="X563" s="107"/>
      <c r="Y563" s="107"/>
      <c r="Z563" s="107"/>
      <c r="AA563" s="107"/>
      <c r="AB563" s="107"/>
      <c r="AC563" s="107"/>
      <c r="AD563" s="107"/>
      <c r="AE563" s="107"/>
      <c r="AF563" s="107"/>
      <c r="AG563" s="107"/>
      <c r="AH563" s="107"/>
      <c r="AI563" s="107"/>
    </row>
    <row r="564" spans="24:35">
      <c r="X564" s="107"/>
      <c r="Y564" s="107"/>
      <c r="Z564" s="107"/>
      <c r="AA564" s="107"/>
      <c r="AB564" s="107"/>
      <c r="AC564" s="107"/>
      <c r="AD564" s="107"/>
      <c r="AE564" s="107"/>
      <c r="AF564" s="107"/>
      <c r="AG564" s="107"/>
      <c r="AH564" s="107"/>
      <c r="AI564" s="107"/>
    </row>
    <row r="565" spans="24:35">
      <c r="X565" s="107"/>
      <c r="Y565" s="107"/>
      <c r="Z565" s="107"/>
      <c r="AA565" s="107"/>
      <c r="AB565" s="107"/>
      <c r="AC565" s="107"/>
      <c r="AD565" s="107"/>
      <c r="AE565" s="107"/>
      <c r="AF565" s="107"/>
      <c r="AG565" s="107"/>
      <c r="AH565" s="107"/>
      <c r="AI565" s="107"/>
    </row>
    <row r="566" spans="24:35">
      <c r="X566" s="107"/>
      <c r="Y566" s="107"/>
      <c r="Z566" s="107"/>
      <c r="AA566" s="107"/>
      <c r="AB566" s="107"/>
      <c r="AC566" s="107"/>
      <c r="AD566" s="107"/>
      <c r="AE566" s="107"/>
      <c r="AF566" s="107"/>
      <c r="AG566" s="107"/>
      <c r="AH566" s="107"/>
      <c r="AI566" s="107"/>
    </row>
    <row r="567" spans="24:35">
      <c r="X567" s="107"/>
      <c r="Y567" s="107"/>
      <c r="Z567" s="107"/>
      <c r="AA567" s="107"/>
      <c r="AB567" s="107"/>
      <c r="AC567" s="107"/>
      <c r="AD567" s="107"/>
      <c r="AE567" s="107"/>
      <c r="AF567" s="107"/>
      <c r="AG567" s="107"/>
      <c r="AH567" s="107"/>
      <c r="AI567" s="107"/>
    </row>
    <row r="568" spans="24:35">
      <c r="X568" s="107"/>
      <c r="Y568" s="107"/>
      <c r="Z568" s="107"/>
      <c r="AA568" s="107"/>
      <c r="AB568" s="107"/>
      <c r="AC568" s="107"/>
      <c r="AD568" s="107"/>
      <c r="AE568" s="107"/>
      <c r="AF568" s="107"/>
      <c r="AG568" s="107"/>
      <c r="AH568" s="107"/>
      <c r="AI568" s="107"/>
    </row>
    <row r="569" spans="24:35">
      <c r="X569" s="107"/>
      <c r="Y569" s="107"/>
      <c r="Z569" s="107"/>
      <c r="AA569" s="107"/>
      <c r="AB569" s="107"/>
      <c r="AC569" s="107"/>
      <c r="AD569" s="107"/>
      <c r="AE569" s="107"/>
      <c r="AF569" s="107"/>
      <c r="AG569" s="107"/>
      <c r="AH569" s="107"/>
      <c r="AI569" s="107"/>
    </row>
    <row r="570" spans="24:35">
      <c r="X570" s="107"/>
      <c r="Y570" s="107"/>
      <c r="Z570" s="107"/>
      <c r="AA570" s="107"/>
      <c r="AB570" s="107"/>
      <c r="AC570" s="107"/>
      <c r="AD570" s="107"/>
      <c r="AE570" s="107"/>
      <c r="AF570" s="107"/>
      <c r="AG570" s="107"/>
      <c r="AH570" s="107"/>
      <c r="AI570" s="107"/>
    </row>
    <row r="571" spans="24:35">
      <c r="X571" s="107"/>
      <c r="Y571" s="107"/>
      <c r="Z571" s="107"/>
      <c r="AA571" s="107"/>
      <c r="AB571" s="107"/>
      <c r="AC571" s="107"/>
      <c r="AD571" s="107"/>
      <c r="AE571" s="107"/>
      <c r="AF571" s="107"/>
      <c r="AG571" s="107"/>
      <c r="AH571" s="107"/>
      <c r="AI571" s="107"/>
    </row>
    <row r="572" spans="24:35">
      <c r="X572" s="107"/>
      <c r="Y572" s="107"/>
      <c r="Z572" s="107"/>
      <c r="AA572" s="107"/>
      <c r="AB572" s="107"/>
      <c r="AC572" s="107"/>
      <c r="AD572" s="107"/>
      <c r="AE572" s="107"/>
      <c r="AF572" s="107"/>
      <c r="AG572" s="107"/>
      <c r="AH572" s="107"/>
      <c r="AI572" s="107"/>
    </row>
    <row r="573" spans="24:35">
      <c r="X573" s="107"/>
      <c r="Y573" s="107"/>
      <c r="Z573" s="107"/>
      <c r="AA573" s="107"/>
      <c r="AB573" s="107"/>
      <c r="AC573" s="107"/>
      <c r="AD573" s="107"/>
      <c r="AE573" s="107"/>
      <c r="AF573" s="107"/>
      <c r="AG573" s="107"/>
      <c r="AH573" s="107"/>
      <c r="AI573" s="107"/>
    </row>
    <row r="574" spans="24:35">
      <c r="X574" s="107"/>
      <c r="Y574" s="107"/>
      <c r="Z574" s="107"/>
      <c r="AA574" s="107"/>
      <c r="AB574" s="107"/>
      <c r="AC574" s="107"/>
      <c r="AD574" s="107"/>
      <c r="AE574" s="107"/>
      <c r="AF574" s="107"/>
      <c r="AG574" s="107"/>
      <c r="AH574" s="107"/>
      <c r="AI574" s="107"/>
    </row>
    <row r="575" spans="24:35">
      <c r="X575" s="107"/>
      <c r="Y575" s="107"/>
      <c r="Z575" s="107"/>
      <c r="AA575" s="107"/>
      <c r="AB575" s="107"/>
      <c r="AC575" s="107"/>
      <c r="AD575" s="107"/>
      <c r="AE575" s="107"/>
      <c r="AF575" s="107"/>
      <c r="AG575" s="107"/>
      <c r="AH575" s="107"/>
      <c r="AI575" s="107"/>
    </row>
    <row r="576" spans="24:35">
      <c r="X576" s="107"/>
      <c r="Y576" s="107"/>
      <c r="Z576" s="107"/>
      <c r="AA576" s="107"/>
      <c r="AB576" s="107"/>
      <c r="AC576" s="107"/>
      <c r="AD576" s="107"/>
      <c r="AE576" s="107"/>
      <c r="AF576" s="107"/>
      <c r="AG576" s="107"/>
      <c r="AH576" s="107"/>
      <c r="AI576" s="107"/>
    </row>
    <row r="577" spans="24:35">
      <c r="X577" s="107"/>
      <c r="Y577" s="107"/>
      <c r="Z577" s="107"/>
      <c r="AA577" s="107"/>
      <c r="AB577" s="107"/>
      <c r="AC577" s="107"/>
      <c r="AD577" s="107"/>
      <c r="AE577" s="107"/>
      <c r="AF577" s="107"/>
      <c r="AG577" s="107"/>
      <c r="AH577" s="107"/>
      <c r="AI577" s="107"/>
    </row>
    <row r="578" spans="24:35">
      <c r="X578" s="107"/>
      <c r="Y578" s="107"/>
      <c r="Z578" s="107"/>
      <c r="AA578" s="107"/>
      <c r="AB578" s="107"/>
      <c r="AC578" s="107"/>
      <c r="AD578" s="107"/>
      <c r="AE578" s="107"/>
      <c r="AF578" s="107"/>
      <c r="AG578" s="107"/>
      <c r="AH578" s="107"/>
      <c r="AI578" s="107"/>
    </row>
    <row r="579" spans="24:35">
      <c r="X579" s="107"/>
      <c r="Y579" s="107"/>
      <c r="Z579" s="107"/>
      <c r="AA579" s="107"/>
      <c r="AB579" s="107"/>
      <c r="AC579" s="107"/>
      <c r="AD579" s="107"/>
      <c r="AE579" s="107"/>
      <c r="AF579" s="107"/>
      <c r="AG579" s="107"/>
      <c r="AH579" s="107"/>
      <c r="AI579" s="107"/>
    </row>
    <row r="580" spans="24:35">
      <c r="X580" s="107"/>
      <c r="Y580" s="107"/>
      <c r="Z580" s="107"/>
      <c r="AA580" s="107"/>
      <c r="AB580" s="107"/>
      <c r="AC580" s="107"/>
      <c r="AD580" s="107"/>
      <c r="AE580" s="107"/>
      <c r="AF580" s="107"/>
      <c r="AG580" s="107"/>
      <c r="AH580" s="107"/>
      <c r="AI580" s="107"/>
    </row>
    <row r="581" spans="24:35">
      <c r="X581" s="107"/>
      <c r="Y581" s="107"/>
      <c r="Z581" s="107"/>
      <c r="AA581" s="107"/>
      <c r="AB581" s="107"/>
      <c r="AC581" s="107"/>
      <c r="AD581" s="107"/>
      <c r="AE581" s="107"/>
      <c r="AF581" s="107"/>
      <c r="AG581" s="107"/>
      <c r="AH581" s="107"/>
      <c r="AI581" s="107"/>
    </row>
    <row r="582" spans="24:35">
      <c r="X582" s="107"/>
      <c r="Y582" s="107"/>
      <c r="Z582" s="107"/>
      <c r="AA582" s="107"/>
      <c r="AB582" s="107"/>
      <c r="AC582" s="107"/>
      <c r="AD582" s="107"/>
      <c r="AE582" s="107"/>
      <c r="AF582" s="107"/>
      <c r="AG582" s="107"/>
      <c r="AH582" s="107"/>
      <c r="AI582" s="107"/>
    </row>
    <row r="583" spans="24:35">
      <c r="X583" s="107"/>
      <c r="Y583" s="107"/>
      <c r="Z583" s="107"/>
      <c r="AA583" s="107"/>
      <c r="AB583" s="107"/>
      <c r="AC583" s="107"/>
      <c r="AD583" s="107"/>
      <c r="AE583" s="107"/>
      <c r="AF583" s="107"/>
      <c r="AG583" s="107"/>
      <c r="AH583" s="107"/>
      <c r="AI583" s="107"/>
    </row>
    <row r="584" spans="24:35">
      <c r="X584" s="107"/>
      <c r="Y584" s="107"/>
      <c r="Z584" s="107"/>
      <c r="AA584" s="107"/>
      <c r="AB584" s="107"/>
      <c r="AC584" s="107"/>
      <c r="AD584" s="107"/>
      <c r="AE584" s="107"/>
      <c r="AF584" s="107"/>
      <c r="AG584" s="107"/>
      <c r="AH584" s="107"/>
      <c r="AI584" s="107"/>
    </row>
    <row r="585" spans="24:35">
      <c r="X585" s="107"/>
      <c r="Y585" s="107"/>
      <c r="Z585" s="107"/>
      <c r="AA585" s="107"/>
      <c r="AB585" s="107"/>
      <c r="AC585" s="107"/>
      <c r="AD585" s="107"/>
      <c r="AE585" s="107"/>
      <c r="AF585" s="107"/>
      <c r="AG585" s="107"/>
      <c r="AH585" s="107"/>
      <c r="AI585" s="107"/>
    </row>
    <row r="586" spans="24:35">
      <c r="X586" s="107"/>
      <c r="Y586" s="107"/>
      <c r="Z586" s="107"/>
      <c r="AA586" s="107"/>
      <c r="AB586" s="107"/>
      <c r="AC586" s="107"/>
      <c r="AD586" s="107"/>
      <c r="AE586" s="107"/>
      <c r="AF586" s="107"/>
      <c r="AG586" s="107"/>
      <c r="AH586" s="107"/>
      <c r="AI586" s="107"/>
    </row>
    <row r="587" spans="24:35">
      <c r="X587" s="107"/>
      <c r="Y587" s="107"/>
      <c r="Z587" s="107"/>
      <c r="AA587" s="107"/>
      <c r="AB587" s="107"/>
      <c r="AC587" s="107"/>
      <c r="AD587" s="107"/>
      <c r="AE587" s="107"/>
      <c r="AF587" s="107"/>
      <c r="AG587" s="107"/>
      <c r="AH587" s="107"/>
      <c r="AI587" s="107"/>
    </row>
    <row r="588" spans="24:35">
      <c r="X588" s="107"/>
      <c r="Y588" s="107"/>
      <c r="Z588" s="107"/>
      <c r="AA588" s="107"/>
      <c r="AB588" s="107"/>
      <c r="AC588" s="107"/>
      <c r="AD588" s="107"/>
      <c r="AE588" s="107"/>
      <c r="AF588" s="107"/>
      <c r="AG588" s="107"/>
      <c r="AH588" s="107"/>
      <c r="AI588" s="107"/>
    </row>
    <row r="589" spans="24:35">
      <c r="X589" s="107"/>
      <c r="Y589" s="107"/>
      <c r="Z589" s="107"/>
      <c r="AA589" s="107"/>
      <c r="AB589" s="107"/>
      <c r="AC589" s="107"/>
      <c r="AD589" s="107"/>
      <c r="AE589" s="107"/>
      <c r="AF589" s="107"/>
      <c r="AG589" s="107"/>
      <c r="AH589" s="107"/>
      <c r="AI589" s="107"/>
    </row>
    <row r="590" spans="24:35">
      <c r="X590" s="107"/>
      <c r="Y590" s="107"/>
      <c r="Z590" s="107"/>
      <c r="AA590" s="107"/>
      <c r="AB590" s="107"/>
      <c r="AC590" s="107"/>
      <c r="AD590" s="107"/>
      <c r="AE590" s="107"/>
      <c r="AF590" s="107"/>
      <c r="AG590" s="107"/>
      <c r="AH590" s="107"/>
      <c r="AI590" s="107"/>
    </row>
    <row r="591" spans="24:35">
      <c r="X591" s="107"/>
      <c r="Y591" s="107"/>
      <c r="Z591" s="107"/>
      <c r="AA591" s="107"/>
      <c r="AB591" s="107"/>
      <c r="AC591" s="107"/>
      <c r="AD591" s="107"/>
      <c r="AE591" s="107"/>
      <c r="AF591" s="107"/>
      <c r="AG591" s="107"/>
      <c r="AH591" s="107"/>
      <c r="AI591" s="107"/>
    </row>
    <row r="592" spans="24:35">
      <c r="X592" s="107"/>
      <c r="Y592" s="107"/>
      <c r="Z592" s="107"/>
      <c r="AA592" s="107"/>
      <c r="AB592" s="107"/>
      <c r="AC592" s="107"/>
      <c r="AD592" s="107"/>
      <c r="AE592" s="107"/>
      <c r="AF592" s="107"/>
      <c r="AG592" s="107"/>
      <c r="AH592" s="107"/>
      <c r="AI592" s="107"/>
    </row>
    <row r="593" spans="24:35">
      <c r="X593" s="107"/>
      <c r="Y593" s="107"/>
      <c r="Z593" s="107"/>
      <c r="AA593" s="107"/>
      <c r="AB593" s="107"/>
      <c r="AC593" s="107"/>
      <c r="AD593" s="107"/>
      <c r="AE593" s="107"/>
      <c r="AF593" s="107"/>
      <c r="AG593" s="107"/>
      <c r="AH593" s="107"/>
      <c r="AI593" s="107"/>
    </row>
    <row r="594" spans="24:35">
      <c r="X594" s="107"/>
      <c r="Y594" s="107"/>
      <c r="Z594" s="107"/>
      <c r="AA594" s="107"/>
      <c r="AB594" s="107"/>
      <c r="AC594" s="107"/>
      <c r="AD594" s="107"/>
      <c r="AE594" s="107"/>
      <c r="AF594" s="107"/>
      <c r="AG594" s="107"/>
      <c r="AH594" s="107"/>
      <c r="AI594" s="107"/>
    </row>
    <row r="595" spans="24:35">
      <c r="X595" s="107"/>
      <c r="Y595" s="107"/>
      <c r="Z595" s="107"/>
      <c r="AA595" s="107"/>
      <c r="AB595" s="107"/>
      <c r="AC595" s="107"/>
      <c r="AD595" s="107"/>
      <c r="AE595" s="107"/>
      <c r="AF595" s="107"/>
      <c r="AG595" s="107"/>
      <c r="AH595" s="107"/>
      <c r="AI595" s="107"/>
    </row>
    <row r="596" spans="24:35">
      <c r="X596" s="107"/>
      <c r="Y596" s="107"/>
      <c r="Z596" s="107"/>
      <c r="AA596" s="107"/>
      <c r="AB596" s="107"/>
      <c r="AC596" s="107"/>
      <c r="AD596" s="107"/>
      <c r="AE596" s="107"/>
      <c r="AF596" s="107"/>
      <c r="AG596" s="107"/>
      <c r="AH596" s="107"/>
      <c r="AI596" s="107"/>
    </row>
    <row r="597" spans="24:35">
      <c r="X597" s="107"/>
      <c r="Y597" s="107"/>
      <c r="Z597" s="107"/>
      <c r="AA597" s="107"/>
      <c r="AB597" s="107"/>
      <c r="AC597" s="107"/>
      <c r="AD597" s="107"/>
      <c r="AE597" s="107"/>
      <c r="AF597" s="107"/>
      <c r="AG597" s="107"/>
      <c r="AH597" s="107"/>
      <c r="AI597" s="107"/>
    </row>
    <row r="598" spans="24:35">
      <c r="X598" s="107"/>
      <c r="Y598" s="107"/>
      <c r="Z598" s="107"/>
      <c r="AA598" s="107"/>
      <c r="AB598" s="107"/>
      <c r="AC598" s="107"/>
      <c r="AD598" s="107"/>
      <c r="AE598" s="107"/>
      <c r="AF598" s="107"/>
      <c r="AG598" s="107"/>
      <c r="AH598" s="107"/>
      <c r="AI598" s="107"/>
    </row>
    <row r="599" spans="24:35">
      <c r="X599" s="107"/>
      <c r="Y599" s="107"/>
      <c r="Z599" s="107"/>
      <c r="AA599" s="107"/>
      <c r="AB599" s="107"/>
      <c r="AC599" s="107"/>
      <c r="AD599" s="107"/>
      <c r="AE599" s="107"/>
      <c r="AF599" s="107"/>
      <c r="AG599" s="107"/>
      <c r="AH599" s="107"/>
      <c r="AI599" s="107"/>
    </row>
    <row r="600" spans="24:35">
      <c r="X600" s="107"/>
      <c r="Y600" s="107"/>
      <c r="Z600" s="107"/>
      <c r="AA600" s="107"/>
      <c r="AB600" s="107"/>
      <c r="AC600" s="107"/>
      <c r="AD600" s="107"/>
      <c r="AE600" s="107"/>
      <c r="AF600" s="107"/>
      <c r="AG600" s="107"/>
      <c r="AH600" s="107"/>
      <c r="AI600" s="107"/>
    </row>
    <row r="601" spans="24:35">
      <c r="X601" s="107"/>
      <c r="Y601" s="107"/>
      <c r="Z601" s="107"/>
      <c r="AA601" s="107"/>
      <c r="AB601" s="107"/>
      <c r="AC601" s="107"/>
      <c r="AD601" s="107"/>
      <c r="AE601" s="107"/>
      <c r="AF601" s="107"/>
      <c r="AG601" s="107"/>
      <c r="AH601" s="107"/>
      <c r="AI601" s="107"/>
    </row>
    <row r="602" spans="24:35">
      <c r="X602" s="107"/>
      <c r="Y602" s="107"/>
      <c r="Z602" s="107"/>
      <c r="AA602" s="107"/>
      <c r="AB602" s="107"/>
      <c r="AC602" s="107"/>
      <c r="AD602" s="107"/>
      <c r="AE602" s="107"/>
      <c r="AF602" s="107"/>
      <c r="AG602" s="107"/>
      <c r="AH602" s="107"/>
      <c r="AI602" s="107"/>
    </row>
    <row r="603" spans="24:35">
      <c r="X603" s="107"/>
      <c r="Y603" s="107"/>
      <c r="Z603" s="107"/>
      <c r="AA603" s="107"/>
      <c r="AB603" s="107"/>
      <c r="AC603" s="107"/>
      <c r="AD603" s="107"/>
      <c r="AE603" s="107"/>
      <c r="AF603" s="107"/>
      <c r="AG603" s="107"/>
      <c r="AH603" s="107"/>
      <c r="AI603" s="107"/>
    </row>
    <row r="604" spans="24:35">
      <c r="X604" s="107"/>
      <c r="Y604" s="107"/>
      <c r="Z604" s="107"/>
      <c r="AA604" s="107"/>
      <c r="AB604" s="107"/>
      <c r="AC604" s="107"/>
      <c r="AD604" s="107"/>
      <c r="AE604" s="107"/>
      <c r="AF604" s="107"/>
      <c r="AG604" s="107"/>
      <c r="AH604" s="107"/>
      <c r="AI604" s="107"/>
    </row>
    <row r="605" spans="24:35">
      <c r="X605" s="107"/>
      <c r="Y605" s="107"/>
      <c r="Z605" s="107"/>
      <c r="AA605" s="107"/>
      <c r="AB605" s="107"/>
      <c r="AC605" s="107"/>
      <c r="AD605" s="107"/>
      <c r="AE605" s="107"/>
      <c r="AF605" s="107"/>
      <c r="AG605" s="107"/>
      <c r="AH605" s="107"/>
      <c r="AI605" s="107"/>
    </row>
    <row r="606" spans="24:35">
      <c r="X606" s="107"/>
      <c r="Y606" s="107"/>
      <c r="Z606" s="107"/>
      <c r="AA606" s="107"/>
      <c r="AB606" s="107"/>
      <c r="AC606" s="107"/>
      <c r="AD606" s="107"/>
      <c r="AE606" s="107"/>
      <c r="AF606" s="107"/>
      <c r="AG606" s="107"/>
      <c r="AH606" s="107"/>
      <c r="AI606" s="107"/>
    </row>
    <row r="607" spans="24:35">
      <c r="X607" s="107"/>
      <c r="Y607" s="107"/>
      <c r="Z607" s="107"/>
      <c r="AA607" s="107"/>
      <c r="AB607" s="107"/>
      <c r="AC607" s="107"/>
      <c r="AD607" s="107"/>
      <c r="AE607" s="107"/>
      <c r="AF607" s="107"/>
      <c r="AG607" s="107"/>
      <c r="AH607" s="107"/>
      <c r="AI607" s="107"/>
    </row>
    <row r="608" spans="24:35">
      <c r="X608" s="107"/>
      <c r="Y608" s="107"/>
      <c r="Z608" s="107"/>
      <c r="AA608" s="107"/>
      <c r="AB608" s="107"/>
      <c r="AC608" s="107"/>
      <c r="AD608" s="107"/>
      <c r="AE608" s="107"/>
      <c r="AF608" s="107"/>
      <c r="AG608" s="107"/>
      <c r="AH608" s="107"/>
      <c r="AI608" s="107"/>
    </row>
    <row r="609" spans="24:35">
      <c r="X609" s="107"/>
      <c r="Y609" s="107"/>
      <c r="Z609" s="107"/>
      <c r="AA609" s="107"/>
      <c r="AB609" s="107"/>
      <c r="AC609" s="107"/>
      <c r="AD609" s="107"/>
      <c r="AE609" s="107"/>
      <c r="AF609" s="107"/>
      <c r="AG609" s="107"/>
      <c r="AH609" s="107"/>
      <c r="AI609" s="107"/>
    </row>
    <row r="610" spans="24:35">
      <c r="X610" s="107"/>
      <c r="Y610" s="107"/>
      <c r="Z610" s="107"/>
      <c r="AA610" s="107"/>
      <c r="AB610" s="107"/>
      <c r="AC610" s="107"/>
      <c r="AD610" s="107"/>
      <c r="AE610" s="107"/>
      <c r="AF610" s="107"/>
      <c r="AG610" s="107"/>
      <c r="AH610" s="107"/>
      <c r="AI610" s="107"/>
    </row>
    <row r="611" spans="24:35">
      <c r="X611" s="107"/>
      <c r="Y611" s="107"/>
      <c r="Z611" s="107"/>
      <c r="AA611" s="107"/>
      <c r="AB611" s="107"/>
      <c r="AC611" s="107"/>
      <c r="AD611" s="107"/>
      <c r="AE611" s="107"/>
      <c r="AF611" s="107"/>
      <c r="AG611" s="107"/>
      <c r="AH611" s="107"/>
      <c r="AI611" s="107"/>
    </row>
    <row r="612" spans="24:35">
      <c r="X612" s="107"/>
      <c r="Y612" s="107"/>
      <c r="Z612" s="107"/>
      <c r="AA612" s="107"/>
      <c r="AB612" s="107"/>
      <c r="AC612" s="107"/>
      <c r="AD612" s="107"/>
      <c r="AE612" s="107"/>
      <c r="AF612" s="107"/>
      <c r="AG612" s="107"/>
      <c r="AH612" s="107"/>
      <c r="AI612" s="107"/>
    </row>
    <row r="613" spans="24:35">
      <c r="X613" s="107"/>
      <c r="Y613" s="107"/>
      <c r="Z613" s="107"/>
      <c r="AA613" s="107"/>
      <c r="AB613" s="107"/>
      <c r="AC613" s="107"/>
      <c r="AD613" s="107"/>
      <c r="AE613" s="107"/>
      <c r="AF613" s="107"/>
      <c r="AG613" s="107"/>
      <c r="AH613" s="107"/>
      <c r="AI613" s="107"/>
    </row>
    <row r="614" spans="24:35">
      <c r="X614" s="107"/>
      <c r="Y614" s="107"/>
      <c r="Z614" s="107"/>
      <c r="AA614" s="107"/>
      <c r="AB614" s="107"/>
      <c r="AC614" s="107"/>
      <c r="AD614" s="107"/>
      <c r="AE614" s="107"/>
      <c r="AF614" s="107"/>
      <c r="AG614" s="107"/>
      <c r="AH614" s="107"/>
      <c r="AI614" s="107"/>
    </row>
    <row r="615" spans="24:35">
      <c r="X615" s="107"/>
      <c r="Y615" s="107"/>
      <c r="Z615" s="107"/>
      <c r="AA615" s="107"/>
      <c r="AB615" s="107"/>
      <c r="AC615" s="107"/>
      <c r="AD615" s="107"/>
      <c r="AE615" s="107"/>
      <c r="AF615" s="107"/>
      <c r="AG615" s="107"/>
      <c r="AH615" s="107"/>
      <c r="AI615" s="107"/>
    </row>
    <row r="616" spans="24:35">
      <c r="X616" s="107"/>
      <c r="Y616" s="107"/>
      <c r="Z616" s="107"/>
      <c r="AA616" s="107"/>
      <c r="AB616" s="107"/>
      <c r="AC616" s="107"/>
      <c r="AD616" s="107"/>
      <c r="AE616" s="107"/>
      <c r="AF616" s="107"/>
      <c r="AG616" s="107"/>
      <c r="AH616" s="107"/>
      <c r="AI616" s="107"/>
    </row>
    <row r="617" spans="24:35">
      <c r="X617" s="107"/>
      <c r="Y617" s="107"/>
      <c r="Z617" s="107"/>
      <c r="AA617" s="107"/>
      <c r="AB617" s="107"/>
      <c r="AC617" s="107"/>
      <c r="AD617" s="107"/>
      <c r="AE617" s="107"/>
      <c r="AF617" s="107"/>
      <c r="AG617" s="107"/>
      <c r="AH617" s="107"/>
      <c r="AI617" s="107"/>
    </row>
    <row r="618" spans="24:35">
      <c r="X618" s="107"/>
      <c r="Y618" s="107"/>
      <c r="Z618" s="107"/>
      <c r="AA618" s="107"/>
      <c r="AB618" s="107"/>
      <c r="AC618" s="107"/>
      <c r="AD618" s="107"/>
      <c r="AE618" s="107"/>
      <c r="AF618" s="107"/>
      <c r="AG618" s="107"/>
      <c r="AH618" s="107"/>
      <c r="AI618" s="107"/>
    </row>
    <row r="619" spans="24:35">
      <c r="X619" s="107"/>
      <c r="Y619" s="107"/>
      <c r="Z619" s="107"/>
      <c r="AA619" s="107"/>
      <c r="AB619" s="107"/>
      <c r="AC619" s="107"/>
      <c r="AD619" s="107"/>
      <c r="AE619" s="107"/>
      <c r="AF619" s="107"/>
      <c r="AG619" s="107"/>
      <c r="AH619" s="107"/>
      <c r="AI619" s="107"/>
    </row>
    <row r="620" spans="24:35">
      <c r="X620" s="107"/>
      <c r="Y620" s="107"/>
      <c r="Z620" s="107"/>
      <c r="AA620" s="107"/>
      <c r="AB620" s="107"/>
      <c r="AC620" s="107"/>
      <c r="AD620" s="107"/>
      <c r="AE620" s="107"/>
      <c r="AF620" s="107"/>
      <c r="AG620" s="107"/>
      <c r="AH620" s="107"/>
      <c r="AI620" s="107"/>
    </row>
    <row r="621" spans="24:35">
      <c r="X621" s="107"/>
      <c r="Y621" s="107"/>
      <c r="Z621" s="107"/>
      <c r="AA621" s="107"/>
      <c r="AB621" s="107"/>
      <c r="AC621" s="107"/>
      <c r="AD621" s="107"/>
      <c r="AE621" s="107"/>
      <c r="AF621" s="107"/>
      <c r="AG621" s="107"/>
      <c r="AH621" s="107"/>
      <c r="AI621" s="107"/>
    </row>
    <row r="622" spans="24:35">
      <c r="X622" s="107"/>
      <c r="Y622" s="107"/>
      <c r="Z622" s="107"/>
      <c r="AA622" s="107"/>
      <c r="AB622" s="107"/>
      <c r="AC622" s="107"/>
      <c r="AD622" s="107"/>
      <c r="AE622" s="107"/>
      <c r="AF622" s="107"/>
      <c r="AG622" s="107"/>
      <c r="AH622" s="107"/>
      <c r="AI622" s="107"/>
    </row>
    <row r="623" spans="24:35">
      <c r="X623" s="107"/>
      <c r="Y623" s="107"/>
      <c r="Z623" s="107"/>
      <c r="AA623" s="107"/>
      <c r="AB623" s="107"/>
      <c r="AC623" s="107"/>
      <c r="AD623" s="107"/>
      <c r="AE623" s="107"/>
      <c r="AF623" s="107"/>
      <c r="AG623" s="107"/>
      <c r="AH623" s="107"/>
      <c r="AI623" s="107"/>
    </row>
    <row r="624" spans="24:35">
      <c r="X624" s="107"/>
      <c r="Y624" s="107"/>
      <c r="Z624" s="107"/>
      <c r="AA624" s="107"/>
      <c r="AB624" s="107"/>
      <c r="AC624" s="107"/>
      <c r="AD624" s="107"/>
      <c r="AE624" s="107"/>
      <c r="AF624" s="107"/>
      <c r="AG624" s="107"/>
      <c r="AH624" s="107"/>
      <c r="AI624" s="107"/>
    </row>
    <row r="625" spans="24:35">
      <c r="X625" s="107"/>
      <c r="Y625" s="107"/>
      <c r="Z625" s="107"/>
      <c r="AA625" s="107"/>
      <c r="AB625" s="107"/>
      <c r="AC625" s="107"/>
      <c r="AD625" s="107"/>
      <c r="AE625" s="107"/>
      <c r="AF625" s="107"/>
      <c r="AG625" s="107"/>
      <c r="AH625" s="107"/>
      <c r="AI625" s="107"/>
    </row>
    <row r="626" spans="24:35">
      <c r="X626" s="107"/>
      <c r="Y626" s="107"/>
      <c r="Z626" s="107"/>
      <c r="AA626" s="107"/>
      <c r="AB626" s="107"/>
      <c r="AC626" s="107"/>
      <c r="AD626" s="107"/>
      <c r="AE626" s="107"/>
      <c r="AF626" s="107"/>
      <c r="AG626" s="107"/>
      <c r="AH626" s="107"/>
      <c r="AI626" s="107"/>
    </row>
    <row r="627" spans="24:35">
      <c r="X627" s="107"/>
      <c r="Y627" s="107"/>
      <c r="Z627" s="107"/>
      <c r="AA627" s="107"/>
      <c r="AB627" s="107"/>
      <c r="AC627" s="107"/>
      <c r="AD627" s="107"/>
      <c r="AE627" s="107"/>
      <c r="AF627" s="107"/>
      <c r="AG627" s="107"/>
      <c r="AH627" s="107"/>
      <c r="AI627" s="107"/>
    </row>
    <row r="628" spans="24:35">
      <c r="X628" s="107"/>
      <c r="Y628" s="107"/>
      <c r="Z628" s="107"/>
      <c r="AA628" s="107"/>
      <c r="AB628" s="107"/>
      <c r="AC628" s="107"/>
      <c r="AD628" s="107"/>
      <c r="AE628" s="107"/>
      <c r="AF628" s="107"/>
      <c r="AG628" s="107"/>
      <c r="AH628" s="107"/>
      <c r="AI628" s="107"/>
    </row>
    <row r="629" spans="24:35">
      <c r="X629" s="107"/>
      <c r="Y629" s="107"/>
      <c r="Z629" s="107"/>
      <c r="AA629" s="107"/>
      <c r="AB629" s="107"/>
      <c r="AC629" s="107"/>
      <c r="AD629" s="107"/>
      <c r="AE629" s="107"/>
      <c r="AF629" s="107"/>
      <c r="AG629" s="107"/>
      <c r="AH629" s="107"/>
      <c r="AI629" s="107"/>
    </row>
    <row r="630" spans="24:35">
      <c r="X630" s="107"/>
      <c r="Y630" s="107"/>
      <c r="Z630" s="107"/>
      <c r="AA630" s="107"/>
      <c r="AB630" s="107"/>
      <c r="AC630" s="107"/>
      <c r="AD630" s="107"/>
      <c r="AE630" s="107"/>
      <c r="AF630" s="107"/>
      <c r="AG630" s="107"/>
      <c r="AH630" s="107"/>
      <c r="AI630" s="107"/>
    </row>
    <row r="631" spans="24:35">
      <c r="X631" s="107"/>
      <c r="Y631" s="107"/>
      <c r="Z631" s="107"/>
      <c r="AA631" s="107"/>
      <c r="AB631" s="107"/>
      <c r="AC631" s="107"/>
      <c r="AD631" s="107"/>
      <c r="AE631" s="107"/>
      <c r="AF631" s="107"/>
      <c r="AG631" s="107"/>
      <c r="AH631" s="107"/>
      <c r="AI631" s="107"/>
    </row>
    <row r="632" spans="24:35">
      <c r="X632" s="107"/>
      <c r="Y632" s="107"/>
      <c r="Z632" s="107"/>
      <c r="AA632" s="107"/>
      <c r="AB632" s="107"/>
      <c r="AC632" s="107"/>
      <c r="AD632" s="107"/>
      <c r="AE632" s="107"/>
      <c r="AF632" s="107"/>
      <c r="AG632" s="107"/>
      <c r="AH632" s="107"/>
      <c r="AI632" s="107"/>
    </row>
    <row r="633" spans="24:35">
      <c r="X633" s="107"/>
      <c r="Y633" s="107"/>
      <c r="Z633" s="107"/>
      <c r="AA633" s="107"/>
      <c r="AB633" s="107"/>
      <c r="AC633" s="107"/>
      <c r="AD633" s="107"/>
      <c r="AE633" s="107"/>
      <c r="AF633" s="107"/>
      <c r="AG633" s="107"/>
      <c r="AH633" s="107"/>
      <c r="AI633" s="107"/>
    </row>
    <row r="634" spans="24:35">
      <c r="X634" s="107"/>
      <c r="Y634" s="107"/>
      <c r="Z634" s="107"/>
      <c r="AA634" s="107"/>
      <c r="AB634" s="107"/>
      <c r="AC634" s="107"/>
      <c r="AD634" s="107"/>
      <c r="AE634" s="107"/>
      <c r="AF634" s="107"/>
      <c r="AG634" s="107"/>
      <c r="AH634" s="107"/>
      <c r="AI634" s="107"/>
    </row>
    <row r="635" spans="24:35">
      <c r="X635" s="107"/>
      <c r="Y635" s="107"/>
      <c r="Z635" s="107"/>
      <c r="AA635" s="107"/>
      <c r="AB635" s="107"/>
      <c r="AC635" s="107"/>
      <c r="AD635" s="107"/>
      <c r="AE635" s="107"/>
      <c r="AF635" s="107"/>
      <c r="AG635" s="107"/>
      <c r="AH635" s="107"/>
      <c r="AI635" s="107"/>
    </row>
    <row r="636" spans="24:35">
      <c r="X636" s="107"/>
      <c r="Y636" s="107"/>
      <c r="Z636" s="107"/>
      <c r="AA636" s="107"/>
      <c r="AB636" s="107"/>
      <c r="AC636" s="107"/>
      <c r="AD636" s="107"/>
      <c r="AE636" s="107"/>
      <c r="AF636" s="107"/>
      <c r="AG636" s="107"/>
      <c r="AH636" s="107"/>
      <c r="AI636" s="107"/>
    </row>
    <row r="637" spans="24:35">
      <c r="X637" s="107"/>
      <c r="Y637" s="107"/>
      <c r="Z637" s="107"/>
      <c r="AA637" s="107"/>
      <c r="AB637" s="107"/>
      <c r="AC637" s="107"/>
      <c r="AD637" s="107"/>
      <c r="AE637" s="107"/>
      <c r="AF637" s="107"/>
      <c r="AG637" s="107"/>
      <c r="AH637" s="107"/>
      <c r="AI637" s="107"/>
    </row>
    <row r="638" spans="24:35">
      <c r="X638" s="107"/>
      <c r="Y638" s="107"/>
      <c r="Z638" s="107"/>
      <c r="AA638" s="107"/>
      <c r="AB638" s="107"/>
      <c r="AC638" s="107"/>
      <c r="AD638" s="107"/>
      <c r="AE638" s="107"/>
      <c r="AF638" s="107"/>
      <c r="AG638" s="107"/>
      <c r="AH638" s="107"/>
      <c r="AI638" s="107"/>
    </row>
    <row r="639" spans="24:35">
      <c r="X639" s="107"/>
      <c r="Y639" s="107"/>
      <c r="Z639" s="107"/>
      <c r="AA639" s="107"/>
      <c r="AB639" s="107"/>
      <c r="AC639" s="107"/>
      <c r="AD639" s="107"/>
      <c r="AE639" s="107"/>
      <c r="AF639" s="107"/>
      <c r="AG639" s="107"/>
      <c r="AH639" s="107"/>
      <c r="AI639" s="107"/>
    </row>
    <row r="640" spans="24:35">
      <c r="X640" s="107"/>
      <c r="Y640" s="107"/>
      <c r="Z640" s="107"/>
      <c r="AA640" s="107"/>
      <c r="AB640" s="107"/>
      <c r="AC640" s="107"/>
      <c r="AD640" s="107"/>
      <c r="AE640" s="107"/>
      <c r="AF640" s="107"/>
      <c r="AG640" s="107"/>
      <c r="AH640" s="107"/>
      <c r="AI640" s="107"/>
    </row>
    <row r="641" spans="24:35">
      <c r="X641" s="107"/>
      <c r="Y641" s="107"/>
      <c r="Z641" s="107"/>
      <c r="AA641" s="107"/>
      <c r="AB641" s="107"/>
      <c r="AC641" s="107"/>
      <c r="AD641" s="107"/>
      <c r="AE641" s="107"/>
      <c r="AF641" s="107"/>
      <c r="AG641" s="107"/>
      <c r="AH641" s="107"/>
      <c r="AI641" s="107"/>
    </row>
    <row r="642" spans="24:35">
      <c r="X642" s="107"/>
      <c r="Y642" s="107"/>
      <c r="Z642" s="107"/>
      <c r="AA642" s="107"/>
      <c r="AB642" s="107"/>
      <c r="AC642" s="107"/>
      <c r="AD642" s="107"/>
      <c r="AE642" s="107"/>
      <c r="AF642" s="107"/>
      <c r="AG642" s="107"/>
      <c r="AH642" s="107"/>
      <c r="AI642" s="107"/>
    </row>
    <row r="643" spans="24:35">
      <c r="X643" s="107"/>
      <c r="Y643" s="107"/>
      <c r="Z643" s="107"/>
      <c r="AA643" s="107"/>
      <c r="AB643" s="107"/>
      <c r="AC643" s="107"/>
      <c r="AD643" s="107"/>
      <c r="AE643" s="107"/>
      <c r="AF643" s="107"/>
      <c r="AG643" s="107"/>
      <c r="AH643" s="107"/>
      <c r="AI643" s="107"/>
    </row>
    <row r="644" spans="24:35">
      <c r="X644" s="107"/>
      <c r="Y644" s="107"/>
      <c r="Z644" s="107"/>
      <c r="AA644" s="107"/>
      <c r="AB644" s="107"/>
      <c r="AC644" s="107"/>
      <c r="AD644" s="107"/>
      <c r="AE644" s="107"/>
      <c r="AF644" s="107"/>
      <c r="AG644" s="107"/>
      <c r="AH644" s="107"/>
      <c r="AI644" s="107"/>
    </row>
    <row r="645" spans="24:35">
      <c r="X645" s="107"/>
      <c r="Y645" s="107"/>
      <c r="Z645" s="107"/>
      <c r="AA645" s="107"/>
      <c r="AB645" s="107"/>
      <c r="AC645" s="107"/>
      <c r="AD645" s="107"/>
      <c r="AE645" s="107"/>
      <c r="AF645" s="107"/>
      <c r="AG645" s="107"/>
      <c r="AH645" s="107"/>
      <c r="AI645" s="107"/>
    </row>
    <row r="646" spans="24:35">
      <c r="X646" s="107"/>
      <c r="Y646" s="107"/>
      <c r="Z646" s="107"/>
      <c r="AA646" s="107"/>
      <c r="AB646" s="107"/>
      <c r="AC646" s="107"/>
      <c r="AD646" s="107"/>
      <c r="AE646" s="107"/>
      <c r="AF646" s="107"/>
      <c r="AG646" s="107"/>
      <c r="AH646" s="107"/>
      <c r="AI646" s="107"/>
    </row>
    <row r="647" spans="24:35">
      <c r="X647" s="107"/>
      <c r="Y647" s="107"/>
      <c r="Z647" s="107"/>
      <c r="AA647" s="107"/>
      <c r="AB647" s="107"/>
      <c r="AC647" s="107"/>
      <c r="AD647" s="107"/>
      <c r="AE647" s="107"/>
      <c r="AF647" s="107"/>
      <c r="AG647" s="107"/>
      <c r="AH647" s="107"/>
      <c r="AI647" s="107"/>
    </row>
    <row r="648" spans="24:35">
      <c r="X648" s="107"/>
      <c r="Y648" s="107"/>
      <c r="Z648" s="107"/>
      <c r="AA648" s="107"/>
      <c r="AB648" s="107"/>
      <c r="AC648" s="107"/>
      <c r="AD648" s="107"/>
      <c r="AE648" s="107"/>
      <c r="AF648" s="107"/>
      <c r="AG648" s="107"/>
      <c r="AH648" s="107"/>
      <c r="AI648" s="107"/>
    </row>
    <row r="649" spans="24:35">
      <c r="X649" s="107"/>
      <c r="Y649" s="107"/>
      <c r="Z649" s="107"/>
      <c r="AA649" s="107"/>
      <c r="AB649" s="107"/>
      <c r="AC649" s="107"/>
      <c r="AD649" s="107"/>
      <c r="AE649" s="107"/>
      <c r="AF649" s="107"/>
      <c r="AG649" s="107"/>
      <c r="AH649" s="107"/>
      <c r="AI649" s="107"/>
    </row>
    <row r="650" spans="24:35">
      <c r="X650" s="107"/>
      <c r="Y650" s="107"/>
      <c r="Z650" s="107"/>
      <c r="AA650" s="107"/>
      <c r="AB650" s="107"/>
      <c r="AC650" s="107"/>
      <c r="AD650" s="107"/>
      <c r="AE650" s="107"/>
      <c r="AF650" s="107"/>
      <c r="AG650" s="107"/>
      <c r="AH650" s="107"/>
      <c r="AI650" s="107"/>
    </row>
    <row r="651" spans="24:35">
      <c r="X651" s="107"/>
      <c r="Y651" s="107"/>
      <c r="Z651" s="107"/>
      <c r="AA651" s="107"/>
      <c r="AB651" s="107"/>
      <c r="AC651" s="107"/>
      <c r="AD651" s="107"/>
      <c r="AE651" s="107"/>
      <c r="AF651" s="107"/>
      <c r="AG651" s="107"/>
      <c r="AH651" s="107"/>
      <c r="AI651" s="107"/>
    </row>
    <row r="652" spans="24:35">
      <c r="X652" s="107"/>
      <c r="Y652" s="107"/>
      <c r="Z652" s="107"/>
      <c r="AA652" s="107"/>
      <c r="AB652" s="107"/>
      <c r="AC652" s="107"/>
      <c r="AD652" s="107"/>
      <c r="AE652" s="107"/>
      <c r="AF652" s="107"/>
      <c r="AG652" s="107"/>
      <c r="AH652" s="107"/>
      <c r="AI652" s="107"/>
    </row>
    <row r="653" spans="24:35">
      <c r="X653" s="107"/>
      <c r="Y653" s="107"/>
      <c r="Z653" s="107"/>
      <c r="AA653" s="107"/>
      <c r="AB653" s="107"/>
      <c r="AC653" s="107"/>
      <c r="AD653" s="107"/>
      <c r="AE653" s="107"/>
      <c r="AF653" s="107"/>
      <c r="AG653" s="107"/>
      <c r="AH653" s="107"/>
      <c r="AI653" s="107"/>
    </row>
    <row r="654" spans="24:35">
      <c r="X654" s="107"/>
      <c r="Y654" s="107"/>
      <c r="Z654" s="107"/>
      <c r="AA654" s="107"/>
      <c r="AB654" s="107"/>
      <c r="AC654" s="107"/>
      <c r="AD654" s="107"/>
      <c r="AE654" s="107"/>
      <c r="AF654" s="107"/>
      <c r="AG654" s="107"/>
      <c r="AH654" s="107"/>
      <c r="AI654" s="107"/>
    </row>
    <row r="655" spans="24:35">
      <c r="X655" s="107"/>
      <c r="Y655" s="107"/>
      <c r="Z655" s="107"/>
      <c r="AA655" s="107"/>
      <c r="AB655" s="107"/>
      <c r="AC655" s="107"/>
      <c r="AD655" s="107"/>
      <c r="AE655" s="107"/>
      <c r="AF655" s="107"/>
      <c r="AG655" s="107"/>
      <c r="AH655" s="107"/>
      <c r="AI655" s="107"/>
    </row>
    <row r="656" spans="24:35">
      <c r="X656" s="107"/>
      <c r="Y656" s="107"/>
      <c r="Z656" s="107"/>
      <c r="AA656" s="107"/>
      <c r="AB656" s="107"/>
      <c r="AC656" s="107"/>
      <c r="AD656" s="107"/>
      <c r="AE656" s="107"/>
      <c r="AF656" s="107"/>
      <c r="AG656" s="107"/>
      <c r="AH656" s="107"/>
      <c r="AI656" s="107"/>
    </row>
    <row r="657" spans="24:35">
      <c r="X657" s="107"/>
      <c r="Y657" s="107"/>
      <c r="Z657" s="107"/>
      <c r="AA657" s="107"/>
      <c r="AB657" s="107"/>
      <c r="AC657" s="107"/>
      <c r="AD657" s="107"/>
      <c r="AE657" s="107"/>
      <c r="AF657" s="107"/>
      <c r="AG657" s="107"/>
      <c r="AH657" s="107"/>
      <c r="AI657" s="107"/>
    </row>
    <row r="658" spans="24:35">
      <c r="X658" s="107"/>
      <c r="Y658" s="107"/>
      <c r="Z658" s="107"/>
      <c r="AA658" s="107"/>
      <c r="AB658" s="107"/>
      <c r="AC658" s="107"/>
      <c r="AD658" s="107"/>
      <c r="AE658" s="107"/>
      <c r="AF658" s="107"/>
      <c r="AG658" s="107"/>
      <c r="AH658" s="107"/>
      <c r="AI658" s="107"/>
    </row>
    <row r="659" spans="24:35">
      <c r="X659" s="107"/>
      <c r="Y659" s="107"/>
      <c r="Z659" s="107"/>
      <c r="AA659" s="107"/>
      <c r="AB659" s="107"/>
      <c r="AC659" s="107"/>
      <c r="AD659" s="107"/>
      <c r="AE659" s="107"/>
      <c r="AF659" s="107"/>
      <c r="AG659" s="107"/>
      <c r="AH659" s="107"/>
      <c r="AI659" s="107"/>
    </row>
    <row r="660" spans="24:35">
      <c r="X660" s="107"/>
      <c r="Y660" s="107"/>
      <c r="Z660" s="107"/>
      <c r="AA660" s="107"/>
      <c r="AB660" s="107"/>
      <c r="AC660" s="107"/>
      <c r="AD660" s="107"/>
      <c r="AE660" s="107"/>
      <c r="AF660" s="107"/>
      <c r="AG660" s="107"/>
      <c r="AH660" s="107"/>
      <c r="AI660" s="107"/>
    </row>
    <row r="661" spans="24:35">
      <c r="X661" s="107"/>
      <c r="Y661" s="107"/>
      <c r="Z661" s="107"/>
      <c r="AA661" s="107"/>
      <c r="AB661" s="107"/>
      <c r="AC661" s="107"/>
      <c r="AD661" s="107"/>
      <c r="AE661" s="107"/>
      <c r="AF661" s="107"/>
      <c r="AG661" s="107"/>
      <c r="AH661" s="107"/>
      <c r="AI661" s="107"/>
    </row>
    <row r="662" spans="24:35">
      <c r="X662" s="107"/>
      <c r="Y662" s="107"/>
      <c r="Z662" s="107"/>
      <c r="AA662" s="107"/>
      <c r="AB662" s="107"/>
      <c r="AC662" s="107"/>
      <c r="AD662" s="107"/>
      <c r="AE662" s="107"/>
      <c r="AF662" s="107"/>
      <c r="AG662" s="107"/>
      <c r="AH662" s="107"/>
      <c r="AI662" s="107"/>
    </row>
    <row r="663" spans="24:35">
      <c r="X663" s="107"/>
      <c r="Y663" s="107"/>
      <c r="Z663" s="107"/>
      <c r="AA663" s="107"/>
      <c r="AB663" s="107"/>
      <c r="AC663" s="107"/>
      <c r="AD663" s="107"/>
      <c r="AE663" s="107"/>
      <c r="AF663" s="107"/>
      <c r="AG663" s="107"/>
      <c r="AH663" s="107"/>
      <c r="AI663" s="107"/>
    </row>
    <row r="664" spans="24:35">
      <c r="X664" s="107"/>
      <c r="Y664" s="107"/>
      <c r="Z664" s="107"/>
      <c r="AA664" s="107"/>
      <c r="AB664" s="107"/>
      <c r="AC664" s="107"/>
      <c r="AD664" s="107"/>
      <c r="AE664" s="107"/>
      <c r="AF664" s="107"/>
      <c r="AG664" s="107"/>
      <c r="AH664" s="107"/>
      <c r="AI664" s="107"/>
    </row>
    <row r="665" spans="24:35">
      <c r="X665" s="107"/>
      <c r="Y665" s="107"/>
      <c r="Z665" s="107"/>
      <c r="AA665" s="107"/>
      <c r="AB665" s="107"/>
      <c r="AC665" s="107"/>
      <c r="AD665" s="107"/>
      <c r="AE665" s="107"/>
      <c r="AF665" s="107"/>
      <c r="AG665" s="107"/>
      <c r="AH665" s="107"/>
      <c r="AI665" s="107"/>
    </row>
    <row r="666" spans="24:35">
      <c r="X666" s="107"/>
      <c r="Y666" s="107"/>
      <c r="Z666" s="107"/>
      <c r="AA666" s="107"/>
      <c r="AB666" s="107"/>
      <c r="AC666" s="107"/>
      <c r="AD666" s="107"/>
      <c r="AE666" s="107"/>
      <c r="AF666" s="107"/>
      <c r="AG666" s="107"/>
      <c r="AH666" s="107"/>
      <c r="AI666" s="107"/>
    </row>
    <row r="667" spans="24:35">
      <c r="X667" s="107"/>
      <c r="Y667" s="107"/>
      <c r="Z667" s="107"/>
      <c r="AA667" s="107"/>
      <c r="AB667" s="107"/>
      <c r="AC667" s="107"/>
      <c r="AD667" s="107"/>
      <c r="AE667" s="107"/>
      <c r="AF667" s="107"/>
      <c r="AG667" s="107"/>
      <c r="AH667" s="107"/>
      <c r="AI667" s="107"/>
    </row>
    <row r="668" spans="24:35">
      <c r="X668" s="107"/>
      <c r="Y668" s="107"/>
      <c r="Z668" s="107"/>
      <c r="AA668" s="107"/>
      <c r="AB668" s="107"/>
      <c r="AC668" s="107"/>
      <c r="AD668" s="107"/>
      <c r="AE668" s="107"/>
      <c r="AF668" s="107"/>
      <c r="AG668" s="107"/>
      <c r="AH668" s="107"/>
      <c r="AI668" s="107"/>
    </row>
    <row r="669" spans="24:35">
      <c r="X669" s="107"/>
      <c r="Y669" s="107"/>
      <c r="Z669" s="107"/>
      <c r="AA669" s="107"/>
      <c r="AB669" s="107"/>
      <c r="AC669" s="107"/>
      <c r="AD669" s="107"/>
      <c r="AE669" s="107"/>
      <c r="AF669" s="107"/>
      <c r="AG669" s="107"/>
      <c r="AH669" s="107"/>
      <c r="AI669" s="107"/>
    </row>
    <row r="670" spans="24:35">
      <c r="X670" s="107"/>
      <c r="Y670" s="107"/>
      <c r="Z670" s="107"/>
      <c r="AA670" s="107"/>
      <c r="AB670" s="107"/>
      <c r="AC670" s="107"/>
      <c r="AD670" s="107"/>
      <c r="AE670" s="107"/>
      <c r="AF670" s="107"/>
      <c r="AG670" s="107"/>
      <c r="AH670" s="107"/>
      <c r="AI670" s="107"/>
    </row>
    <row r="671" spans="24:35">
      <c r="X671" s="107"/>
      <c r="Y671" s="107"/>
      <c r="Z671" s="107"/>
      <c r="AA671" s="107"/>
      <c r="AB671" s="107"/>
      <c r="AC671" s="107"/>
      <c r="AD671" s="107"/>
      <c r="AE671" s="107"/>
      <c r="AF671" s="107"/>
      <c r="AG671" s="107"/>
      <c r="AH671" s="107"/>
      <c r="AI671" s="107"/>
    </row>
    <row r="672" spans="24:35">
      <c r="X672" s="107"/>
      <c r="Y672" s="107"/>
      <c r="Z672" s="107"/>
      <c r="AA672" s="107"/>
      <c r="AB672" s="107"/>
      <c r="AC672" s="107"/>
      <c r="AD672" s="107"/>
      <c r="AE672" s="107"/>
      <c r="AF672" s="107"/>
      <c r="AG672" s="107"/>
      <c r="AH672" s="107"/>
      <c r="AI672" s="107"/>
    </row>
    <row r="673" spans="24:35">
      <c r="X673" s="107"/>
      <c r="Y673" s="107"/>
      <c r="Z673" s="107"/>
      <c r="AA673" s="107"/>
      <c r="AB673" s="107"/>
      <c r="AC673" s="107"/>
      <c r="AD673" s="107"/>
      <c r="AE673" s="107"/>
      <c r="AF673" s="107"/>
      <c r="AG673" s="107"/>
      <c r="AH673" s="107"/>
      <c r="AI673" s="107"/>
    </row>
    <row r="674" spans="24:35">
      <c r="X674" s="107"/>
      <c r="Y674" s="107"/>
      <c r="Z674" s="107"/>
      <c r="AA674" s="107"/>
      <c r="AB674" s="107"/>
      <c r="AC674" s="107"/>
      <c r="AD674" s="107"/>
      <c r="AE674" s="107"/>
      <c r="AF674" s="107"/>
      <c r="AG674" s="107"/>
      <c r="AH674" s="107"/>
      <c r="AI674" s="107"/>
    </row>
    <row r="675" spans="24:35">
      <c r="X675" s="107"/>
      <c r="Y675" s="107"/>
      <c r="Z675" s="107"/>
      <c r="AA675" s="107"/>
      <c r="AB675" s="107"/>
      <c r="AC675" s="107"/>
      <c r="AD675" s="107"/>
      <c r="AE675" s="107"/>
      <c r="AF675" s="107"/>
      <c r="AG675" s="107"/>
      <c r="AH675" s="107"/>
      <c r="AI675" s="107"/>
    </row>
    <row r="676" spans="24:35">
      <c r="X676" s="107"/>
      <c r="Y676" s="107"/>
      <c r="Z676" s="107"/>
      <c r="AA676" s="107"/>
      <c r="AB676" s="107"/>
      <c r="AC676" s="107"/>
      <c r="AD676" s="107"/>
      <c r="AE676" s="107"/>
      <c r="AF676" s="107"/>
      <c r="AG676" s="107"/>
      <c r="AH676" s="107"/>
      <c r="AI676" s="107"/>
    </row>
    <row r="677" spans="24:35">
      <c r="X677" s="107"/>
      <c r="Y677" s="107"/>
      <c r="Z677" s="107"/>
      <c r="AA677" s="107"/>
      <c r="AB677" s="107"/>
      <c r="AC677" s="107"/>
      <c r="AD677" s="107"/>
      <c r="AE677" s="107"/>
      <c r="AF677" s="107"/>
      <c r="AG677" s="107"/>
      <c r="AH677" s="107"/>
      <c r="AI677" s="107"/>
    </row>
    <row r="678" spans="24:35">
      <c r="X678" s="107"/>
      <c r="Y678" s="107"/>
      <c r="Z678" s="107"/>
      <c r="AA678" s="107"/>
      <c r="AB678" s="107"/>
      <c r="AC678" s="107"/>
      <c r="AD678" s="107"/>
      <c r="AE678" s="107"/>
      <c r="AF678" s="107"/>
      <c r="AG678" s="107"/>
      <c r="AH678" s="107"/>
      <c r="AI678" s="107"/>
    </row>
    <row r="679" spans="24:35">
      <c r="X679" s="107"/>
      <c r="Y679" s="107"/>
      <c r="Z679" s="107"/>
      <c r="AA679" s="107"/>
      <c r="AB679" s="107"/>
      <c r="AC679" s="107"/>
      <c r="AD679" s="107"/>
      <c r="AE679" s="107"/>
      <c r="AF679" s="107"/>
      <c r="AG679" s="107"/>
      <c r="AH679" s="107"/>
      <c r="AI679" s="107"/>
    </row>
    <row r="680" spans="24:35">
      <c r="X680" s="107"/>
      <c r="Y680" s="107"/>
      <c r="Z680" s="107"/>
      <c r="AA680" s="107"/>
      <c r="AB680" s="107"/>
      <c r="AC680" s="107"/>
      <c r="AD680" s="107"/>
      <c r="AE680" s="107"/>
      <c r="AF680" s="107"/>
      <c r="AG680" s="107"/>
      <c r="AH680" s="107"/>
      <c r="AI680" s="107"/>
    </row>
    <row r="681" spans="24:35">
      <c r="X681" s="107"/>
      <c r="Y681" s="107"/>
      <c r="Z681" s="107"/>
      <c r="AA681" s="107"/>
      <c r="AB681" s="107"/>
      <c r="AC681" s="107"/>
      <c r="AD681" s="107"/>
      <c r="AE681" s="107"/>
      <c r="AF681" s="107"/>
      <c r="AG681" s="107"/>
      <c r="AH681" s="107"/>
      <c r="AI681" s="107"/>
    </row>
    <row r="682" spans="24:35">
      <c r="X682" s="107"/>
      <c r="Y682" s="107"/>
      <c r="Z682" s="107"/>
      <c r="AA682" s="107"/>
      <c r="AB682" s="107"/>
      <c r="AC682" s="107"/>
      <c r="AD682" s="107"/>
      <c r="AE682" s="107"/>
      <c r="AF682" s="107"/>
      <c r="AG682" s="107"/>
      <c r="AH682" s="107"/>
      <c r="AI682" s="107"/>
    </row>
    <row r="683" spans="24:35">
      <c r="X683" s="107"/>
      <c r="Y683" s="107"/>
      <c r="Z683" s="107"/>
      <c r="AA683" s="107"/>
      <c r="AB683" s="107"/>
      <c r="AC683" s="107"/>
      <c r="AD683" s="107"/>
      <c r="AE683" s="107"/>
      <c r="AF683" s="107"/>
      <c r="AG683" s="107"/>
      <c r="AH683" s="107"/>
      <c r="AI683" s="107"/>
    </row>
    <row r="684" spans="24:35">
      <c r="X684" s="107"/>
      <c r="Y684" s="107"/>
      <c r="Z684" s="107"/>
      <c r="AA684" s="107"/>
      <c r="AB684" s="107"/>
      <c r="AC684" s="107"/>
      <c r="AD684" s="107"/>
      <c r="AE684" s="107"/>
      <c r="AF684" s="107"/>
      <c r="AG684" s="107"/>
      <c r="AH684" s="107"/>
      <c r="AI684" s="107"/>
    </row>
    <row r="685" spans="24:35">
      <c r="X685" s="107"/>
      <c r="Y685" s="107"/>
      <c r="Z685" s="107"/>
      <c r="AA685" s="107"/>
      <c r="AB685" s="107"/>
      <c r="AC685" s="107"/>
      <c r="AD685" s="107"/>
      <c r="AE685" s="107"/>
      <c r="AF685" s="107"/>
      <c r="AG685" s="107"/>
      <c r="AH685" s="107"/>
      <c r="AI685" s="107"/>
    </row>
    <row r="686" spans="24:35">
      <c r="X686" s="107"/>
      <c r="Y686" s="107"/>
      <c r="Z686" s="107"/>
      <c r="AA686" s="107"/>
      <c r="AB686" s="107"/>
      <c r="AC686" s="107"/>
      <c r="AD686" s="107"/>
      <c r="AE686" s="107"/>
      <c r="AF686" s="107"/>
      <c r="AG686" s="107"/>
      <c r="AH686" s="107"/>
      <c r="AI686" s="107"/>
    </row>
    <row r="687" spans="24:35">
      <c r="X687" s="107"/>
      <c r="Y687" s="107"/>
      <c r="Z687" s="107"/>
      <c r="AA687" s="107"/>
      <c r="AB687" s="107"/>
      <c r="AC687" s="107"/>
      <c r="AD687" s="107"/>
      <c r="AE687" s="107"/>
      <c r="AF687" s="107"/>
      <c r="AG687" s="107"/>
      <c r="AH687" s="107"/>
      <c r="AI687" s="107"/>
    </row>
    <row r="688" spans="24:35">
      <c r="X688" s="107"/>
      <c r="Y688" s="107"/>
      <c r="Z688" s="107"/>
      <c r="AA688" s="107"/>
      <c r="AB688" s="107"/>
      <c r="AC688" s="107"/>
      <c r="AD688" s="107"/>
      <c r="AE688" s="107"/>
      <c r="AF688" s="107"/>
      <c r="AG688" s="107"/>
      <c r="AH688" s="107"/>
      <c r="AI688" s="107"/>
    </row>
    <row r="689" spans="24:35">
      <c r="X689" s="107"/>
      <c r="Y689" s="107"/>
      <c r="Z689" s="107"/>
      <c r="AA689" s="107"/>
      <c r="AB689" s="107"/>
      <c r="AC689" s="107"/>
      <c r="AD689" s="107"/>
      <c r="AE689" s="107"/>
      <c r="AF689" s="107"/>
      <c r="AG689" s="107"/>
      <c r="AH689" s="107"/>
      <c r="AI689" s="107"/>
    </row>
    <row r="690" spans="24:35">
      <c r="X690" s="107"/>
      <c r="Y690" s="107"/>
      <c r="Z690" s="107"/>
      <c r="AA690" s="107"/>
      <c r="AB690" s="107"/>
      <c r="AC690" s="107"/>
      <c r="AD690" s="107"/>
      <c r="AE690" s="107"/>
      <c r="AF690" s="107"/>
      <c r="AG690" s="107"/>
      <c r="AH690" s="107"/>
      <c r="AI690" s="107"/>
    </row>
    <row r="691" spans="24:35">
      <c r="X691" s="107"/>
      <c r="Y691" s="107"/>
      <c r="Z691" s="107"/>
      <c r="AA691" s="107"/>
      <c r="AB691" s="107"/>
      <c r="AC691" s="107"/>
      <c r="AD691" s="107"/>
      <c r="AE691" s="107"/>
      <c r="AF691" s="107"/>
      <c r="AG691" s="107"/>
      <c r="AH691" s="107"/>
      <c r="AI691" s="107"/>
    </row>
    <row r="692" spans="24:35">
      <c r="X692" s="107"/>
      <c r="Y692" s="107"/>
      <c r="Z692" s="107"/>
      <c r="AA692" s="107"/>
      <c r="AB692" s="107"/>
      <c r="AC692" s="107"/>
      <c r="AD692" s="107"/>
      <c r="AE692" s="107"/>
      <c r="AF692" s="107"/>
      <c r="AG692" s="107"/>
      <c r="AH692" s="107"/>
      <c r="AI692" s="107"/>
    </row>
    <row r="693" spans="24:35">
      <c r="X693" s="107"/>
      <c r="Y693" s="107"/>
      <c r="Z693" s="107"/>
      <c r="AA693" s="107"/>
      <c r="AB693" s="107"/>
      <c r="AC693" s="107"/>
      <c r="AD693" s="107"/>
      <c r="AE693" s="107"/>
      <c r="AF693" s="107"/>
      <c r="AG693" s="107"/>
      <c r="AH693" s="107"/>
      <c r="AI693" s="107"/>
    </row>
    <row r="694" spans="24:35">
      <c r="X694" s="107"/>
      <c r="Y694" s="107"/>
      <c r="Z694" s="107"/>
      <c r="AA694" s="107"/>
      <c r="AB694" s="107"/>
      <c r="AC694" s="107"/>
      <c r="AD694" s="107"/>
      <c r="AE694" s="107"/>
      <c r="AF694" s="107"/>
      <c r="AG694" s="107"/>
      <c r="AH694" s="107"/>
      <c r="AI694" s="107"/>
    </row>
    <row r="695" spans="24:35">
      <c r="X695" s="107"/>
      <c r="Y695" s="107"/>
      <c r="Z695" s="107"/>
      <c r="AA695" s="107"/>
      <c r="AB695" s="107"/>
      <c r="AC695" s="107"/>
      <c r="AD695" s="107"/>
      <c r="AE695" s="107"/>
      <c r="AF695" s="107"/>
      <c r="AG695" s="107"/>
      <c r="AH695" s="107"/>
      <c r="AI695" s="107"/>
    </row>
    <row r="696" spans="24:35">
      <c r="X696" s="107"/>
      <c r="Y696" s="107"/>
      <c r="Z696" s="107"/>
      <c r="AA696" s="107"/>
      <c r="AB696" s="107"/>
      <c r="AC696" s="107"/>
      <c r="AD696" s="107"/>
      <c r="AE696" s="107"/>
      <c r="AF696" s="107"/>
      <c r="AG696" s="107"/>
      <c r="AH696" s="107"/>
      <c r="AI696" s="107"/>
    </row>
    <row r="697" spans="24:35">
      <c r="X697" s="107"/>
      <c r="Y697" s="107"/>
      <c r="Z697" s="107"/>
      <c r="AA697" s="107"/>
      <c r="AB697" s="107"/>
      <c r="AC697" s="107"/>
      <c r="AD697" s="107"/>
      <c r="AE697" s="107"/>
      <c r="AF697" s="107"/>
      <c r="AG697" s="107"/>
      <c r="AH697" s="107"/>
      <c r="AI697" s="107"/>
    </row>
    <row r="698" spans="24:35">
      <c r="X698" s="107"/>
      <c r="Y698" s="107"/>
      <c r="Z698" s="107"/>
      <c r="AA698" s="107"/>
      <c r="AB698" s="107"/>
      <c r="AC698" s="107"/>
      <c r="AD698" s="107"/>
      <c r="AE698" s="107"/>
      <c r="AF698" s="107"/>
      <c r="AG698" s="107"/>
      <c r="AH698" s="107"/>
      <c r="AI698" s="107"/>
    </row>
    <row r="699" spans="24:35">
      <c r="X699" s="107"/>
      <c r="Y699" s="107"/>
      <c r="Z699" s="107"/>
      <c r="AA699" s="107"/>
      <c r="AB699" s="107"/>
      <c r="AC699" s="107"/>
      <c r="AD699" s="107"/>
      <c r="AE699" s="107"/>
      <c r="AF699" s="107"/>
      <c r="AG699" s="107"/>
      <c r="AH699" s="107"/>
      <c r="AI699" s="107"/>
    </row>
    <row r="700" spans="24:35">
      <c r="X700" s="107"/>
      <c r="Y700" s="107"/>
      <c r="Z700" s="107"/>
      <c r="AA700" s="107"/>
      <c r="AB700" s="107"/>
      <c r="AC700" s="107"/>
      <c r="AD700" s="107"/>
      <c r="AE700" s="107"/>
      <c r="AF700" s="107"/>
      <c r="AG700" s="107"/>
      <c r="AH700" s="107"/>
      <c r="AI700" s="107"/>
    </row>
    <row r="701" spans="24:35">
      <c r="X701" s="107"/>
      <c r="Y701" s="107"/>
      <c r="Z701" s="107"/>
      <c r="AA701" s="107"/>
      <c r="AB701" s="107"/>
      <c r="AC701" s="107"/>
      <c r="AD701" s="107"/>
      <c r="AE701" s="107"/>
      <c r="AF701" s="107"/>
      <c r="AG701" s="107"/>
      <c r="AH701" s="107"/>
      <c r="AI701" s="107"/>
    </row>
    <row r="702" spans="24:35">
      <c r="X702" s="107"/>
      <c r="Y702" s="107"/>
      <c r="Z702" s="107"/>
      <c r="AA702" s="107"/>
      <c r="AB702" s="107"/>
      <c r="AC702" s="107"/>
      <c r="AD702" s="107"/>
      <c r="AE702" s="107"/>
      <c r="AF702" s="107"/>
      <c r="AG702" s="107"/>
      <c r="AH702" s="107"/>
      <c r="AI702" s="107"/>
    </row>
    <row r="703" spans="24:35">
      <c r="X703" s="107"/>
      <c r="Y703" s="107"/>
      <c r="Z703" s="107"/>
      <c r="AA703" s="107"/>
      <c r="AB703" s="107"/>
      <c r="AC703" s="107"/>
      <c r="AD703" s="107"/>
      <c r="AE703" s="107"/>
      <c r="AF703" s="107"/>
      <c r="AG703" s="107"/>
      <c r="AH703" s="107"/>
      <c r="AI703" s="107"/>
    </row>
    <row r="704" spans="24:35">
      <c r="X704" s="107"/>
      <c r="Y704" s="107"/>
      <c r="Z704" s="107"/>
      <c r="AA704" s="107"/>
      <c r="AB704" s="107"/>
      <c r="AC704" s="107"/>
      <c r="AD704" s="107"/>
      <c r="AE704" s="107"/>
      <c r="AF704" s="107"/>
      <c r="AG704" s="107"/>
      <c r="AH704" s="107"/>
      <c r="AI704" s="107"/>
    </row>
    <row r="705" spans="24:35">
      <c r="X705" s="107"/>
      <c r="Y705" s="107"/>
      <c r="Z705" s="107"/>
      <c r="AA705" s="107"/>
      <c r="AB705" s="107"/>
      <c r="AC705" s="107"/>
      <c r="AD705" s="107"/>
      <c r="AE705" s="107"/>
      <c r="AF705" s="107"/>
      <c r="AG705" s="107"/>
      <c r="AH705" s="107"/>
      <c r="AI705" s="107"/>
    </row>
    <row r="706" spans="24:35">
      <c r="X706" s="107"/>
      <c r="Y706" s="107"/>
      <c r="Z706" s="107"/>
      <c r="AA706" s="107"/>
      <c r="AB706" s="107"/>
      <c r="AC706" s="107"/>
      <c r="AD706" s="107"/>
      <c r="AE706" s="107"/>
      <c r="AF706" s="107"/>
      <c r="AG706" s="107"/>
      <c r="AH706" s="107"/>
      <c r="AI706" s="107"/>
    </row>
    <row r="707" spans="24:35">
      <c r="X707" s="107"/>
      <c r="Y707" s="107"/>
      <c r="Z707" s="107"/>
      <c r="AA707" s="107"/>
      <c r="AB707" s="107"/>
      <c r="AC707" s="107"/>
      <c r="AD707" s="107"/>
      <c r="AE707" s="107"/>
      <c r="AF707" s="107"/>
      <c r="AG707" s="107"/>
      <c r="AH707" s="107"/>
      <c r="AI707" s="107"/>
    </row>
    <row r="708" spans="24:35">
      <c r="X708" s="107"/>
      <c r="Y708" s="107"/>
      <c r="Z708" s="107"/>
      <c r="AA708" s="107"/>
      <c r="AB708" s="107"/>
      <c r="AC708" s="107"/>
      <c r="AD708" s="107"/>
      <c r="AE708" s="107"/>
      <c r="AF708" s="107"/>
      <c r="AG708" s="107"/>
      <c r="AH708" s="107"/>
      <c r="AI708" s="107"/>
    </row>
    <row r="709" spans="24:35">
      <c r="X709" s="107"/>
      <c r="Y709" s="107"/>
      <c r="Z709" s="107"/>
      <c r="AA709" s="107"/>
      <c r="AB709" s="107"/>
      <c r="AC709" s="107"/>
      <c r="AD709" s="107"/>
      <c r="AE709" s="107"/>
      <c r="AF709" s="107"/>
      <c r="AG709" s="107"/>
      <c r="AH709" s="107"/>
      <c r="AI709" s="107"/>
    </row>
    <row r="710" spans="24:35">
      <c r="X710" s="107"/>
      <c r="Y710" s="107"/>
      <c r="Z710" s="107"/>
      <c r="AA710" s="107"/>
      <c r="AB710" s="107"/>
      <c r="AC710" s="107"/>
      <c r="AD710" s="107"/>
      <c r="AE710" s="107"/>
      <c r="AF710" s="107"/>
      <c r="AG710" s="107"/>
      <c r="AH710" s="107"/>
      <c r="AI710" s="107"/>
    </row>
    <row r="711" spans="24:35">
      <c r="X711" s="107"/>
      <c r="Y711" s="107"/>
      <c r="Z711" s="107"/>
      <c r="AA711" s="107"/>
      <c r="AB711" s="107"/>
      <c r="AC711" s="107"/>
      <c r="AD711" s="107"/>
      <c r="AE711" s="107"/>
      <c r="AF711" s="107"/>
      <c r="AG711" s="107"/>
      <c r="AH711" s="107"/>
      <c r="AI711" s="107"/>
    </row>
    <row r="712" spans="24:35">
      <c r="X712" s="107"/>
      <c r="Y712" s="107"/>
      <c r="Z712" s="107"/>
      <c r="AA712" s="107"/>
      <c r="AB712" s="107"/>
      <c r="AC712" s="107"/>
      <c r="AD712" s="107"/>
      <c r="AE712" s="107"/>
      <c r="AF712" s="107"/>
      <c r="AG712" s="107"/>
      <c r="AH712" s="107"/>
      <c r="AI712" s="107"/>
    </row>
    <row r="713" spans="24:35">
      <c r="X713" s="107"/>
      <c r="Y713" s="107"/>
      <c r="Z713" s="107"/>
      <c r="AA713" s="107"/>
      <c r="AB713" s="107"/>
      <c r="AC713" s="107"/>
      <c r="AD713" s="107"/>
      <c r="AE713" s="107"/>
      <c r="AF713" s="107"/>
      <c r="AG713" s="107"/>
      <c r="AH713" s="107"/>
      <c r="AI713" s="107"/>
    </row>
    <row r="714" spans="24:35">
      <c r="X714" s="107"/>
      <c r="Y714" s="107"/>
      <c r="Z714" s="107"/>
      <c r="AA714" s="107"/>
      <c r="AB714" s="107"/>
      <c r="AC714" s="107"/>
      <c r="AD714" s="107"/>
      <c r="AE714" s="107"/>
      <c r="AF714" s="107"/>
      <c r="AG714" s="107"/>
      <c r="AH714" s="107"/>
      <c r="AI714" s="107"/>
    </row>
    <row r="715" spans="24:35">
      <c r="X715" s="107"/>
      <c r="Y715" s="107"/>
      <c r="Z715" s="107"/>
      <c r="AA715" s="107"/>
      <c r="AB715" s="107"/>
      <c r="AC715" s="107"/>
      <c r="AD715" s="107"/>
      <c r="AE715" s="107"/>
      <c r="AF715" s="107"/>
      <c r="AG715" s="107"/>
      <c r="AH715" s="107"/>
      <c r="AI715" s="107"/>
    </row>
    <row r="716" spans="24:35">
      <c r="X716" s="107"/>
      <c r="Y716" s="107"/>
      <c r="Z716" s="107"/>
      <c r="AA716" s="107"/>
      <c r="AB716" s="107"/>
      <c r="AC716" s="107"/>
      <c r="AD716" s="107"/>
      <c r="AE716" s="107"/>
      <c r="AF716" s="107"/>
      <c r="AG716" s="107"/>
      <c r="AH716" s="107"/>
      <c r="AI716" s="107"/>
    </row>
    <row r="717" spans="24:35">
      <c r="X717" s="107"/>
      <c r="Y717" s="107"/>
      <c r="Z717" s="107"/>
      <c r="AA717" s="107"/>
      <c r="AB717" s="107"/>
      <c r="AC717" s="107"/>
      <c r="AD717" s="107"/>
      <c r="AE717" s="107"/>
      <c r="AF717" s="107"/>
      <c r="AG717" s="107"/>
      <c r="AH717" s="107"/>
      <c r="AI717" s="107"/>
    </row>
    <row r="718" spans="24:35">
      <c r="X718" s="107"/>
      <c r="Y718" s="107"/>
      <c r="Z718" s="107"/>
      <c r="AA718" s="107"/>
      <c r="AB718" s="107"/>
      <c r="AC718" s="107"/>
      <c r="AD718" s="107"/>
      <c r="AE718" s="107"/>
      <c r="AF718" s="107"/>
      <c r="AG718" s="107"/>
      <c r="AH718" s="107"/>
      <c r="AI718" s="107"/>
    </row>
    <row r="719" spans="24:35">
      <c r="X719" s="107"/>
      <c r="Y719" s="107"/>
      <c r="Z719" s="107"/>
      <c r="AA719" s="107"/>
      <c r="AB719" s="107"/>
      <c r="AC719" s="107"/>
      <c r="AD719" s="107"/>
      <c r="AE719" s="107"/>
      <c r="AF719" s="107"/>
      <c r="AG719" s="107"/>
      <c r="AH719" s="107"/>
      <c r="AI719" s="107"/>
    </row>
    <row r="720" spans="24:35">
      <c r="X720" s="107"/>
      <c r="Y720" s="107"/>
      <c r="Z720" s="107"/>
      <c r="AA720" s="107"/>
      <c r="AB720" s="107"/>
      <c r="AC720" s="107"/>
      <c r="AD720" s="107"/>
      <c r="AE720" s="107"/>
      <c r="AF720" s="107"/>
      <c r="AG720" s="107"/>
      <c r="AH720" s="107"/>
      <c r="AI720" s="107"/>
    </row>
    <row r="721" spans="24:35">
      <c r="X721" s="107"/>
      <c r="Y721" s="107"/>
      <c r="Z721" s="107"/>
      <c r="AA721" s="107"/>
      <c r="AB721" s="107"/>
      <c r="AC721" s="107"/>
      <c r="AD721" s="107"/>
      <c r="AE721" s="107"/>
      <c r="AF721" s="107"/>
      <c r="AG721" s="107"/>
      <c r="AH721" s="107"/>
      <c r="AI721" s="107"/>
    </row>
    <row r="722" spans="24:35">
      <c r="X722" s="107"/>
      <c r="Y722" s="107"/>
      <c r="Z722" s="107"/>
      <c r="AA722" s="107"/>
      <c r="AB722" s="107"/>
      <c r="AC722" s="107"/>
      <c r="AD722" s="107"/>
      <c r="AE722" s="107"/>
      <c r="AF722" s="107"/>
      <c r="AG722" s="107"/>
      <c r="AH722" s="107"/>
      <c r="AI722" s="107"/>
    </row>
    <row r="723" spans="24:35">
      <c r="X723" s="107"/>
      <c r="Y723" s="107"/>
      <c r="Z723" s="107"/>
      <c r="AA723" s="107"/>
      <c r="AB723" s="107"/>
      <c r="AC723" s="107"/>
      <c r="AD723" s="107"/>
      <c r="AE723" s="107"/>
      <c r="AF723" s="107"/>
      <c r="AG723" s="107"/>
      <c r="AH723" s="107"/>
      <c r="AI723" s="107"/>
    </row>
    <row r="724" spans="24:35">
      <c r="X724" s="107"/>
      <c r="Y724" s="107"/>
      <c r="Z724" s="107"/>
      <c r="AA724" s="107"/>
      <c r="AB724" s="107"/>
      <c r="AC724" s="107"/>
      <c r="AD724" s="107"/>
      <c r="AE724" s="107"/>
      <c r="AF724" s="107"/>
      <c r="AG724" s="107"/>
      <c r="AH724" s="107"/>
      <c r="AI724" s="107"/>
    </row>
    <row r="725" spans="24:35">
      <c r="X725" s="107"/>
      <c r="Y725" s="107"/>
      <c r="Z725" s="107"/>
      <c r="AA725" s="107"/>
      <c r="AB725" s="107"/>
      <c r="AC725" s="107"/>
      <c r="AD725" s="107"/>
      <c r="AE725" s="107"/>
      <c r="AF725" s="107"/>
      <c r="AG725" s="107"/>
      <c r="AH725" s="107"/>
      <c r="AI725" s="107"/>
    </row>
    <row r="726" spans="24:35">
      <c r="X726" s="107"/>
      <c r="Y726" s="107"/>
      <c r="Z726" s="107"/>
      <c r="AA726" s="107"/>
      <c r="AB726" s="107"/>
      <c r="AC726" s="107"/>
      <c r="AD726" s="107"/>
      <c r="AE726" s="107"/>
      <c r="AF726" s="107"/>
      <c r="AG726" s="107"/>
      <c r="AH726" s="107"/>
      <c r="AI726" s="107"/>
    </row>
    <row r="727" spans="24:35">
      <c r="X727" s="107"/>
      <c r="Y727" s="107"/>
      <c r="Z727" s="107"/>
      <c r="AA727" s="107"/>
      <c r="AB727" s="107"/>
      <c r="AC727" s="107"/>
      <c r="AD727" s="107"/>
      <c r="AE727" s="107"/>
      <c r="AF727" s="107"/>
      <c r="AG727" s="107"/>
      <c r="AH727" s="107"/>
      <c r="AI727" s="107"/>
    </row>
    <row r="728" spans="24:35">
      <c r="X728" s="107"/>
      <c r="Y728" s="107"/>
      <c r="Z728" s="107"/>
      <c r="AA728" s="107"/>
      <c r="AB728" s="107"/>
      <c r="AC728" s="107"/>
      <c r="AD728" s="107"/>
      <c r="AE728" s="107"/>
      <c r="AF728" s="107"/>
      <c r="AG728" s="107"/>
      <c r="AH728" s="107"/>
      <c r="AI728" s="107"/>
    </row>
    <row r="729" spans="24:35">
      <c r="X729" s="107"/>
      <c r="Y729" s="107"/>
      <c r="Z729" s="107"/>
      <c r="AA729" s="107"/>
      <c r="AB729" s="107"/>
      <c r="AC729" s="107"/>
      <c r="AD729" s="107"/>
      <c r="AE729" s="107"/>
      <c r="AF729" s="107"/>
      <c r="AG729" s="107"/>
      <c r="AH729" s="107"/>
      <c r="AI729" s="107"/>
    </row>
    <row r="730" spans="24:35">
      <c r="X730" s="107"/>
      <c r="Y730" s="107"/>
      <c r="Z730" s="107"/>
      <c r="AA730" s="107"/>
      <c r="AB730" s="107"/>
      <c r="AC730" s="107"/>
      <c r="AD730" s="107"/>
      <c r="AE730" s="107"/>
      <c r="AF730" s="107"/>
      <c r="AG730" s="107"/>
      <c r="AH730" s="107"/>
      <c r="AI730" s="107"/>
    </row>
    <row r="731" spans="24:35">
      <c r="X731" s="107"/>
      <c r="Y731" s="107"/>
      <c r="Z731" s="107"/>
      <c r="AA731" s="107"/>
      <c r="AB731" s="107"/>
      <c r="AC731" s="107"/>
      <c r="AD731" s="107"/>
      <c r="AE731" s="107"/>
      <c r="AF731" s="107"/>
      <c r="AG731" s="107"/>
      <c r="AH731" s="107"/>
      <c r="AI731" s="107"/>
    </row>
    <row r="732" spans="24:35">
      <c r="X732" s="107"/>
      <c r="Y732" s="107"/>
      <c r="Z732" s="107"/>
      <c r="AA732" s="107"/>
      <c r="AB732" s="107"/>
      <c r="AC732" s="107"/>
      <c r="AD732" s="107"/>
      <c r="AE732" s="107"/>
      <c r="AF732" s="107"/>
      <c r="AG732" s="107"/>
      <c r="AH732" s="107"/>
      <c r="AI732" s="107"/>
    </row>
    <row r="733" spans="24:35">
      <c r="X733" s="107"/>
      <c r="Y733" s="107"/>
      <c r="Z733" s="107"/>
      <c r="AA733" s="107"/>
      <c r="AB733" s="107"/>
      <c r="AC733" s="107"/>
      <c r="AD733" s="107"/>
      <c r="AE733" s="107"/>
      <c r="AF733" s="107"/>
      <c r="AG733" s="107"/>
      <c r="AH733" s="107"/>
      <c r="AI733" s="107"/>
    </row>
    <row r="734" spans="24:35">
      <c r="X734" s="107"/>
      <c r="Y734" s="107"/>
      <c r="Z734" s="107"/>
      <c r="AA734" s="107"/>
      <c r="AB734" s="107"/>
      <c r="AC734" s="107"/>
      <c r="AD734" s="107"/>
      <c r="AE734" s="107"/>
      <c r="AF734" s="107"/>
      <c r="AG734" s="107"/>
      <c r="AH734" s="107"/>
      <c r="AI734" s="107"/>
    </row>
    <row r="735" spans="24:35">
      <c r="X735" s="107"/>
      <c r="Y735" s="107"/>
      <c r="Z735" s="107"/>
      <c r="AA735" s="107"/>
      <c r="AB735" s="107"/>
      <c r="AC735" s="107"/>
      <c r="AD735" s="107"/>
      <c r="AE735" s="107"/>
      <c r="AF735" s="107"/>
      <c r="AG735" s="107"/>
      <c r="AH735" s="107"/>
      <c r="AI735" s="107"/>
    </row>
    <row r="736" spans="24:35">
      <c r="X736" s="107"/>
      <c r="Y736" s="107"/>
      <c r="Z736" s="107"/>
      <c r="AA736" s="107"/>
      <c r="AB736" s="107"/>
      <c r="AC736" s="107"/>
      <c r="AD736" s="107"/>
      <c r="AE736" s="107"/>
      <c r="AF736" s="107"/>
      <c r="AG736" s="107"/>
      <c r="AH736" s="107"/>
      <c r="AI736" s="107"/>
    </row>
    <row r="737" spans="24:35">
      <c r="X737" s="107"/>
      <c r="Y737" s="107"/>
      <c r="Z737" s="107"/>
      <c r="AA737" s="107"/>
      <c r="AB737" s="107"/>
      <c r="AC737" s="107"/>
      <c r="AD737" s="107"/>
      <c r="AE737" s="107"/>
      <c r="AF737" s="107"/>
      <c r="AG737" s="107"/>
      <c r="AH737" s="107"/>
      <c r="AI737" s="107"/>
    </row>
    <row r="738" spans="24:35">
      <c r="X738" s="107"/>
      <c r="Y738" s="107"/>
      <c r="Z738" s="107"/>
      <c r="AA738" s="107"/>
      <c r="AB738" s="107"/>
      <c r="AC738" s="107"/>
      <c r="AD738" s="107"/>
      <c r="AE738" s="107"/>
      <c r="AF738" s="107"/>
      <c r="AG738" s="107"/>
      <c r="AH738" s="107"/>
      <c r="AI738" s="107"/>
    </row>
    <row r="739" spans="24:35">
      <c r="X739" s="107"/>
      <c r="Y739" s="107"/>
      <c r="Z739" s="107"/>
      <c r="AA739" s="107"/>
      <c r="AB739" s="107"/>
      <c r="AC739" s="107"/>
      <c r="AD739" s="107"/>
      <c r="AE739" s="107"/>
      <c r="AF739" s="107"/>
      <c r="AG739" s="107"/>
      <c r="AH739" s="107"/>
      <c r="AI739" s="107"/>
    </row>
    <row r="740" spans="24:35">
      <c r="X740" s="107"/>
      <c r="Y740" s="107"/>
      <c r="Z740" s="107"/>
      <c r="AA740" s="107"/>
      <c r="AB740" s="107"/>
      <c r="AC740" s="107"/>
      <c r="AD740" s="107"/>
      <c r="AE740" s="107"/>
      <c r="AF740" s="107"/>
      <c r="AG740" s="107"/>
      <c r="AH740" s="107"/>
      <c r="AI740" s="107"/>
    </row>
    <row r="741" spans="24:35">
      <c r="X741" s="107"/>
      <c r="Y741" s="107"/>
      <c r="Z741" s="107"/>
      <c r="AA741" s="107"/>
      <c r="AB741" s="107"/>
      <c r="AC741" s="107"/>
      <c r="AD741" s="107"/>
      <c r="AE741" s="107"/>
      <c r="AF741" s="107"/>
      <c r="AG741" s="107"/>
      <c r="AH741" s="107"/>
      <c r="AI741" s="107"/>
    </row>
    <row r="742" spans="24:35">
      <c r="X742" s="107"/>
      <c r="Y742" s="107"/>
      <c r="Z742" s="107"/>
      <c r="AA742" s="107"/>
      <c r="AB742" s="107"/>
      <c r="AC742" s="107"/>
      <c r="AD742" s="107"/>
      <c r="AE742" s="107"/>
      <c r="AF742" s="107"/>
      <c r="AG742" s="107"/>
      <c r="AH742" s="107"/>
      <c r="AI742" s="107"/>
    </row>
    <row r="743" spans="24:35">
      <c r="X743" s="107"/>
      <c r="Y743" s="107"/>
      <c r="Z743" s="107"/>
      <c r="AA743" s="107"/>
      <c r="AB743" s="107"/>
      <c r="AC743" s="107"/>
      <c r="AD743" s="107"/>
      <c r="AE743" s="107"/>
      <c r="AF743" s="107"/>
      <c r="AG743" s="107"/>
      <c r="AH743" s="107"/>
      <c r="AI743" s="107"/>
    </row>
    <row r="744" spans="24:35">
      <c r="X744" s="107"/>
      <c r="Y744" s="107"/>
      <c r="Z744" s="107"/>
      <c r="AA744" s="107"/>
      <c r="AB744" s="107"/>
      <c r="AC744" s="107"/>
      <c r="AD744" s="107"/>
      <c r="AE744" s="107"/>
      <c r="AF744" s="107"/>
      <c r="AG744" s="107"/>
      <c r="AH744" s="107"/>
      <c r="AI744" s="107"/>
    </row>
    <row r="745" spans="24:35">
      <c r="X745" s="107"/>
      <c r="Y745" s="107"/>
      <c r="Z745" s="107"/>
      <c r="AA745" s="107"/>
      <c r="AB745" s="107"/>
      <c r="AC745" s="107"/>
      <c r="AD745" s="107"/>
      <c r="AE745" s="107"/>
      <c r="AF745" s="107"/>
      <c r="AG745" s="107"/>
      <c r="AH745" s="107"/>
      <c r="AI745" s="107"/>
    </row>
    <row r="746" spans="24:35">
      <c r="X746" s="107"/>
      <c r="Y746" s="107"/>
      <c r="Z746" s="107"/>
      <c r="AA746" s="107"/>
      <c r="AB746" s="107"/>
      <c r="AC746" s="107"/>
      <c r="AD746" s="107"/>
      <c r="AE746" s="107"/>
      <c r="AF746" s="107"/>
      <c r="AG746" s="107"/>
      <c r="AH746" s="107"/>
      <c r="AI746" s="107"/>
    </row>
    <row r="747" spans="24:35">
      <c r="X747" s="107"/>
      <c r="Y747" s="107"/>
      <c r="Z747" s="107"/>
      <c r="AA747" s="107"/>
      <c r="AB747" s="107"/>
      <c r="AC747" s="107"/>
      <c r="AD747" s="107"/>
      <c r="AE747" s="107"/>
      <c r="AF747" s="107"/>
      <c r="AG747" s="107"/>
      <c r="AH747" s="107"/>
      <c r="AI747" s="107"/>
    </row>
    <row r="748" spans="24:35">
      <c r="X748" s="107"/>
      <c r="Y748" s="107"/>
      <c r="Z748" s="107"/>
      <c r="AA748" s="107"/>
      <c r="AB748" s="107"/>
      <c r="AC748" s="107"/>
      <c r="AD748" s="107"/>
      <c r="AE748" s="107"/>
      <c r="AF748" s="107"/>
      <c r="AG748" s="107"/>
      <c r="AH748" s="107"/>
      <c r="AI748" s="107"/>
    </row>
    <row r="749" spans="24:35">
      <c r="X749" s="107"/>
      <c r="Y749" s="107"/>
      <c r="Z749" s="107"/>
      <c r="AA749" s="107"/>
      <c r="AB749" s="107"/>
      <c r="AC749" s="107"/>
      <c r="AD749" s="107"/>
      <c r="AE749" s="107"/>
      <c r="AF749" s="107"/>
      <c r="AG749" s="107"/>
      <c r="AH749" s="107"/>
      <c r="AI749" s="107"/>
    </row>
    <row r="750" spans="24:35">
      <c r="X750" s="107"/>
      <c r="Y750" s="107"/>
      <c r="Z750" s="107"/>
      <c r="AA750" s="107"/>
      <c r="AB750" s="107"/>
      <c r="AC750" s="107"/>
      <c r="AD750" s="107"/>
      <c r="AE750" s="107"/>
      <c r="AF750" s="107"/>
      <c r="AG750" s="107"/>
      <c r="AH750" s="107"/>
      <c r="AI750" s="107"/>
    </row>
    <row r="751" spans="24:35">
      <c r="X751" s="107"/>
      <c r="Y751" s="107"/>
      <c r="Z751" s="107"/>
      <c r="AA751" s="107"/>
      <c r="AB751" s="107"/>
      <c r="AC751" s="107"/>
      <c r="AD751" s="107"/>
      <c r="AE751" s="107"/>
      <c r="AF751" s="107"/>
      <c r="AG751" s="107"/>
      <c r="AH751" s="107"/>
      <c r="AI751" s="107"/>
    </row>
    <row r="752" spans="24:35">
      <c r="X752" s="107"/>
      <c r="Y752" s="107"/>
      <c r="Z752" s="107"/>
      <c r="AA752" s="107"/>
      <c r="AB752" s="107"/>
      <c r="AC752" s="107"/>
      <c r="AD752" s="107"/>
      <c r="AE752" s="107"/>
      <c r="AF752" s="107"/>
      <c r="AG752" s="107"/>
      <c r="AH752" s="107"/>
      <c r="AI752" s="107"/>
    </row>
    <row r="753" spans="24:35">
      <c r="X753" s="107"/>
      <c r="Y753" s="107"/>
      <c r="Z753" s="107"/>
      <c r="AA753" s="107"/>
      <c r="AB753" s="107"/>
      <c r="AC753" s="107"/>
      <c r="AD753" s="107"/>
      <c r="AE753" s="107"/>
      <c r="AF753" s="107"/>
      <c r="AG753" s="107"/>
      <c r="AH753" s="107"/>
      <c r="AI753" s="107"/>
    </row>
    <row r="754" spans="24:35">
      <c r="X754" s="107"/>
      <c r="Y754" s="107"/>
      <c r="Z754" s="107"/>
      <c r="AA754" s="107"/>
      <c r="AB754" s="107"/>
      <c r="AC754" s="107"/>
      <c r="AD754" s="107"/>
      <c r="AE754" s="107"/>
      <c r="AF754" s="107"/>
      <c r="AG754" s="107"/>
      <c r="AH754" s="107"/>
      <c r="AI754" s="107"/>
    </row>
    <row r="755" spans="24:35">
      <c r="X755" s="107"/>
      <c r="Y755" s="107"/>
      <c r="Z755" s="107"/>
      <c r="AA755" s="107"/>
      <c r="AB755" s="107"/>
      <c r="AC755" s="107"/>
      <c r="AD755" s="107"/>
      <c r="AE755" s="107"/>
      <c r="AF755" s="107"/>
      <c r="AG755" s="107"/>
      <c r="AH755" s="107"/>
      <c r="AI755" s="107"/>
    </row>
    <row r="756" spans="24:35">
      <c r="X756" s="107"/>
      <c r="Y756" s="107"/>
      <c r="Z756" s="107"/>
      <c r="AA756" s="107"/>
      <c r="AB756" s="107"/>
      <c r="AC756" s="107"/>
      <c r="AD756" s="107"/>
      <c r="AE756" s="107"/>
      <c r="AF756" s="107"/>
      <c r="AG756" s="107"/>
      <c r="AH756" s="107"/>
      <c r="AI756" s="107"/>
    </row>
    <row r="757" spans="24:35">
      <c r="X757" s="107"/>
      <c r="Y757" s="107"/>
      <c r="Z757" s="107"/>
      <c r="AA757" s="107"/>
      <c r="AB757" s="107"/>
      <c r="AC757" s="107"/>
      <c r="AD757" s="107"/>
      <c r="AE757" s="107"/>
      <c r="AF757" s="107"/>
      <c r="AG757" s="107"/>
      <c r="AH757" s="107"/>
      <c r="AI757" s="107"/>
    </row>
    <row r="758" spans="24:35">
      <c r="X758" s="107"/>
      <c r="Y758" s="107"/>
      <c r="Z758" s="107"/>
      <c r="AA758" s="107"/>
      <c r="AB758" s="107"/>
      <c r="AC758" s="107"/>
      <c r="AD758" s="107"/>
      <c r="AE758" s="107"/>
      <c r="AF758" s="107"/>
      <c r="AG758" s="107"/>
      <c r="AH758" s="107"/>
      <c r="AI758" s="107"/>
    </row>
    <row r="759" spans="24:35">
      <c r="X759" s="107"/>
      <c r="Y759" s="107"/>
      <c r="Z759" s="107"/>
      <c r="AA759" s="107"/>
      <c r="AB759" s="107"/>
      <c r="AC759" s="107"/>
      <c r="AD759" s="107"/>
      <c r="AE759" s="107"/>
      <c r="AF759" s="107"/>
      <c r="AG759" s="107"/>
      <c r="AH759" s="107"/>
      <c r="AI759" s="107"/>
    </row>
    <row r="760" spans="24:35">
      <c r="X760" s="107"/>
      <c r="Y760" s="107"/>
      <c r="Z760" s="107"/>
      <c r="AA760" s="107"/>
      <c r="AB760" s="107"/>
      <c r="AC760" s="107"/>
      <c r="AD760" s="107"/>
      <c r="AE760" s="107"/>
      <c r="AF760" s="107"/>
      <c r="AG760" s="107"/>
      <c r="AH760" s="107"/>
      <c r="AI760" s="107"/>
    </row>
    <row r="761" spans="24:35">
      <c r="X761" s="107"/>
      <c r="Y761" s="107"/>
      <c r="Z761" s="107"/>
      <c r="AA761" s="107"/>
      <c r="AB761" s="107"/>
      <c r="AC761" s="107"/>
      <c r="AD761" s="107"/>
      <c r="AE761" s="107"/>
      <c r="AF761" s="107"/>
      <c r="AG761" s="107"/>
      <c r="AH761" s="107"/>
      <c r="AI761" s="107"/>
    </row>
    <row r="762" spans="24:35">
      <c r="X762" s="107"/>
      <c r="Y762" s="107"/>
      <c r="Z762" s="107"/>
      <c r="AA762" s="107"/>
      <c r="AB762" s="107"/>
      <c r="AC762" s="107"/>
      <c r="AD762" s="107"/>
      <c r="AE762" s="107"/>
      <c r="AF762" s="107"/>
      <c r="AG762" s="107"/>
      <c r="AH762" s="107"/>
      <c r="AI762" s="107"/>
    </row>
    <row r="763" spans="24:35">
      <c r="X763" s="107"/>
      <c r="Y763" s="107"/>
      <c r="Z763" s="107"/>
      <c r="AA763" s="107"/>
      <c r="AB763" s="107"/>
      <c r="AC763" s="107"/>
      <c r="AD763" s="107"/>
      <c r="AE763" s="107"/>
      <c r="AF763" s="107"/>
      <c r="AG763" s="107"/>
      <c r="AH763" s="107"/>
      <c r="AI763" s="107"/>
    </row>
    <row r="764" spans="24:35">
      <c r="X764" s="107"/>
      <c r="Y764" s="107"/>
      <c r="Z764" s="107"/>
      <c r="AA764" s="107"/>
      <c r="AB764" s="107"/>
      <c r="AC764" s="107"/>
      <c r="AD764" s="107"/>
      <c r="AE764" s="107"/>
      <c r="AF764" s="107"/>
      <c r="AG764" s="107"/>
      <c r="AH764" s="107"/>
      <c r="AI764" s="107"/>
    </row>
    <row r="765" spans="24:35">
      <c r="X765" s="107"/>
      <c r="Y765" s="107"/>
      <c r="Z765" s="107"/>
      <c r="AA765" s="107"/>
      <c r="AB765" s="107"/>
      <c r="AC765" s="107"/>
      <c r="AD765" s="107"/>
      <c r="AE765" s="107"/>
      <c r="AF765" s="107"/>
      <c r="AG765" s="107"/>
      <c r="AH765" s="107"/>
      <c r="AI765" s="107"/>
    </row>
    <row r="766" spans="24:35">
      <c r="X766" s="107"/>
      <c r="Y766" s="107"/>
      <c r="Z766" s="107"/>
      <c r="AA766" s="107"/>
      <c r="AB766" s="107"/>
      <c r="AC766" s="107"/>
      <c r="AD766" s="107"/>
      <c r="AE766" s="107"/>
      <c r="AF766" s="107"/>
      <c r="AG766" s="107"/>
      <c r="AH766" s="107"/>
      <c r="AI766" s="107"/>
    </row>
    <row r="767" spans="24:35">
      <c r="X767" s="107"/>
      <c r="Y767" s="107"/>
      <c r="Z767" s="107"/>
      <c r="AA767" s="107"/>
      <c r="AB767" s="107"/>
      <c r="AC767" s="107"/>
      <c r="AD767" s="107"/>
      <c r="AE767" s="107"/>
      <c r="AF767" s="107"/>
      <c r="AG767" s="107"/>
      <c r="AH767" s="107"/>
      <c r="AI767" s="107"/>
    </row>
    <row r="768" spans="24:35">
      <c r="X768" s="107"/>
      <c r="Y768" s="107"/>
      <c r="Z768" s="107"/>
      <c r="AA768" s="107"/>
      <c r="AB768" s="107"/>
      <c r="AC768" s="107"/>
      <c r="AD768" s="107"/>
      <c r="AE768" s="107"/>
      <c r="AF768" s="107"/>
      <c r="AG768" s="107"/>
      <c r="AH768" s="107"/>
      <c r="AI768" s="107"/>
    </row>
    <row r="769" spans="24:35">
      <c r="X769" s="107"/>
      <c r="Y769" s="107"/>
      <c r="Z769" s="107"/>
      <c r="AA769" s="107"/>
      <c r="AB769" s="107"/>
      <c r="AC769" s="107"/>
      <c r="AD769" s="107"/>
      <c r="AE769" s="107"/>
      <c r="AF769" s="107"/>
      <c r="AG769" s="107"/>
      <c r="AH769" s="107"/>
      <c r="AI769" s="107"/>
    </row>
    <row r="770" spans="24:35">
      <c r="X770" s="107"/>
      <c r="Y770" s="107"/>
      <c r="Z770" s="107"/>
      <c r="AA770" s="107"/>
      <c r="AB770" s="107"/>
      <c r="AC770" s="107"/>
      <c r="AD770" s="107"/>
      <c r="AE770" s="107"/>
      <c r="AF770" s="107"/>
      <c r="AG770" s="107"/>
      <c r="AH770" s="107"/>
      <c r="AI770" s="107"/>
    </row>
    <row r="771" spans="24:35">
      <c r="X771" s="107"/>
      <c r="Y771" s="107"/>
      <c r="Z771" s="107"/>
      <c r="AA771" s="107"/>
      <c r="AB771" s="107"/>
      <c r="AC771" s="107"/>
      <c r="AD771" s="107"/>
      <c r="AE771" s="107"/>
      <c r="AF771" s="107"/>
      <c r="AG771" s="107"/>
      <c r="AH771" s="107"/>
      <c r="AI771" s="107"/>
    </row>
    <row r="772" spans="24:35">
      <c r="X772" s="107"/>
      <c r="Y772" s="107"/>
      <c r="Z772" s="107"/>
      <c r="AA772" s="107"/>
      <c r="AB772" s="107"/>
      <c r="AC772" s="107"/>
      <c r="AD772" s="107"/>
      <c r="AE772" s="107"/>
      <c r="AF772" s="107"/>
      <c r="AG772" s="107"/>
      <c r="AH772" s="107"/>
      <c r="AI772" s="107"/>
    </row>
    <row r="773" spans="24:35">
      <c r="X773" s="107"/>
      <c r="Y773" s="107"/>
      <c r="Z773" s="107"/>
      <c r="AA773" s="107"/>
      <c r="AB773" s="107"/>
      <c r="AC773" s="107"/>
      <c r="AD773" s="107"/>
      <c r="AE773" s="107"/>
      <c r="AF773" s="107"/>
      <c r="AG773" s="107"/>
      <c r="AH773" s="107"/>
      <c r="AI773" s="107"/>
    </row>
    <row r="774" spans="24:35">
      <c r="X774" s="107"/>
      <c r="Y774" s="107"/>
      <c r="Z774" s="107"/>
      <c r="AA774" s="107"/>
      <c r="AB774" s="107"/>
      <c r="AC774" s="107"/>
      <c r="AD774" s="107"/>
      <c r="AE774" s="107"/>
      <c r="AF774" s="107"/>
      <c r="AG774" s="107"/>
      <c r="AH774" s="107"/>
      <c r="AI774" s="107"/>
    </row>
    <row r="775" spans="24:35">
      <c r="X775" s="107"/>
      <c r="Y775" s="107"/>
      <c r="Z775" s="107"/>
      <c r="AA775" s="107"/>
      <c r="AB775" s="107"/>
      <c r="AC775" s="107"/>
      <c r="AD775" s="107"/>
      <c r="AE775" s="107"/>
      <c r="AF775" s="107"/>
      <c r="AG775" s="107"/>
      <c r="AH775" s="107"/>
      <c r="AI775" s="107"/>
    </row>
    <row r="776" spans="24:35">
      <c r="X776" s="107"/>
      <c r="Y776" s="107"/>
      <c r="Z776" s="107"/>
      <c r="AA776" s="107"/>
      <c r="AB776" s="107"/>
      <c r="AC776" s="107"/>
      <c r="AD776" s="107"/>
      <c r="AE776" s="107"/>
      <c r="AF776" s="107"/>
      <c r="AG776" s="107"/>
      <c r="AH776" s="107"/>
      <c r="AI776" s="107"/>
    </row>
    <row r="777" spans="24:35">
      <c r="X777" s="107"/>
      <c r="Y777" s="107"/>
      <c r="Z777" s="107"/>
      <c r="AA777" s="107"/>
      <c r="AB777" s="107"/>
      <c r="AC777" s="107"/>
      <c r="AD777" s="107"/>
      <c r="AE777" s="107"/>
      <c r="AF777" s="107"/>
      <c r="AG777" s="107"/>
      <c r="AH777" s="107"/>
      <c r="AI777" s="107"/>
    </row>
    <row r="778" spans="24:35">
      <c r="X778" s="107"/>
      <c r="Y778" s="107"/>
      <c r="Z778" s="107"/>
      <c r="AA778" s="107"/>
      <c r="AB778" s="107"/>
      <c r="AC778" s="107"/>
      <c r="AD778" s="107"/>
      <c r="AE778" s="107"/>
      <c r="AF778" s="107"/>
      <c r="AG778" s="107"/>
      <c r="AH778" s="107"/>
      <c r="AI778" s="107"/>
    </row>
    <row r="779" spans="24:35">
      <c r="X779" s="107"/>
      <c r="Y779" s="107"/>
      <c r="Z779" s="107"/>
      <c r="AA779" s="107"/>
      <c r="AB779" s="107"/>
      <c r="AC779" s="107"/>
      <c r="AD779" s="107"/>
      <c r="AE779" s="107"/>
      <c r="AF779" s="107"/>
      <c r="AG779" s="107"/>
      <c r="AH779" s="107"/>
      <c r="AI779" s="107"/>
    </row>
    <row r="780" spans="24:35">
      <c r="X780" s="107"/>
      <c r="Y780" s="107"/>
      <c r="Z780" s="107"/>
      <c r="AA780" s="107"/>
      <c r="AB780" s="107"/>
      <c r="AC780" s="107"/>
      <c r="AD780" s="107"/>
      <c r="AE780" s="107"/>
      <c r="AF780" s="107"/>
      <c r="AG780" s="107"/>
      <c r="AH780" s="107"/>
      <c r="AI780" s="107"/>
    </row>
    <row r="781" spans="24:35">
      <c r="X781" s="107"/>
      <c r="Y781" s="107"/>
      <c r="Z781" s="107"/>
      <c r="AA781" s="107"/>
      <c r="AB781" s="107"/>
      <c r="AC781" s="107"/>
      <c r="AD781" s="107"/>
      <c r="AE781" s="107"/>
      <c r="AF781" s="107"/>
      <c r="AG781" s="107"/>
      <c r="AH781" s="107"/>
      <c r="AI781" s="107"/>
    </row>
    <row r="782" spans="24:35">
      <c r="X782" s="107"/>
      <c r="Y782" s="107"/>
      <c r="Z782" s="107"/>
      <c r="AA782" s="107"/>
      <c r="AB782" s="107"/>
      <c r="AC782" s="107"/>
      <c r="AD782" s="107"/>
      <c r="AE782" s="107"/>
      <c r="AF782" s="107"/>
      <c r="AG782" s="107"/>
      <c r="AH782" s="107"/>
      <c r="AI782" s="107"/>
    </row>
    <row r="783" spans="24:35">
      <c r="X783" s="107"/>
      <c r="Y783" s="107"/>
      <c r="Z783" s="107"/>
      <c r="AA783" s="107"/>
      <c r="AB783" s="107"/>
      <c r="AC783" s="107"/>
      <c r="AD783" s="107"/>
      <c r="AE783" s="107"/>
      <c r="AF783" s="107"/>
      <c r="AG783" s="107"/>
      <c r="AH783" s="107"/>
      <c r="AI783" s="107"/>
    </row>
    <row r="784" spans="24:35">
      <c r="X784" s="107"/>
      <c r="Y784" s="107"/>
      <c r="Z784" s="107"/>
      <c r="AA784" s="107"/>
      <c r="AB784" s="107"/>
      <c r="AC784" s="107"/>
      <c r="AD784" s="107"/>
      <c r="AE784" s="107"/>
      <c r="AF784" s="107"/>
      <c r="AG784" s="107"/>
      <c r="AH784" s="107"/>
      <c r="AI784" s="107"/>
    </row>
    <row r="785" spans="24:35">
      <c r="X785" s="107"/>
      <c r="Y785" s="107"/>
      <c r="Z785" s="107"/>
      <c r="AA785" s="107"/>
      <c r="AB785" s="107"/>
      <c r="AC785" s="107"/>
      <c r="AD785" s="107"/>
      <c r="AE785" s="107"/>
      <c r="AF785" s="107"/>
      <c r="AG785" s="107"/>
      <c r="AH785" s="107"/>
      <c r="AI785" s="107"/>
    </row>
    <row r="786" spans="24:35">
      <c r="X786" s="107"/>
      <c r="Y786" s="107"/>
      <c r="Z786" s="107"/>
      <c r="AA786" s="107"/>
      <c r="AB786" s="107"/>
      <c r="AC786" s="107"/>
      <c r="AD786" s="107"/>
      <c r="AE786" s="107"/>
      <c r="AF786" s="107"/>
      <c r="AG786" s="107"/>
      <c r="AH786" s="107"/>
      <c r="AI786" s="107"/>
    </row>
    <row r="787" spans="24:35">
      <c r="X787" s="107"/>
      <c r="Y787" s="107"/>
      <c r="Z787" s="107"/>
      <c r="AA787" s="107"/>
      <c r="AB787" s="107"/>
      <c r="AC787" s="107"/>
      <c r="AD787" s="107"/>
      <c r="AE787" s="107"/>
      <c r="AF787" s="107"/>
      <c r="AG787" s="107"/>
      <c r="AH787" s="107"/>
      <c r="AI787" s="107"/>
    </row>
    <row r="788" spans="24:35">
      <c r="X788" s="107"/>
      <c r="Y788" s="107"/>
      <c r="Z788" s="107"/>
      <c r="AA788" s="107"/>
      <c r="AB788" s="107"/>
      <c r="AC788" s="107"/>
      <c r="AD788" s="107"/>
      <c r="AE788" s="107"/>
      <c r="AF788" s="107"/>
      <c r="AG788" s="107"/>
      <c r="AH788" s="107"/>
      <c r="AI788" s="107"/>
    </row>
    <row r="789" spans="24:35">
      <c r="X789" s="107"/>
      <c r="Y789" s="107"/>
      <c r="Z789" s="107"/>
      <c r="AA789" s="107"/>
      <c r="AB789" s="107"/>
      <c r="AC789" s="107"/>
      <c r="AD789" s="107"/>
      <c r="AE789" s="107"/>
      <c r="AF789" s="107"/>
      <c r="AG789" s="107"/>
      <c r="AH789" s="107"/>
      <c r="AI789" s="107"/>
    </row>
    <row r="790" spans="24:35">
      <c r="X790" s="107"/>
      <c r="Y790" s="107"/>
      <c r="Z790" s="107"/>
      <c r="AA790" s="107"/>
      <c r="AB790" s="107"/>
      <c r="AC790" s="107"/>
      <c r="AD790" s="107"/>
      <c r="AE790" s="107"/>
      <c r="AF790" s="107"/>
      <c r="AG790" s="107"/>
      <c r="AH790" s="107"/>
      <c r="AI790" s="107"/>
    </row>
    <row r="791" spans="24:35">
      <c r="X791" s="107"/>
      <c r="Y791" s="107"/>
      <c r="Z791" s="107"/>
      <c r="AA791" s="107"/>
      <c r="AB791" s="107"/>
      <c r="AC791" s="107"/>
      <c r="AD791" s="107"/>
      <c r="AE791" s="107"/>
      <c r="AF791" s="107"/>
      <c r="AG791" s="107"/>
      <c r="AH791" s="107"/>
      <c r="AI791" s="107"/>
    </row>
    <row r="792" spans="24:35">
      <c r="X792" s="107"/>
      <c r="Y792" s="107"/>
      <c r="Z792" s="107"/>
      <c r="AA792" s="107"/>
      <c r="AB792" s="107"/>
      <c r="AC792" s="107"/>
      <c r="AD792" s="107"/>
      <c r="AE792" s="107"/>
      <c r="AF792" s="107"/>
      <c r="AG792" s="107"/>
      <c r="AH792" s="107"/>
      <c r="AI792" s="107"/>
    </row>
    <row r="793" spans="24:35">
      <c r="X793" s="107"/>
      <c r="Y793" s="107"/>
      <c r="Z793" s="107"/>
      <c r="AA793" s="107"/>
      <c r="AB793" s="107"/>
      <c r="AC793" s="107"/>
      <c r="AD793" s="107"/>
      <c r="AE793" s="107"/>
      <c r="AF793" s="107"/>
      <c r="AG793" s="107"/>
      <c r="AH793" s="107"/>
      <c r="AI793" s="107"/>
    </row>
    <row r="794" spans="24:35">
      <c r="X794" s="107"/>
      <c r="Y794" s="107"/>
      <c r="Z794" s="107"/>
      <c r="AA794" s="107"/>
      <c r="AB794" s="107"/>
      <c r="AC794" s="107"/>
      <c r="AD794" s="107"/>
      <c r="AE794" s="107"/>
      <c r="AF794" s="107"/>
      <c r="AG794" s="107"/>
      <c r="AH794" s="107"/>
      <c r="AI794" s="107"/>
    </row>
    <row r="795" spans="24:35">
      <c r="X795" s="107"/>
      <c r="Y795" s="107"/>
      <c r="Z795" s="107"/>
      <c r="AA795" s="107"/>
      <c r="AB795" s="107"/>
      <c r="AC795" s="107"/>
      <c r="AD795" s="107"/>
      <c r="AE795" s="107"/>
      <c r="AF795" s="107"/>
      <c r="AG795" s="107"/>
      <c r="AH795" s="107"/>
      <c r="AI795" s="107"/>
    </row>
    <row r="796" spans="24:35">
      <c r="X796" s="107"/>
      <c r="Y796" s="107"/>
      <c r="Z796" s="107"/>
      <c r="AA796" s="107"/>
      <c r="AB796" s="107"/>
      <c r="AC796" s="107"/>
      <c r="AD796" s="107"/>
      <c r="AE796" s="107"/>
      <c r="AF796" s="107"/>
      <c r="AG796" s="107"/>
      <c r="AH796" s="107"/>
      <c r="AI796" s="107"/>
    </row>
    <row r="797" spans="24:35">
      <c r="X797" s="107"/>
      <c r="Y797" s="107"/>
      <c r="Z797" s="107"/>
      <c r="AA797" s="107"/>
      <c r="AB797" s="107"/>
      <c r="AC797" s="107"/>
      <c r="AD797" s="107"/>
      <c r="AE797" s="107"/>
      <c r="AF797" s="107"/>
      <c r="AG797" s="107"/>
      <c r="AH797" s="107"/>
      <c r="AI797" s="107"/>
    </row>
    <row r="798" spans="24:35">
      <c r="X798" s="107"/>
      <c r="Y798" s="107"/>
      <c r="Z798" s="107"/>
      <c r="AA798" s="107"/>
      <c r="AB798" s="107"/>
      <c r="AC798" s="107"/>
      <c r="AD798" s="107"/>
      <c r="AE798" s="107"/>
      <c r="AF798" s="107"/>
      <c r="AG798" s="107"/>
      <c r="AH798" s="107"/>
      <c r="AI798" s="107"/>
    </row>
    <row r="799" spans="24:35">
      <c r="X799" s="107"/>
      <c r="Y799" s="107"/>
      <c r="Z799" s="107"/>
      <c r="AA799" s="107"/>
      <c r="AB799" s="107"/>
      <c r="AC799" s="107"/>
      <c r="AD799" s="107"/>
      <c r="AE799" s="107"/>
      <c r="AF799" s="107"/>
      <c r="AG799" s="107"/>
      <c r="AH799" s="107"/>
      <c r="AI799" s="107"/>
    </row>
    <row r="800" spans="24:35">
      <c r="X800" s="107"/>
      <c r="Y800" s="107"/>
      <c r="Z800" s="107"/>
      <c r="AA800" s="107"/>
      <c r="AB800" s="107"/>
      <c r="AC800" s="107"/>
      <c r="AD800" s="107"/>
      <c r="AE800" s="107"/>
      <c r="AF800" s="107"/>
      <c r="AG800" s="107"/>
      <c r="AH800" s="107"/>
      <c r="AI800" s="107"/>
    </row>
    <row r="801" spans="24:35">
      <c r="X801" s="107"/>
      <c r="Y801" s="107"/>
      <c r="Z801" s="107"/>
      <c r="AA801" s="107"/>
      <c r="AB801" s="107"/>
      <c r="AC801" s="107"/>
      <c r="AD801" s="107"/>
      <c r="AE801" s="107"/>
      <c r="AF801" s="107"/>
      <c r="AG801" s="107"/>
      <c r="AH801" s="107"/>
      <c r="AI801" s="107"/>
    </row>
    <row r="802" spans="24:35">
      <c r="X802" s="107"/>
      <c r="Y802" s="107"/>
      <c r="Z802" s="107"/>
      <c r="AA802" s="107"/>
      <c r="AB802" s="107"/>
      <c r="AC802" s="107"/>
      <c r="AD802" s="107"/>
      <c r="AE802" s="107"/>
      <c r="AF802" s="107"/>
      <c r="AG802" s="107"/>
      <c r="AH802" s="107"/>
      <c r="AI802" s="107"/>
    </row>
    <row r="803" spans="24:35">
      <c r="X803" s="107"/>
      <c r="Y803" s="107"/>
      <c r="Z803" s="107"/>
      <c r="AA803" s="107"/>
      <c r="AB803" s="107"/>
      <c r="AC803" s="107"/>
      <c r="AD803" s="107"/>
      <c r="AE803" s="107"/>
      <c r="AF803" s="107"/>
      <c r="AG803" s="107"/>
      <c r="AH803" s="107"/>
      <c r="AI803" s="107"/>
    </row>
    <row r="804" spans="24:35">
      <c r="X804" s="107"/>
      <c r="Y804" s="107"/>
      <c r="Z804" s="107"/>
      <c r="AA804" s="107"/>
      <c r="AB804" s="107"/>
      <c r="AC804" s="107"/>
      <c r="AD804" s="107"/>
      <c r="AE804" s="107"/>
      <c r="AF804" s="107"/>
      <c r="AG804" s="107"/>
      <c r="AH804" s="107"/>
      <c r="AI804" s="107"/>
    </row>
    <row r="805" spans="24:35">
      <c r="X805" s="107"/>
      <c r="Y805" s="107"/>
      <c r="Z805" s="107"/>
      <c r="AA805" s="107"/>
      <c r="AB805" s="107"/>
      <c r="AC805" s="107"/>
      <c r="AD805" s="107"/>
      <c r="AE805" s="107"/>
      <c r="AF805" s="107"/>
      <c r="AG805" s="107"/>
      <c r="AH805" s="107"/>
      <c r="AI805" s="107"/>
    </row>
    <row r="806" spans="24:35">
      <c r="X806" s="107"/>
      <c r="Y806" s="107"/>
      <c r="Z806" s="107"/>
      <c r="AA806" s="107"/>
      <c r="AB806" s="107"/>
      <c r="AC806" s="107"/>
      <c r="AD806" s="107"/>
      <c r="AE806" s="107"/>
      <c r="AF806" s="107"/>
      <c r="AG806" s="107"/>
      <c r="AH806" s="107"/>
      <c r="AI806" s="107"/>
    </row>
    <row r="807" spans="24:35">
      <c r="X807" s="107"/>
      <c r="Y807" s="107"/>
      <c r="Z807" s="107"/>
      <c r="AA807" s="107"/>
      <c r="AB807" s="107"/>
      <c r="AC807" s="107"/>
      <c r="AD807" s="107"/>
      <c r="AE807" s="107"/>
      <c r="AF807" s="107"/>
      <c r="AG807" s="107"/>
      <c r="AH807" s="107"/>
      <c r="AI807" s="107"/>
    </row>
    <row r="808" spans="24:35">
      <c r="X808" s="107"/>
      <c r="Y808" s="107"/>
      <c r="Z808" s="107"/>
      <c r="AA808" s="107"/>
      <c r="AB808" s="107"/>
      <c r="AC808" s="107"/>
      <c r="AD808" s="107"/>
      <c r="AE808" s="107"/>
      <c r="AF808" s="107"/>
      <c r="AG808" s="107"/>
      <c r="AH808" s="107"/>
      <c r="AI808" s="107"/>
    </row>
    <row r="809" spans="24:35">
      <c r="X809" s="107"/>
      <c r="Y809" s="107"/>
      <c r="Z809" s="107"/>
      <c r="AA809" s="107"/>
      <c r="AB809" s="107"/>
      <c r="AC809" s="107"/>
      <c r="AD809" s="107"/>
      <c r="AE809" s="107"/>
      <c r="AF809" s="107"/>
      <c r="AG809" s="107"/>
      <c r="AH809" s="107"/>
      <c r="AI809" s="107"/>
    </row>
    <row r="810" spans="24:35">
      <c r="X810" s="107"/>
      <c r="Y810" s="107"/>
      <c r="Z810" s="107"/>
      <c r="AA810" s="107"/>
      <c r="AB810" s="107"/>
      <c r="AC810" s="107"/>
      <c r="AD810" s="107"/>
      <c r="AE810" s="107"/>
      <c r="AF810" s="107"/>
      <c r="AG810" s="107"/>
      <c r="AH810" s="107"/>
      <c r="AI810" s="107"/>
    </row>
    <row r="811" spans="24:35">
      <c r="X811" s="107"/>
      <c r="Y811" s="107"/>
      <c r="Z811" s="107"/>
      <c r="AA811" s="107"/>
      <c r="AB811" s="107"/>
      <c r="AC811" s="107"/>
      <c r="AD811" s="107"/>
      <c r="AE811" s="107"/>
      <c r="AF811" s="107"/>
      <c r="AG811" s="107"/>
      <c r="AH811" s="107"/>
      <c r="AI811" s="107"/>
    </row>
    <row r="812" spans="24:35">
      <c r="X812" s="107"/>
      <c r="Y812" s="107"/>
      <c r="Z812" s="107"/>
      <c r="AA812" s="107"/>
      <c r="AB812" s="107"/>
      <c r="AC812" s="107"/>
      <c r="AD812" s="107"/>
      <c r="AE812" s="107"/>
      <c r="AF812" s="107"/>
      <c r="AG812" s="107"/>
      <c r="AH812" s="107"/>
      <c r="AI812" s="107"/>
    </row>
    <row r="813" spans="24:35">
      <c r="X813" s="107"/>
      <c r="Y813" s="107"/>
      <c r="Z813" s="107"/>
      <c r="AA813" s="107"/>
      <c r="AB813" s="107"/>
      <c r="AC813" s="107"/>
      <c r="AD813" s="107"/>
      <c r="AE813" s="107"/>
      <c r="AF813" s="107"/>
      <c r="AG813" s="107"/>
      <c r="AH813" s="107"/>
      <c r="AI813" s="107"/>
    </row>
    <row r="814" spans="24:35">
      <c r="X814" s="107"/>
      <c r="Y814" s="107"/>
      <c r="Z814" s="107"/>
      <c r="AA814" s="107"/>
      <c r="AB814" s="107"/>
      <c r="AC814" s="107"/>
      <c r="AD814" s="107"/>
      <c r="AE814" s="107"/>
      <c r="AF814" s="107"/>
      <c r="AG814" s="107"/>
      <c r="AH814" s="107"/>
      <c r="AI814" s="107"/>
    </row>
    <row r="815" spans="24:35">
      <c r="X815" s="107"/>
      <c r="Y815" s="107"/>
      <c r="Z815" s="107"/>
      <c r="AA815" s="107"/>
      <c r="AB815" s="107"/>
      <c r="AC815" s="107"/>
      <c r="AD815" s="107"/>
      <c r="AE815" s="107"/>
      <c r="AF815" s="107"/>
      <c r="AG815" s="107"/>
      <c r="AH815" s="107"/>
      <c r="AI815" s="107"/>
    </row>
    <row r="816" spans="24:35">
      <c r="X816" s="107"/>
      <c r="Y816" s="107"/>
      <c r="Z816" s="107"/>
      <c r="AA816" s="107"/>
      <c r="AB816" s="107"/>
      <c r="AC816" s="107"/>
      <c r="AD816" s="107"/>
      <c r="AE816" s="107"/>
      <c r="AF816" s="107"/>
      <c r="AG816" s="107"/>
      <c r="AH816" s="107"/>
      <c r="AI816" s="107"/>
    </row>
    <row r="817" spans="24:35">
      <c r="X817" s="107"/>
      <c r="Y817" s="107"/>
      <c r="Z817" s="107"/>
      <c r="AA817" s="107"/>
      <c r="AB817" s="107"/>
      <c r="AC817" s="107"/>
      <c r="AD817" s="107"/>
      <c r="AE817" s="107"/>
      <c r="AF817" s="107"/>
      <c r="AG817" s="107"/>
      <c r="AH817" s="107"/>
      <c r="AI817" s="107"/>
    </row>
    <row r="818" spans="24:35">
      <c r="X818" s="107"/>
      <c r="Y818" s="107"/>
      <c r="Z818" s="107"/>
      <c r="AA818" s="107"/>
      <c r="AB818" s="107"/>
      <c r="AC818" s="107"/>
      <c r="AD818" s="107"/>
      <c r="AE818" s="107"/>
      <c r="AF818" s="107"/>
      <c r="AG818" s="107"/>
      <c r="AH818" s="107"/>
      <c r="AI818" s="107"/>
    </row>
    <row r="819" spans="24:35">
      <c r="X819" s="107"/>
      <c r="Y819" s="107"/>
      <c r="Z819" s="107"/>
      <c r="AA819" s="107"/>
      <c r="AB819" s="107"/>
      <c r="AC819" s="107"/>
      <c r="AD819" s="107"/>
      <c r="AE819" s="107"/>
      <c r="AF819" s="107"/>
      <c r="AG819" s="107"/>
      <c r="AH819" s="107"/>
      <c r="AI819" s="107"/>
    </row>
    <row r="820" spans="24:35">
      <c r="X820" s="107"/>
      <c r="Y820" s="107"/>
      <c r="Z820" s="107"/>
      <c r="AA820" s="107"/>
      <c r="AB820" s="107"/>
      <c r="AC820" s="107"/>
      <c r="AD820" s="107"/>
      <c r="AE820" s="107"/>
      <c r="AF820" s="107"/>
      <c r="AG820" s="107"/>
      <c r="AH820" s="107"/>
      <c r="AI820" s="107"/>
    </row>
    <row r="821" spans="24:35">
      <c r="X821" s="107"/>
      <c r="Y821" s="107"/>
      <c r="Z821" s="107"/>
      <c r="AA821" s="107"/>
      <c r="AB821" s="107"/>
      <c r="AC821" s="107"/>
      <c r="AD821" s="107"/>
      <c r="AE821" s="107"/>
      <c r="AF821" s="107"/>
      <c r="AG821" s="107"/>
      <c r="AH821" s="107"/>
      <c r="AI821" s="107"/>
    </row>
    <row r="822" spans="24:35">
      <c r="X822" s="107"/>
      <c r="Y822" s="107"/>
      <c r="Z822" s="107"/>
      <c r="AA822" s="107"/>
      <c r="AB822" s="107"/>
      <c r="AC822" s="107"/>
      <c r="AD822" s="107"/>
      <c r="AE822" s="107"/>
      <c r="AF822" s="107"/>
      <c r="AG822" s="107"/>
      <c r="AH822" s="107"/>
      <c r="AI822" s="107"/>
    </row>
    <row r="823" spans="24:35">
      <c r="X823" s="107"/>
      <c r="Y823" s="107"/>
      <c r="Z823" s="107"/>
      <c r="AA823" s="107"/>
      <c r="AB823" s="107"/>
      <c r="AC823" s="107"/>
      <c r="AD823" s="107"/>
      <c r="AE823" s="107"/>
      <c r="AF823" s="107"/>
      <c r="AG823" s="107"/>
      <c r="AH823" s="107"/>
      <c r="AI823" s="107"/>
    </row>
    <row r="824" spans="24:35">
      <c r="X824" s="107"/>
      <c r="Y824" s="107"/>
      <c r="Z824" s="107"/>
      <c r="AA824" s="107"/>
      <c r="AB824" s="107"/>
      <c r="AC824" s="107"/>
      <c r="AD824" s="107"/>
      <c r="AE824" s="107"/>
      <c r="AF824" s="107"/>
      <c r="AG824" s="107"/>
      <c r="AH824" s="107"/>
      <c r="AI824" s="107"/>
    </row>
    <row r="825" spans="24:35">
      <c r="X825" s="107"/>
      <c r="Y825" s="107"/>
      <c r="Z825" s="107"/>
      <c r="AA825" s="107"/>
      <c r="AB825" s="107"/>
      <c r="AC825" s="107"/>
      <c r="AD825" s="107"/>
      <c r="AE825" s="107"/>
      <c r="AF825" s="107"/>
      <c r="AG825" s="107"/>
      <c r="AH825" s="107"/>
      <c r="AI825" s="107"/>
    </row>
    <row r="826" spans="24:35">
      <c r="X826" s="107"/>
      <c r="Y826" s="107"/>
      <c r="Z826" s="107"/>
      <c r="AA826" s="107"/>
      <c r="AB826" s="107"/>
      <c r="AC826" s="107"/>
      <c r="AD826" s="107"/>
      <c r="AE826" s="107"/>
      <c r="AF826" s="107"/>
      <c r="AG826" s="107"/>
      <c r="AH826" s="107"/>
      <c r="AI826" s="107"/>
    </row>
    <row r="827" spans="24:35">
      <c r="X827" s="107"/>
      <c r="Y827" s="107"/>
      <c r="Z827" s="107"/>
      <c r="AA827" s="107"/>
      <c r="AB827" s="107"/>
      <c r="AC827" s="107"/>
      <c r="AD827" s="107"/>
      <c r="AE827" s="107"/>
      <c r="AF827" s="107"/>
      <c r="AG827" s="107"/>
      <c r="AH827" s="107"/>
      <c r="AI827" s="107"/>
    </row>
    <row r="828" spans="24:35">
      <c r="X828" s="107"/>
      <c r="Y828" s="107"/>
      <c r="Z828" s="107"/>
      <c r="AA828" s="107"/>
      <c r="AB828" s="107"/>
      <c r="AC828" s="107"/>
      <c r="AD828" s="107"/>
      <c r="AE828" s="107"/>
      <c r="AF828" s="107"/>
      <c r="AG828" s="107"/>
      <c r="AH828" s="107"/>
      <c r="AI828" s="107"/>
    </row>
    <row r="829" spans="24:35">
      <c r="X829" s="107"/>
      <c r="Y829" s="107"/>
      <c r="Z829" s="107"/>
      <c r="AA829" s="107"/>
      <c r="AB829" s="107"/>
      <c r="AC829" s="107"/>
      <c r="AD829" s="107"/>
      <c r="AE829" s="107"/>
      <c r="AF829" s="107"/>
      <c r="AG829" s="107"/>
      <c r="AH829" s="107"/>
      <c r="AI829" s="107"/>
    </row>
    <row r="830" spans="24:35">
      <c r="X830" s="107"/>
      <c r="Y830" s="107"/>
      <c r="Z830" s="107"/>
      <c r="AA830" s="107"/>
      <c r="AB830" s="107"/>
      <c r="AC830" s="107"/>
      <c r="AD830" s="107"/>
      <c r="AE830" s="107"/>
      <c r="AF830" s="107"/>
      <c r="AG830" s="107"/>
      <c r="AH830" s="107"/>
      <c r="AI830" s="107"/>
    </row>
    <row r="831" spans="24:35">
      <c r="X831" s="107"/>
      <c r="Y831" s="107"/>
      <c r="Z831" s="107"/>
      <c r="AA831" s="107"/>
      <c r="AB831" s="107"/>
      <c r="AC831" s="107"/>
      <c r="AD831" s="107"/>
      <c r="AE831" s="107"/>
      <c r="AF831" s="107"/>
      <c r="AG831" s="107"/>
      <c r="AH831" s="107"/>
      <c r="AI831" s="107"/>
    </row>
    <row r="832" spans="24:35">
      <c r="X832" s="107"/>
      <c r="Y832" s="107"/>
      <c r="Z832" s="107"/>
      <c r="AA832" s="107"/>
      <c r="AB832" s="107"/>
      <c r="AC832" s="107"/>
      <c r="AD832" s="107"/>
      <c r="AE832" s="107"/>
      <c r="AF832" s="107"/>
      <c r="AG832" s="107"/>
      <c r="AH832" s="107"/>
      <c r="AI832" s="107"/>
    </row>
    <row r="833" spans="24:35">
      <c r="X833" s="107"/>
      <c r="Y833" s="107"/>
      <c r="Z833" s="107"/>
      <c r="AA833" s="107"/>
      <c r="AB833" s="107"/>
      <c r="AC833" s="107"/>
      <c r="AD833" s="107"/>
      <c r="AE833" s="107"/>
      <c r="AF833" s="107"/>
      <c r="AG833" s="107"/>
      <c r="AH833" s="107"/>
      <c r="AI833" s="107"/>
    </row>
    <row r="834" spans="24:35">
      <c r="X834" s="107"/>
      <c r="Y834" s="107"/>
      <c r="Z834" s="107"/>
      <c r="AA834" s="107"/>
      <c r="AB834" s="107"/>
      <c r="AC834" s="107"/>
      <c r="AD834" s="107"/>
      <c r="AE834" s="107"/>
      <c r="AF834" s="107"/>
      <c r="AG834" s="107"/>
      <c r="AH834" s="107"/>
      <c r="AI834" s="107"/>
    </row>
    <row r="835" spans="24:35">
      <c r="X835" s="107"/>
      <c r="Y835" s="107"/>
      <c r="Z835" s="107"/>
      <c r="AA835" s="107"/>
      <c r="AB835" s="107"/>
      <c r="AC835" s="107"/>
      <c r="AD835" s="107"/>
      <c r="AE835" s="107"/>
      <c r="AF835" s="107"/>
      <c r="AG835" s="107"/>
      <c r="AH835" s="107"/>
      <c r="AI835" s="107"/>
    </row>
    <row r="836" spans="24:35">
      <c r="X836" s="107"/>
      <c r="Y836" s="107"/>
      <c r="Z836" s="107"/>
      <c r="AA836" s="107"/>
      <c r="AB836" s="107"/>
      <c r="AC836" s="107"/>
      <c r="AD836" s="107"/>
      <c r="AE836" s="107"/>
      <c r="AF836" s="107"/>
      <c r="AG836" s="107"/>
      <c r="AH836" s="107"/>
      <c r="AI836" s="107"/>
    </row>
    <row r="837" spans="24:35">
      <c r="X837" s="107"/>
      <c r="Y837" s="107"/>
      <c r="Z837" s="107"/>
      <c r="AA837" s="107"/>
      <c r="AB837" s="107"/>
      <c r="AC837" s="107"/>
      <c r="AD837" s="107"/>
      <c r="AE837" s="107"/>
      <c r="AF837" s="107"/>
      <c r="AG837" s="107"/>
      <c r="AH837" s="107"/>
      <c r="AI837" s="107"/>
    </row>
    <row r="838" spans="24:35">
      <c r="X838" s="107"/>
      <c r="Y838" s="107"/>
      <c r="Z838" s="107"/>
      <c r="AA838" s="107"/>
      <c r="AB838" s="107"/>
      <c r="AC838" s="107"/>
      <c r="AD838" s="107"/>
      <c r="AE838" s="107"/>
      <c r="AF838" s="107"/>
      <c r="AG838" s="107"/>
      <c r="AH838" s="107"/>
      <c r="AI838" s="107"/>
    </row>
    <row r="839" spans="24:35">
      <c r="X839" s="107"/>
      <c r="Y839" s="107"/>
      <c r="Z839" s="107"/>
      <c r="AA839" s="107"/>
      <c r="AB839" s="107"/>
      <c r="AC839" s="107"/>
      <c r="AD839" s="107"/>
      <c r="AE839" s="107"/>
      <c r="AF839" s="107"/>
      <c r="AG839" s="107"/>
      <c r="AH839" s="107"/>
      <c r="AI839" s="107"/>
    </row>
    <row r="840" spans="24:35">
      <c r="X840" s="107"/>
      <c r="Y840" s="107"/>
      <c r="Z840" s="107"/>
      <c r="AA840" s="107"/>
      <c r="AB840" s="107"/>
      <c r="AC840" s="107"/>
      <c r="AD840" s="107"/>
      <c r="AE840" s="107"/>
      <c r="AF840" s="107"/>
      <c r="AG840" s="107"/>
      <c r="AH840" s="107"/>
      <c r="AI840" s="107"/>
    </row>
    <row r="841" spans="24:35">
      <c r="X841" s="107"/>
      <c r="Y841" s="107"/>
      <c r="Z841" s="107"/>
      <c r="AA841" s="107"/>
      <c r="AB841" s="107"/>
      <c r="AC841" s="107"/>
      <c r="AD841" s="107"/>
      <c r="AE841" s="107"/>
      <c r="AF841" s="107"/>
      <c r="AG841" s="107"/>
      <c r="AH841" s="107"/>
      <c r="AI841" s="107"/>
    </row>
    <row r="842" spans="24:35">
      <c r="X842" s="107"/>
      <c r="Y842" s="107"/>
      <c r="Z842" s="107"/>
      <c r="AA842" s="107"/>
      <c r="AB842" s="107"/>
      <c r="AC842" s="107"/>
      <c r="AD842" s="107"/>
      <c r="AE842" s="107"/>
      <c r="AF842" s="107"/>
      <c r="AG842" s="107"/>
      <c r="AH842" s="107"/>
      <c r="AI842" s="107"/>
    </row>
    <row r="843" spans="24:35">
      <c r="X843" s="107"/>
      <c r="Y843" s="107"/>
      <c r="Z843" s="107"/>
      <c r="AA843" s="107"/>
      <c r="AB843" s="107"/>
      <c r="AC843" s="107"/>
      <c r="AD843" s="107"/>
      <c r="AE843" s="107"/>
      <c r="AF843" s="107"/>
      <c r="AG843" s="107"/>
      <c r="AH843" s="107"/>
      <c r="AI843" s="107"/>
    </row>
    <row r="844" spans="24:35">
      <c r="X844" s="107"/>
      <c r="Y844" s="107"/>
      <c r="Z844" s="107"/>
      <c r="AA844" s="107"/>
      <c r="AB844" s="107"/>
      <c r="AC844" s="107"/>
      <c r="AD844" s="107"/>
      <c r="AE844" s="107"/>
      <c r="AF844" s="107"/>
      <c r="AG844" s="107"/>
      <c r="AH844" s="107"/>
      <c r="AI844" s="107"/>
    </row>
    <row r="845" spans="24:35">
      <c r="X845" s="107"/>
      <c r="Y845" s="107"/>
      <c r="Z845" s="107"/>
      <c r="AA845" s="107"/>
      <c r="AB845" s="107"/>
      <c r="AC845" s="107"/>
      <c r="AD845" s="107"/>
      <c r="AE845" s="107"/>
      <c r="AF845" s="107"/>
      <c r="AG845" s="107"/>
      <c r="AH845" s="107"/>
      <c r="AI845" s="107"/>
    </row>
    <row r="846" spans="24:35">
      <c r="X846" s="107"/>
      <c r="Y846" s="107"/>
      <c r="Z846" s="107"/>
      <c r="AA846" s="107"/>
      <c r="AB846" s="107"/>
      <c r="AC846" s="107"/>
      <c r="AD846" s="107"/>
      <c r="AE846" s="107"/>
      <c r="AF846" s="107"/>
      <c r="AG846" s="107"/>
      <c r="AH846" s="107"/>
      <c r="AI846" s="107"/>
    </row>
    <row r="847" spans="24:35">
      <c r="X847" s="107"/>
      <c r="Y847" s="107"/>
      <c r="Z847" s="107"/>
      <c r="AA847" s="107"/>
      <c r="AB847" s="107"/>
      <c r="AC847" s="107"/>
      <c r="AD847" s="107"/>
      <c r="AE847" s="107"/>
      <c r="AF847" s="107"/>
      <c r="AG847" s="107"/>
      <c r="AH847" s="107"/>
      <c r="AI847" s="107"/>
    </row>
    <row r="848" spans="24:35">
      <c r="X848" s="107"/>
      <c r="Y848" s="107"/>
      <c r="Z848" s="107"/>
      <c r="AA848" s="107"/>
      <c r="AB848" s="107"/>
      <c r="AC848" s="107"/>
      <c r="AD848" s="107"/>
      <c r="AE848" s="107"/>
      <c r="AF848" s="107"/>
      <c r="AG848" s="107"/>
      <c r="AH848" s="107"/>
      <c r="AI848" s="107"/>
    </row>
    <row r="849" spans="24:35">
      <c r="X849" s="107"/>
      <c r="Y849" s="107"/>
      <c r="Z849" s="107"/>
      <c r="AA849" s="107"/>
      <c r="AB849" s="107"/>
      <c r="AC849" s="107"/>
      <c r="AD849" s="107"/>
      <c r="AE849" s="107"/>
      <c r="AF849" s="107"/>
      <c r="AG849" s="107"/>
      <c r="AH849" s="107"/>
      <c r="AI849" s="107"/>
    </row>
    <row r="850" spans="24:35">
      <c r="X850" s="107"/>
      <c r="Y850" s="107"/>
      <c r="Z850" s="107"/>
      <c r="AA850" s="107"/>
      <c r="AB850" s="107"/>
      <c r="AC850" s="107"/>
      <c r="AD850" s="107"/>
      <c r="AE850" s="107"/>
      <c r="AF850" s="107"/>
      <c r="AG850" s="107"/>
      <c r="AH850" s="107"/>
      <c r="AI850" s="107"/>
    </row>
    <row r="851" spans="24:35">
      <c r="X851" s="107"/>
      <c r="Y851" s="107"/>
      <c r="Z851" s="107"/>
      <c r="AA851" s="107"/>
      <c r="AB851" s="107"/>
      <c r="AC851" s="107"/>
      <c r="AD851" s="107"/>
      <c r="AE851" s="107"/>
      <c r="AF851" s="107"/>
      <c r="AG851" s="107"/>
      <c r="AH851" s="107"/>
      <c r="AI851" s="107"/>
    </row>
    <row r="852" spans="24:35">
      <c r="X852" s="107"/>
      <c r="Y852" s="107"/>
      <c r="Z852" s="107"/>
      <c r="AA852" s="107"/>
      <c r="AB852" s="107"/>
      <c r="AC852" s="107"/>
      <c r="AD852" s="107"/>
      <c r="AE852" s="107"/>
      <c r="AF852" s="107"/>
      <c r="AG852" s="107"/>
      <c r="AH852" s="107"/>
      <c r="AI852" s="107"/>
    </row>
    <row r="853" spans="24:35">
      <c r="X853" s="107"/>
      <c r="Y853" s="107"/>
      <c r="Z853" s="107"/>
      <c r="AA853" s="107"/>
      <c r="AB853" s="107"/>
      <c r="AC853" s="107"/>
      <c r="AD853" s="107"/>
      <c r="AE853" s="107"/>
      <c r="AF853" s="107"/>
      <c r="AG853" s="107"/>
      <c r="AH853" s="107"/>
      <c r="AI853" s="107"/>
    </row>
    <row r="854" spans="24:35">
      <c r="X854" s="107"/>
      <c r="Y854" s="107"/>
      <c r="Z854" s="107"/>
      <c r="AA854" s="107"/>
      <c r="AB854" s="107"/>
      <c r="AC854" s="107"/>
      <c r="AD854" s="107"/>
      <c r="AE854" s="107"/>
      <c r="AF854" s="107"/>
      <c r="AG854" s="107"/>
      <c r="AH854" s="107"/>
      <c r="AI854" s="107"/>
    </row>
    <row r="855" spans="24:35">
      <c r="X855" s="107"/>
      <c r="Y855" s="107"/>
      <c r="Z855" s="107"/>
      <c r="AA855" s="107"/>
      <c r="AB855" s="107"/>
      <c r="AC855" s="107"/>
      <c r="AD855" s="107"/>
      <c r="AE855" s="107"/>
      <c r="AF855" s="107"/>
      <c r="AG855" s="107"/>
      <c r="AH855" s="107"/>
      <c r="AI855" s="107"/>
    </row>
    <row r="856" spans="24:35">
      <c r="X856" s="107"/>
      <c r="Y856" s="107"/>
      <c r="Z856" s="107"/>
      <c r="AA856" s="107"/>
      <c r="AB856" s="107"/>
      <c r="AC856" s="107"/>
      <c r="AD856" s="107"/>
      <c r="AE856" s="107"/>
      <c r="AF856" s="107"/>
      <c r="AG856" s="107"/>
      <c r="AH856" s="107"/>
      <c r="AI856" s="107"/>
    </row>
    <row r="857" spans="24:35">
      <c r="X857" s="107"/>
      <c r="Y857" s="107"/>
      <c r="Z857" s="107"/>
      <c r="AA857" s="107"/>
      <c r="AB857" s="107"/>
      <c r="AC857" s="107"/>
      <c r="AD857" s="107"/>
      <c r="AE857" s="107"/>
      <c r="AF857" s="107"/>
      <c r="AG857" s="107"/>
      <c r="AH857" s="107"/>
      <c r="AI857" s="107"/>
    </row>
    <row r="858" spans="24:35">
      <c r="X858" s="107"/>
      <c r="Y858" s="107"/>
      <c r="Z858" s="107"/>
      <c r="AA858" s="107"/>
      <c r="AB858" s="107"/>
      <c r="AC858" s="107"/>
      <c r="AD858" s="107"/>
      <c r="AE858" s="107"/>
      <c r="AF858" s="107"/>
      <c r="AG858" s="107"/>
      <c r="AH858" s="107"/>
      <c r="AI858" s="107"/>
    </row>
    <row r="859" spans="24:35">
      <c r="X859" s="107"/>
      <c r="Y859" s="107"/>
      <c r="Z859" s="107"/>
      <c r="AA859" s="107"/>
      <c r="AB859" s="107"/>
      <c r="AC859" s="107"/>
      <c r="AD859" s="107"/>
      <c r="AE859" s="107"/>
      <c r="AF859" s="107"/>
      <c r="AG859" s="107"/>
      <c r="AH859" s="107"/>
      <c r="AI859" s="107"/>
    </row>
    <row r="860" spans="24:35">
      <c r="X860" s="107"/>
      <c r="Y860" s="107"/>
      <c r="Z860" s="107"/>
      <c r="AA860" s="107"/>
      <c r="AB860" s="107"/>
      <c r="AC860" s="107"/>
      <c r="AD860" s="107"/>
      <c r="AE860" s="107"/>
      <c r="AF860" s="107"/>
      <c r="AG860" s="107"/>
      <c r="AH860" s="107"/>
      <c r="AI860" s="107"/>
    </row>
    <row r="861" spans="24:35">
      <c r="X861" s="107"/>
      <c r="Y861" s="107"/>
      <c r="Z861" s="107"/>
      <c r="AA861" s="107"/>
      <c r="AB861" s="107"/>
      <c r="AC861" s="107"/>
      <c r="AD861" s="107"/>
      <c r="AE861" s="107"/>
      <c r="AF861" s="107"/>
      <c r="AG861" s="107"/>
      <c r="AH861" s="107"/>
      <c r="AI861" s="107"/>
    </row>
    <row r="862" spans="24:35">
      <c r="X862" s="107"/>
      <c r="Y862" s="107"/>
      <c r="Z862" s="107"/>
      <c r="AA862" s="107"/>
      <c r="AB862" s="107"/>
      <c r="AC862" s="107"/>
      <c r="AD862" s="107"/>
      <c r="AE862" s="107"/>
      <c r="AF862" s="107"/>
      <c r="AG862" s="107"/>
      <c r="AH862" s="107"/>
      <c r="AI862" s="107"/>
    </row>
    <row r="863" spans="24:35">
      <c r="X863" s="107"/>
      <c r="Y863" s="107"/>
      <c r="Z863" s="107"/>
      <c r="AA863" s="107"/>
      <c r="AB863" s="107"/>
      <c r="AC863" s="107"/>
      <c r="AD863" s="107"/>
      <c r="AE863" s="107"/>
      <c r="AF863" s="107"/>
      <c r="AG863" s="107"/>
      <c r="AH863" s="107"/>
      <c r="AI863" s="107"/>
    </row>
    <row r="864" spans="24:35">
      <c r="X864" s="107"/>
      <c r="Y864" s="107"/>
      <c r="Z864" s="107"/>
      <c r="AA864" s="107"/>
      <c r="AB864" s="107"/>
      <c r="AC864" s="107"/>
      <c r="AD864" s="107"/>
      <c r="AE864" s="107"/>
      <c r="AF864" s="107"/>
      <c r="AG864" s="107"/>
      <c r="AH864" s="107"/>
      <c r="AI864" s="107"/>
    </row>
    <row r="865" spans="24:35">
      <c r="X865" s="107"/>
      <c r="Y865" s="107"/>
      <c r="Z865" s="107"/>
      <c r="AA865" s="107"/>
      <c r="AB865" s="107"/>
      <c r="AC865" s="107"/>
      <c r="AD865" s="107"/>
      <c r="AE865" s="107"/>
      <c r="AF865" s="107"/>
      <c r="AG865" s="107"/>
      <c r="AH865" s="107"/>
      <c r="AI865" s="107"/>
    </row>
    <row r="866" spans="24:35">
      <c r="X866" s="107"/>
      <c r="Y866" s="107"/>
      <c r="Z866" s="107"/>
      <c r="AA866" s="107"/>
      <c r="AB866" s="107"/>
      <c r="AC866" s="107"/>
      <c r="AD866" s="107"/>
      <c r="AE866" s="107"/>
      <c r="AF866" s="107"/>
      <c r="AG866" s="107"/>
      <c r="AH866" s="107"/>
      <c r="AI866" s="107"/>
    </row>
    <row r="867" spans="24:35">
      <c r="X867" s="107"/>
      <c r="Y867" s="107"/>
      <c r="Z867" s="107"/>
      <c r="AA867" s="107"/>
      <c r="AB867" s="107"/>
      <c r="AC867" s="107"/>
      <c r="AD867" s="107"/>
      <c r="AE867" s="107"/>
      <c r="AF867" s="107"/>
      <c r="AG867" s="107"/>
      <c r="AH867" s="107"/>
      <c r="AI867" s="107"/>
    </row>
    <row r="868" spans="24:35">
      <c r="X868" s="107"/>
      <c r="Y868" s="107"/>
      <c r="Z868" s="107"/>
      <c r="AA868" s="107"/>
      <c r="AB868" s="107"/>
      <c r="AC868" s="107"/>
      <c r="AD868" s="107"/>
      <c r="AE868" s="107"/>
      <c r="AF868" s="107"/>
      <c r="AG868" s="107"/>
      <c r="AH868" s="107"/>
      <c r="AI868" s="107"/>
    </row>
    <row r="869" spans="24:35">
      <c r="X869" s="107"/>
      <c r="Y869" s="107"/>
      <c r="Z869" s="107"/>
      <c r="AA869" s="107"/>
      <c r="AB869" s="107"/>
      <c r="AC869" s="107"/>
      <c r="AD869" s="107"/>
      <c r="AE869" s="107"/>
      <c r="AF869" s="107"/>
      <c r="AG869" s="107"/>
      <c r="AH869" s="107"/>
      <c r="AI869" s="107"/>
    </row>
    <row r="870" spans="24:35">
      <c r="X870" s="107"/>
      <c r="Y870" s="107"/>
      <c r="Z870" s="107"/>
      <c r="AA870" s="107"/>
      <c r="AB870" s="107"/>
      <c r="AC870" s="107"/>
      <c r="AD870" s="107"/>
      <c r="AE870" s="107"/>
      <c r="AF870" s="107"/>
      <c r="AG870" s="107"/>
      <c r="AH870" s="107"/>
      <c r="AI870" s="107"/>
    </row>
    <row r="871" spans="24:35">
      <c r="X871" s="107"/>
      <c r="Y871" s="107"/>
      <c r="Z871" s="107"/>
      <c r="AA871" s="107"/>
      <c r="AB871" s="107"/>
      <c r="AC871" s="107"/>
      <c r="AD871" s="107"/>
      <c r="AE871" s="107"/>
      <c r="AF871" s="107"/>
      <c r="AG871" s="107"/>
      <c r="AH871" s="107"/>
      <c r="AI871" s="107"/>
    </row>
    <row r="872" spans="24:35">
      <c r="X872" s="107"/>
      <c r="Y872" s="107"/>
      <c r="Z872" s="107"/>
      <c r="AA872" s="107"/>
      <c r="AB872" s="107"/>
      <c r="AC872" s="107"/>
      <c r="AD872" s="107"/>
      <c r="AE872" s="107"/>
      <c r="AF872" s="107"/>
      <c r="AG872" s="107"/>
      <c r="AH872" s="107"/>
      <c r="AI872" s="107"/>
    </row>
    <row r="873" spans="24:35">
      <c r="X873" s="107"/>
      <c r="Y873" s="107"/>
      <c r="Z873" s="107"/>
      <c r="AA873" s="107"/>
      <c r="AB873" s="107"/>
      <c r="AC873" s="107"/>
      <c r="AD873" s="107"/>
      <c r="AE873" s="107"/>
      <c r="AF873" s="107"/>
      <c r="AG873" s="107"/>
      <c r="AH873" s="107"/>
      <c r="AI873" s="107"/>
    </row>
    <row r="874" spans="24:35">
      <c r="X874" s="107"/>
      <c r="Y874" s="107"/>
      <c r="Z874" s="107"/>
      <c r="AA874" s="107"/>
      <c r="AB874" s="107"/>
      <c r="AC874" s="107"/>
      <c r="AD874" s="107"/>
      <c r="AE874" s="107"/>
      <c r="AF874" s="107"/>
      <c r="AG874" s="107"/>
      <c r="AH874" s="107"/>
      <c r="AI874" s="107"/>
    </row>
    <row r="875" spans="24:35">
      <c r="X875" s="107"/>
      <c r="Y875" s="107"/>
      <c r="Z875" s="107"/>
      <c r="AA875" s="107"/>
      <c r="AB875" s="107"/>
      <c r="AC875" s="107"/>
      <c r="AD875" s="107"/>
      <c r="AE875" s="107"/>
      <c r="AF875" s="107"/>
      <c r="AG875" s="107"/>
      <c r="AH875" s="107"/>
      <c r="AI875" s="107"/>
    </row>
    <row r="876" spans="24:35">
      <c r="X876" s="107"/>
      <c r="Y876" s="107"/>
      <c r="Z876" s="107"/>
      <c r="AA876" s="107"/>
      <c r="AB876" s="107"/>
      <c r="AC876" s="107"/>
      <c r="AD876" s="107"/>
      <c r="AE876" s="107"/>
      <c r="AF876" s="107"/>
      <c r="AG876" s="107"/>
      <c r="AH876" s="107"/>
      <c r="AI876" s="107"/>
    </row>
    <row r="877" spans="24:35">
      <c r="X877" s="107"/>
      <c r="Y877" s="107"/>
      <c r="Z877" s="107"/>
      <c r="AA877" s="107"/>
      <c r="AB877" s="107"/>
      <c r="AC877" s="107"/>
      <c r="AD877" s="107"/>
      <c r="AE877" s="107"/>
      <c r="AF877" s="107"/>
      <c r="AG877" s="107"/>
      <c r="AH877" s="107"/>
      <c r="AI877" s="107"/>
    </row>
    <row r="878" spans="24:35">
      <c r="X878" s="107"/>
      <c r="Y878" s="107"/>
      <c r="Z878" s="107"/>
      <c r="AA878" s="107"/>
      <c r="AB878" s="107"/>
      <c r="AC878" s="107"/>
      <c r="AD878" s="107"/>
      <c r="AE878" s="107"/>
      <c r="AF878" s="107"/>
      <c r="AG878" s="107"/>
      <c r="AH878" s="107"/>
      <c r="AI878" s="107"/>
    </row>
    <row r="879" spans="24:35">
      <c r="X879" s="107"/>
      <c r="Y879" s="107"/>
      <c r="Z879" s="107"/>
      <c r="AA879" s="107"/>
      <c r="AB879" s="107"/>
      <c r="AC879" s="107"/>
      <c r="AD879" s="107"/>
      <c r="AE879" s="107"/>
      <c r="AF879" s="107"/>
      <c r="AG879" s="107"/>
      <c r="AH879" s="107"/>
      <c r="AI879" s="107"/>
    </row>
    <row r="880" spans="24:35">
      <c r="X880" s="107"/>
      <c r="Y880" s="107"/>
      <c r="Z880" s="107"/>
      <c r="AA880" s="107"/>
      <c r="AB880" s="107"/>
      <c r="AC880" s="107"/>
      <c r="AD880" s="107"/>
      <c r="AE880" s="107"/>
      <c r="AF880" s="107"/>
      <c r="AG880" s="107"/>
      <c r="AH880" s="107"/>
      <c r="AI880" s="107"/>
    </row>
    <row r="881" spans="24:35">
      <c r="X881" s="107"/>
      <c r="Y881" s="107"/>
      <c r="Z881" s="107"/>
      <c r="AA881" s="107"/>
      <c r="AB881" s="107"/>
      <c r="AC881" s="107"/>
      <c r="AD881" s="107"/>
      <c r="AE881" s="107"/>
      <c r="AF881" s="107"/>
      <c r="AG881" s="107"/>
      <c r="AH881" s="107"/>
      <c r="AI881" s="107"/>
    </row>
    <row r="882" spans="24:35">
      <c r="X882" s="107"/>
      <c r="Y882" s="107"/>
      <c r="Z882" s="107"/>
      <c r="AA882" s="107"/>
      <c r="AB882" s="107"/>
      <c r="AC882" s="107"/>
      <c r="AD882" s="107"/>
      <c r="AE882" s="107"/>
      <c r="AF882" s="107"/>
      <c r="AG882" s="107"/>
      <c r="AH882" s="107"/>
      <c r="AI882" s="107"/>
    </row>
    <row r="883" spans="24:35">
      <c r="X883" s="107"/>
      <c r="Y883" s="107"/>
      <c r="Z883" s="107"/>
      <c r="AA883" s="107"/>
      <c r="AB883" s="107"/>
      <c r="AC883" s="107"/>
      <c r="AD883" s="107"/>
      <c r="AE883" s="107"/>
      <c r="AF883" s="107"/>
      <c r="AG883" s="107"/>
      <c r="AH883" s="107"/>
      <c r="AI883" s="107"/>
    </row>
    <row r="884" spans="24:35">
      <c r="X884" s="107"/>
      <c r="Y884" s="107"/>
      <c r="Z884" s="107"/>
      <c r="AA884" s="107"/>
      <c r="AB884" s="107"/>
      <c r="AC884" s="107"/>
      <c r="AD884" s="107"/>
      <c r="AE884" s="107"/>
      <c r="AF884" s="107"/>
      <c r="AG884" s="107"/>
      <c r="AH884" s="107"/>
      <c r="AI884" s="107"/>
    </row>
    <row r="885" spans="24:35">
      <c r="X885" s="107"/>
      <c r="Y885" s="107"/>
      <c r="Z885" s="107"/>
      <c r="AA885" s="107"/>
      <c r="AB885" s="107"/>
      <c r="AC885" s="107"/>
      <c r="AD885" s="107"/>
      <c r="AE885" s="107"/>
      <c r="AF885" s="107"/>
      <c r="AG885" s="107"/>
      <c r="AH885" s="107"/>
      <c r="AI885" s="107"/>
    </row>
    <row r="886" spans="24:35">
      <c r="X886" s="107"/>
      <c r="Y886" s="107"/>
      <c r="Z886" s="107"/>
      <c r="AA886" s="107"/>
      <c r="AB886" s="107"/>
      <c r="AC886" s="107"/>
      <c r="AD886" s="107"/>
      <c r="AE886" s="107"/>
      <c r="AF886" s="107"/>
      <c r="AG886" s="107"/>
      <c r="AH886" s="107"/>
      <c r="AI886" s="107"/>
    </row>
    <row r="887" spans="24:35">
      <c r="X887" s="107"/>
      <c r="Y887" s="107"/>
      <c r="Z887" s="107"/>
      <c r="AA887" s="107"/>
      <c r="AB887" s="107"/>
      <c r="AC887" s="107"/>
      <c r="AD887" s="107"/>
      <c r="AE887" s="107"/>
      <c r="AF887" s="107"/>
      <c r="AG887" s="107"/>
      <c r="AH887" s="107"/>
      <c r="AI887" s="107"/>
    </row>
    <row r="888" spans="24:35">
      <c r="X888" s="107"/>
      <c r="Y888" s="107"/>
      <c r="Z888" s="107"/>
      <c r="AA888" s="107"/>
      <c r="AB888" s="107"/>
      <c r="AC888" s="107"/>
      <c r="AD888" s="107"/>
      <c r="AE888" s="107"/>
      <c r="AF888" s="107"/>
      <c r="AG888" s="107"/>
      <c r="AH888" s="107"/>
      <c r="AI888" s="107"/>
    </row>
    <row r="889" spans="24:35">
      <c r="X889" s="107"/>
      <c r="Y889" s="107"/>
      <c r="Z889" s="107"/>
      <c r="AA889" s="107"/>
      <c r="AB889" s="107"/>
      <c r="AC889" s="107"/>
      <c r="AD889" s="107"/>
      <c r="AE889" s="107"/>
      <c r="AF889" s="107"/>
      <c r="AG889" s="107"/>
      <c r="AH889" s="107"/>
      <c r="AI889" s="107"/>
    </row>
    <row r="890" spans="24:35">
      <c r="X890" s="107"/>
      <c r="Y890" s="107"/>
      <c r="Z890" s="107"/>
      <c r="AA890" s="107"/>
      <c r="AB890" s="107"/>
      <c r="AC890" s="107"/>
      <c r="AD890" s="107"/>
      <c r="AE890" s="107"/>
      <c r="AF890" s="107"/>
      <c r="AG890" s="107"/>
      <c r="AH890" s="107"/>
      <c r="AI890" s="107"/>
    </row>
    <row r="891" spans="24:35">
      <c r="X891" s="107"/>
      <c r="Y891" s="107"/>
      <c r="Z891" s="107"/>
      <c r="AA891" s="107"/>
      <c r="AB891" s="107"/>
      <c r="AC891" s="107"/>
      <c r="AD891" s="107"/>
      <c r="AE891" s="107"/>
      <c r="AF891" s="107"/>
      <c r="AG891" s="107"/>
      <c r="AH891" s="107"/>
      <c r="AI891" s="107"/>
    </row>
    <row r="892" spans="24:35">
      <c r="X892" s="107"/>
      <c r="Y892" s="107"/>
      <c r="Z892" s="107"/>
      <c r="AA892" s="107"/>
      <c r="AB892" s="107"/>
      <c r="AC892" s="107"/>
      <c r="AD892" s="107"/>
      <c r="AE892" s="107"/>
      <c r="AF892" s="107"/>
      <c r="AG892" s="107"/>
      <c r="AH892" s="107"/>
      <c r="AI892" s="107"/>
    </row>
    <row r="893" spans="24:35">
      <c r="X893" s="107"/>
      <c r="Y893" s="107"/>
      <c r="Z893" s="107"/>
      <c r="AA893" s="107"/>
      <c r="AB893" s="107"/>
      <c r="AC893" s="107"/>
      <c r="AD893" s="107"/>
      <c r="AE893" s="107"/>
      <c r="AF893" s="107"/>
      <c r="AG893" s="107"/>
      <c r="AH893" s="107"/>
      <c r="AI893" s="107"/>
    </row>
    <row r="894" spans="24:35">
      <c r="X894" s="107"/>
      <c r="Y894" s="107"/>
      <c r="Z894" s="107"/>
      <c r="AA894" s="107"/>
      <c r="AB894" s="107"/>
      <c r="AC894" s="107"/>
      <c r="AD894" s="107"/>
      <c r="AE894" s="107"/>
      <c r="AF894" s="107"/>
      <c r="AG894" s="107"/>
      <c r="AH894" s="107"/>
      <c r="AI894" s="107"/>
    </row>
    <row r="895" spans="24:35">
      <c r="X895" s="107"/>
      <c r="Y895" s="107"/>
      <c r="Z895" s="107"/>
      <c r="AA895" s="107"/>
      <c r="AB895" s="107"/>
      <c r="AC895" s="107"/>
      <c r="AD895" s="107"/>
      <c r="AE895" s="107"/>
      <c r="AF895" s="107"/>
      <c r="AG895" s="107"/>
      <c r="AH895" s="107"/>
      <c r="AI895" s="107"/>
    </row>
    <row r="896" spans="24:35">
      <c r="X896" s="107"/>
      <c r="Y896" s="107"/>
      <c r="Z896" s="107"/>
      <c r="AA896" s="107"/>
      <c r="AB896" s="107"/>
      <c r="AC896" s="107"/>
      <c r="AD896" s="107"/>
      <c r="AE896" s="107"/>
      <c r="AF896" s="107"/>
      <c r="AG896" s="107"/>
      <c r="AH896" s="107"/>
      <c r="AI896" s="107"/>
    </row>
    <row r="897" spans="24:35">
      <c r="X897" s="107"/>
      <c r="Y897" s="107"/>
      <c r="Z897" s="107"/>
      <c r="AA897" s="107"/>
      <c r="AB897" s="107"/>
      <c r="AC897" s="107"/>
      <c r="AD897" s="107"/>
      <c r="AE897" s="107"/>
      <c r="AF897" s="107"/>
      <c r="AG897" s="107"/>
      <c r="AH897" s="107"/>
      <c r="AI897" s="107"/>
    </row>
    <row r="898" spans="24:35">
      <c r="X898" s="107"/>
      <c r="Y898" s="107"/>
      <c r="Z898" s="107"/>
      <c r="AA898" s="107"/>
      <c r="AB898" s="107"/>
      <c r="AC898" s="107"/>
      <c r="AD898" s="107"/>
      <c r="AE898" s="107"/>
      <c r="AF898" s="107"/>
      <c r="AG898" s="107"/>
      <c r="AH898" s="107"/>
      <c r="AI898" s="107"/>
    </row>
    <row r="899" spans="24:35">
      <c r="X899" s="107"/>
      <c r="Y899" s="107"/>
      <c r="Z899" s="107"/>
      <c r="AA899" s="107"/>
      <c r="AB899" s="107"/>
      <c r="AC899" s="107"/>
      <c r="AD899" s="107"/>
      <c r="AE899" s="107"/>
      <c r="AF899" s="107"/>
      <c r="AG899" s="107"/>
      <c r="AH899" s="107"/>
      <c r="AI899" s="107"/>
    </row>
    <row r="900" spans="24:35">
      <c r="X900" s="107"/>
      <c r="Y900" s="107"/>
      <c r="Z900" s="107"/>
      <c r="AA900" s="107"/>
      <c r="AB900" s="107"/>
      <c r="AC900" s="107"/>
      <c r="AD900" s="107"/>
      <c r="AE900" s="107"/>
      <c r="AF900" s="107"/>
      <c r="AG900" s="107"/>
      <c r="AH900" s="107"/>
      <c r="AI900" s="107"/>
    </row>
    <row r="901" spans="24:35">
      <c r="X901" s="107"/>
      <c r="Y901" s="107"/>
      <c r="Z901" s="107"/>
      <c r="AA901" s="107"/>
      <c r="AB901" s="107"/>
      <c r="AC901" s="107"/>
      <c r="AD901" s="107"/>
      <c r="AE901" s="107"/>
      <c r="AF901" s="107"/>
      <c r="AG901" s="107"/>
      <c r="AH901" s="107"/>
      <c r="AI901" s="107"/>
    </row>
    <row r="902" spans="24:35">
      <c r="X902" s="107"/>
      <c r="Y902" s="107"/>
      <c r="Z902" s="107"/>
      <c r="AA902" s="107"/>
      <c r="AB902" s="107"/>
      <c r="AC902" s="107"/>
      <c r="AD902" s="107"/>
      <c r="AE902" s="107"/>
      <c r="AF902" s="107"/>
      <c r="AG902" s="107"/>
      <c r="AH902" s="107"/>
      <c r="AI902" s="107"/>
    </row>
    <row r="903" spans="24:35">
      <c r="X903" s="107"/>
      <c r="Y903" s="107"/>
      <c r="Z903" s="107"/>
      <c r="AA903" s="107"/>
      <c r="AB903" s="107"/>
      <c r="AC903" s="107"/>
      <c r="AD903" s="107"/>
      <c r="AE903" s="107"/>
      <c r="AF903" s="107"/>
      <c r="AG903" s="107"/>
      <c r="AH903" s="107"/>
      <c r="AI903" s="107"/>
    </row>
    <row r="904" spans="24:35">
      <c r="X904" s="107"/>
      <c r="Y904" s="107"/>
      <c r="Z904" s="107"/>
      <c r="AA904" s="107"/>
      <c r="AB904" s="107"/>
      <c r="AC904" s="107"/>
      <c r="AD904" s="107"/>
      <c r="AE904" s="107"/>
      <c r="AF904" s="107"/>
      <c r="AG904" s="107"/>
      <c r="AH904" s="107"/>
      <c r="AI904" s="107"/>
    </row>
    <row r="905" spans="24:35">
      <c r="X905" s="107"/>
      <c r="Y905" s="107"/>
      <c r="Z905" s="107"/>
      <c r="AA905" s="107"/>
      <c r="AB905" s="107"/>
      <c r="AC905" s="107"/>
      <c r="AD905" s="107"/>
      <c r="AE905" s="107"/>
      <c r="AF905" s="107"/>
      <c r="AG905" s="107"/>
      <c r="AH905" s="107"/>
      <c r="AI905" s="107"/>
    </row>
    <row r="906" spans="24:35">
      <c r="X906" s="107"/>
      <c r="Y906" s="107"/>
      <c r="Z906" s="107"/>
      <c r="AA906" s="107"/>
      <c r="AB906" s="107"/>
      <c r="AC906" s="107"/>
      <c r="AD906" s="107"/>
      <c r="AE906" s="107"/>
      <c r="AF906" s="107"/>
      <c r="AG906" s="107"/>
      <c r="AH906" s="107"/>
      <c r="AI906" s="107"/>
    </row>
    <row r="907" spans="24:35">
      <c r="X907" s="107"/>
      <c r="Y907" s="107"/>
      <c r="Z907" s="107"/>
      <c r="AA907" s="107"/>
      <c r="AB907" s="107"/>
      <c r="AC907" s="107"/>
      <c r="AD907" s="107"/>
      <c r="AE907" s="107"/>
      <c r="AF907" s="107"/>
      <c r="AG907" s="107"/>
      <c r="AH907" s="107"/>
      <c r="AI907" s="107"/>
    </row>
    <row r="908" spans="24:35">
      <c r="X908" s="107"/>
      <c r="Y908" s="107"/>
      <c r="Z908" s="107"/>
      <c r="AA908" s="107"/>
      <c r="AB908" s="107"/>
      <c r="AC908" s="107"/>
      <c r="AD908" s="107"/>
      <c r="AE908" s="107"/>
      <c r="AF908" s="107"/>
      <c r="AG908" s="107"/>
      <c r="AH908" s="107"/>
      <c r="AI908" s="107"/>
    </row>
    <row r="909" spans="24:35">
      <c r="X909" s="107"/>
      <c r="Y909" s="107"/>
      <c r="Z909" s="107"/>
      <c r="AA909" s="107"/>
      <c r="AB909" s="107"/>
      <c r="AC909" s="107"/>
      <c r="AD909" s="107"/>
      <c r="AE909" s="107"/>
      <c r="AF909" s="107"/>
      <c r="AG909" s="107"/>
      <c r="AH909" s="107"/>
      <c r="AI909" s="107"/>
    </row>
    <row r="910" spans="24:35">
      <c r="X910" s="107"/>
      <c r="Y910" s="107"/>
      <c r="Z910" s="107"/>
      <c r="AA910" s="107"/>
      <c r="AB910" s="107"/>
      <c r="AC910" s="107"/>
      <c r="AD910" s="107"/>
      <c r="AE910" s="107"/>
      <c r="AF910" s="107"/>
      <c r="AG910" s="107"/>
      <c r="AH910" s="107"/>
      <c r="AI910" s="107"/>
    </row>
    <row r="911" spans="24:35">
      <c r="X911" s="107"/>
      <c r="Y911" s="107"/>
      <c r="Z911" s="107"/>
      <c r="AA911" s="107"/>
      <c r="AB911" s="107"/>
      <c r="AC911" s="107"/>
      <c r="AD911" s="107"/>
      <c r="AE911" s="107"/>
      <c r="AF911" s="107"/>
      <c r="AG911" s="107"/>
      <c r="AH911" s="107"/>
      <c r="AI911" s="107"/>
    </row>
    <row r="912" spans="24:35">
      <c r="X912" s="107"/>
      <c r="Y912" s="107"/>
      <c r="Z912" s="107"/>
      <c r="AA912" s="107"/>
      <c r="AB912" s="107"/>
      <c r="AC912" s="107"/>
      <c r="AD912" s="107"/>
      <c r="AE912" s="107"/>
      <c r="AF912" s="107"/>
      <c r="AG912" s="107"/>
      <c r="AH912" s="107"/>
      <c r="AI912" s="107"/>
    </row>
    <row r="913" spans="24:35">
      <c r="X913" s="107"/>
      <c r="Y913" s="107"/>
      <c r="Z913" s="107"/>
      <c r="AA913" s="107"/>
      <c r="AB913" s="107"/>
      <c r="AC913" s="107"/>
      <c r="AD913" s="107"/>
      <c r="AE913" s="107"/>
      <c r="AF913" s="107"/>
      <c r="AG913" s="107"/>
      <c r="AH913" s="107"/>
      <c r="AI913" s="107"/>
    </row>
    <row r="914" spans="24:35">
      <c r="X914" s="107"/>
      <c r="Y914" s="107"/>
      <c r="Z914" s="107"/>
      <c r="AA914" s="107"/>
      <c r="AB914" s="107"/>
      <c r="AC914" s="107"/>
      <c r="AD914" s="107"/>
      <c r="AE914" s="107"/>
      <c r="AF914" s="107"/>
      <c r="AG914" s="107"/>
      <c r="AH914" s="107"/>
      <c r="AI914" s="107"/>
    </row>
    <row r="915" spans="24:35">
      <c r="X915" s="107"/>
      <c r="Y915" s="107"/>
      <c r="Z915" s="107"/>
      <c r="AA915" s="107"/>
      <c r="AB915" s="107"/>
      <c r="AC915" s="107"/>
      <c r="AD915" s="107"/>
      <c r="AE915" s="107"/>
      <c r="AF915" s="107"/>
      <c r="AG915" s="107"/>
      <c r="AH915" s="107"/>
      <c r="AI915" s="107"/>
    </row>
    <row r="916" spans="24:35">
      <c r="X916" s="107"/>
      <c r="Y916" s="107"/>
      <c r="Z916" s="107"/>
      <c r="AA916" s="107"/>
      <c r="AB916" s="107"/>
      <c r="AC916" s="107"/>
      <c r="AD916" s="107"/>
      <c r="AE916" s="107"/>
      <c r="AF916" s="107"/>
      <c r="AG916" s="107"/>
      <c r="AH916" s="107"/>
      <c r="AI916" s="107"/>
    </row>
    <row r="917" spans="24:35">
      <c r="X917" s="107"/>
      <c r="Y917" s="107"/>
      <c r="Z917" s="107"/>
      <c r="AA917" s="107"/>
      <c r="AB917" s="107"/>
      <c r="AC917" s="107"/>
      <c r="AD917" s="107"/>
      <c r="AE917" s="107"/>
      <c r="AF917" s="107"/>
      <c r="AG917" s="107"/>
      <c r="AH917" s="107"/>
      <c r="AI917" s="107"/>
    </row>
    <row r="918" spans="24:35">
      <c r="X918" s="107"/>
      <c r="Y918" s="107"/>
      <c r="Z918" s="107"/>
      <c r="AA918" s="107"/>
      <c r="AB918" s="107"/>
      <c r="AC918" s="107"/>
      <c r="AD918" s="107"/>
      <c r="AE918" s="107"/>
      <c r="AF918" s="107"/>
      <c r="AG918" s="107"/>
      <c r="AH918" s="107"/>
      <c r="AI918" s="107"/>
    </row>
    <row r="919" spans="24:35">
      <c r="X919" s="107"/>
      <c r="Y919" s="107"/>
      <c r="Z919" s="107"/>
      <c r="AA919" s="107"/>
      <c r="AB919" s="107"/>
      <c r="AC919" s="107"/>
      <c r="AD919" s="107"/>
      <c r="AE919" s="107"/>
      <c r="AF919" s="107"/>
      <c r="AG919" s="107"/>
      <c r="AH919" s="107"/>
      <c r="AI919" s="107"/>
    </row>
    <row r="920" spans="24:35">
      <c r="X920" s="107"/>
      <c r="Y920" s="107"/>
      <c r="Z920" s="107"/>
      <c r="AA920" s="107"/>
      <c r="AB920" s="107"/>
      <c r="AC920" s="107"/>
      <c r="AD920" s="107"/>
      <c r="AE920" s="107"/>
      <c r="AF920" s="107"/>
      <c r="AG920" s="107"/>
      <c r="AH920" s="107"/>
      <c r="AI920" s="107"/>
    </row>
    <row r="921" spans="24:35">
      <c r="X921" s="107"/>
      <c r="Y921" s="107"/>
      <c r="Z921" s="107"/>
      <c r="AA921" s="107"/>
      <c r="AB921" s="107"/>
      <c r="AC921" s="107"/>
      <c r="AD921" s="107"/>
      <c r="AE921" s="107"/>
      <c r="AF921" s="107"/>
      <c r="AG921" s="107"/>
      <c r="AH921" s="107"/>
      <c r="AI921" s="107"/>
    </row>
    <row r="922" spans="24:35">
      <c r="X922" s="107"/>
      <c r="Y922" s="107"/>
      <c r="Z922" s="107"/>
      <c r="AA922" s="107"/>
      <c r="AB922" s="107"/>
      <c r="AC922" s="107"/>
      <c r="AD922" s="107"/>
      <c r="AE922" s="107"/>
      <c r="AF922" s="107"/>
      <c r="AG922" s="107"/>
      <c r="AH922" s="107"/>
      <c r="AI922" s="107"/>
    </row>
    <row r="923" spans="24:35">
      <c r="X923" s="107"/>
      <c r="Y923" s="107"/>
      <c r="Z923" s="107"/>
      <c r="AA923" s="107"/>
      <c r="AB923" s="107"/>
      <c r="AC923" s="107"/>
      <c r="AD923" s="107"/>
      <c r="AE923" s="107"/>
      <c r="AF923" s="107"/>
      <c r="AG923" s="107"/>
      <c r="AH923" s="107"/>
      <c r="AI923" s="107"/>
    </row>
    <row r="924" spans="24:35">
      <c r="X924" s="107"/>
      <c r="Y924" s="107"/>
      <c r="Z924" s="107"/>
      <c r="AA924" s="107"/>
      <c r="AB924" s="107"/>
      <c r="AC924" s="107"/>
      <c r="AD924" s="107"/>
      <c r="AE924" s="107"/>
      <c r="AF924" s="107"/>
      <c r="AG924" s="107"/>
      <c r="AH924" s="107"/>
      <c r="AI924" s="107"/>
    </row>
    <row r="925" spans="24:35">
      <c r="X925" s="107"/>
      <c r="Y925" s="107"/>
      <c r="Z925" s="107"/>
      <c r="AA925" s="107"/>
      <c r="AB925" s="107"/>
      <c r="AC925" s="107"/>
      <c r="AD925" s="107"/>
      <c r="AE925" s="107"/>
      <c r="AF925" s="107"/>
      <c r="AG925" s="107"/>
      <c r="AH925" s="107"/>
      <c r="AI925" s="107"/>
    </row>
    <row r="926" spans="24:35">
      <c r="X926" s="107"/>
      <c r="Y926" s="107"/>
      <c r="Z926" s="107"/>
      <c r="AA926" s="107"/>
      <c r="AB926" s="107"/>
      <c r="AC926" s="107"/>
      <c r="AD926" s="107"/>
      <c r="AE926" s="107"/>
      <c r="AF926" s="107"/>
      <c r="AG926" s="107"/>
      <c r="AH926" s="107"/>
      <c r="AI926" s="107"/>
    </row>
    <row r="927" spans="24:35">
      <c r="X927" s="107"/>
      <c r="Y927" s="107"/>
      <c r="Z927" s="107"/>
      <c r="AA927" s="107"/>
      <c r="AB927" s="107"/>
      <c r="AC927" s="107"/>
      <c r="AD927" s="107"/>
      <c r="AE927" s="107"/>
      <c r="AF927" s="107"/>
      <c r="AG927" s="107"/>
      <c r="AH927" s="107"/>
      <c r="AI927" s="107"/>
    </row>
    <row r="928" spans="24:35">
      <c r="X928" s="107"/>
      <c r="Y928" s="107"/>
      <c r="Z928" s="107"/>
      <c r="AA928" s="107"/>
      <c r="AB928" s="107"/>
      <c r="AC928" s="107"/>
      <c r="AD928" s="107"/>
      <c r="AE928" s="107"/>
      <c r="AF928" s="107"/>
      <c r="AG928" s="107"/>
      <c r="AH928" s="107"/>
      <c r="AI928" s="107"/>
    </row>
    <row r="929" spans="24:35">
      <c r="X929" s="107"/>
      <c r="Y929" s="107"/>
      <c r="Z929" s="107"/>
      <c r="AA929" s="107"/>
      <c r="AB929" s="107"/>
      <c r="AC929" s="107"/>
      <c r="AD929" s="107"/>
      <c r="AE929" s="107"/>
      <c r="AF929" s="107"/>
      <c r="AG929" s="107"/>
      <c r="AH929" s="107"/>
      <c r="AI929" s="107"/>
    </row>
    <row r="930" spans="24:35">
      <c r="X930" s="107"/>
      <c r="Y930" s="107"/>
      <c r="Z930" s="107"/>
      <c r="AA930" s="107"/>
      <c r="AB930" s="107"/>
      <c r="AC930" s="107"/>
      <c r="AD930" s="107"/>
      <c r="AE930" s="107"/>
      <c r="AF930" s="107"/>
      <c r="AG930" s="107"/>
      <c r="AH930" s="107"/>
      <c r="AI930" s="107"/>
    </row>
    <row r="931" spans="24:35">
      <c r="X931" s="107"/>
      <c r="Y931" s="107"/>
      <c r="Z931" s="107"/>
      <c r="AA931" s="107"/>
      <c r="AB931" s="107"/>
      <c r="AC931" s="107"/>
      <c r="AD931" s="107"/>
      <c r="AE931" s="107"/>
      <c r="AF931" s="107"/>
      <c r="AG931" s="107"/>
      <c r="AH931" s="107"/>
      <c r="AI931" s="107"/>
    </row>
    <row r="932" spans="24:35">
      <c r="X932" s="107"/>
      <c r="Y932" s="107"/>
      <c r="Z932" s="107"/>
      <c r="AA932" s="107"/>
      <c r="AB932" s="107"/>
      <c r="AC932" s="107"/>
      <c r="AD932" s="107"/>
      <c r="AE932" s="107"/>
      <c r="AF932" s="107"/>
      <c r="AG932" s="107"/>
      <c r="AH932" s="107"/>
      <c r="AI932" s="107"/>
    </row>
    <row r="933" spans="24:35">
      <c r="X933" s="107"/>
      <c r="Y933" s="107"/>
      <c r="Z933" s="107"/>
      <c r="AA933" s="107"/>
      <c r="AB933" s="107"/>
      <c r="AC933" s="107"/>
      <c r="AD933" s="107"/>
      <c r="AE933" s="107"/>
      <c r="AF933" s="107"/>
      <c r="AG933" s="107"/>
      <c r="AH933" s="107"/>
      <c r="AI933" s="107"/>
    </row>
    <row r="934" spans="24:35">
      <c r="X934" s="107"/>
      <c r="Y934" s="107"/>
      <c r="Z934" s="107"/>
      <c r="AA934" s="107"/>
      <c r="AB934" s="107"/>
      <c r="AC934" s="107"/>
      <c r="AD934" s="107"/>
      <c r="AE934" s="107"/>
      <c r="AF934" s="107"/>
      <c r="AG934" s="107"/>
      <c r="AH934" s="107"/>
      <c r="AI934" s="107"/>
    </row>
    <row r="935" spans="24:35">
      <c r="X935" s="107"/>
      <c r="Y935" s="107"/>
      <c r="Z935" s="107"/>
      <c r="AA935" s="107"/>
      <c r="AB935" s="107"/>
      <c r="AC935" s="107"/>
      <c r="AD935" s="107"/>
      <c r="AE935" s="107"/>
      <c r="AF935" s="107"/>
      <c r="AG935" s="107"/>
      <c r="AH935" s="107"/>
      <c r="AI935" s="107"/>
    </row>
    <row r="936" spans="24:35">
      <c r="X936" s="107"/>
      <c r="Y936" s="107"/>
      <c r="Z936" s="107"/>
      <c r="AA936" s="107"/>
      <c r="AB936" s="107"/>
      <c r="AC936" s="107"/>
      <c r="AD936" s="107"/>
      <c r="AE936" s="107"/>
      <c r="AF936" s="107"/>
      <c r="AG936" s="107"/>
      <c r="AH936" s="107"/>
      <c r="AI936" s="107"/>
    </row>
    <row r="937" spans="24:35">
      <c r="X937" s="107"/>
      <c r="Y937" s="107"/>
      <c r="Z937" s="107"/>
      <c r="AA937" s="107"/>
      <c r="AB937" s="107"/>
      <c r="AC937" s="107"/>
      <c r="AD937" s="107"/>
      <c r="AE937" s="107"/>
      <c r="AF937" s="107"/>
      <c r="AG937" s="107"/>
      <c r="AH937" s="107"/>
      <c r="AI937" s="107"/>
    </row>
    <row r="938" spans="24:35">
      <c r="X938" s="107"/>
      <c r="Y938" s="107"/>
      <c r="Z938" s="107"/>
      <c r="AA938" s="107"/>
      <c r="AB938" s="107"/>
      <c r="AC938" s="107"/>
      <c r="AD938" s="107"/>
      <c r="AE938" s="107"/>
      <c r="AF938" s="107"/>
      <c r="AG938" s="107"/>
      <c r="AH938" s="107"/>
      <c r="AI938" s="107"/>
    </row>
    <row r="939" spans="24:35">
      <c r="X939" s="107"/>
      <c r="Y939" s="107"/>
      <c r="Z939" s="107"/>
      <c r="AA939" s="107"/>
      <c r="AB939" s="107"/>
      <c r="AC939" s="107"/>
      <c r="AD939" s="107"/>
      <c r="AE939" s="107"/>
      <c r="AF939" s="107"/>
      <c r="AG939" s="107"/>
      <c r="AH939" s="107"/>
      <c r="AI939" s="107"/>
    </row>
    <row r="940" spans="24:35">
      <c r="X940" s="107"/>
      <c r="Y940" s="107"/>
      <c r="Z940" s="107"/>
      <c r="AA940" s="107"/>
      <c r="AB940" s="107"/>
      <c r="AC940" s="107"/>
      <c r="AD940" s="107"/>
      <c r="AE940" s="107"/>
      <c r="AF940" s="107"/>
      <c r="AG940" s="107"/>
      <c r="AH940" s="107"/>
      <c r="AI940" s="107"/>
    </row>
    <row r="941" spans="24:35">
      <c r="X941" s="107"/>
      <c r="Y941" s="107"/>
      <c r="Z941" s="107"/>
      <c r="AA941" s="107"/>
      <c r="AB941" s="107"/>
      <c r="AC941" s="107"/>
      <c r="AD941" s="107"/>
      <c r="AE941" s="107"/>
      <c r="AF941" s="107"/>
      <c r="AG941" s="107"/>
      <c r="AH941" s="107"/>
      <c r="AI941" s="107"/>
    </row>
    <row r="942" spans="24:35">
      <c r="X942" s="107"/>
      <c r="Y942" s="107"/>
      <c r="Z942" s="107"/>
      <c r="AA942" s="107"/>
      <c r="AB942" s="107"/>
      <c r="AC942" s="107"/>
      <c r="AD942" s="107"/>
      <c r="AE942" s="107"/>
      <c r="AF942" s="107"/>
      <c r="AG942" s="107"/>
      <c r="AH942" s="107"/>
      <c r="AI942" s="107"/>
    </row>
    <row r="943" spans="24:35">
      <c r="X943" s="107"/>
      <c r="Y943" s="107"/>
      <c r="Z943" s="107"/>
      <c r="AA943" s="107"/>
      <c r="AB943" s="107"/>
      <c r="AC943" s="107"/>
      <c r="AD943" s="107"/>
      <c r="AE943" s="107"/>
      <c r="AF943" s="107"/>
      <c r="AG943" s="107"/>
      <c r="AH943" s="107"/>
      <c r="AI943" s="107"/>
    </row>
    <row r="944" spans="24:35">
      <c r="X944" s="107"/>
      <c r="Y944" s="107"/>
      <c r="Z944" s="107"/>
      <c r="AA944" s="107"/>
      <c r="AB944" s="107"/>
      <c r="AC944" s="107"/>
      <c r="AD944" s="107"/>
      <c r="AE944" s="107"/>
      <c r="AF944" s="107"/>
      <c r="AG944" s="107"/>
      <c r="AH944" s="107"/>
      <c r="AI944" s="107"/>
    </row>
  </sheetData>
  <mergeCells count="4">
    <mergeCell ref="B1:Z1"/>
    <mergeCell ref="B3:Z3"/>
    <mergeCell ref="B5:Z5"/>
    <mergeCell ref="B286:C286"/>
  </mergeCells>
  <pageMargins left="0.2" right="0.2" top="0.51" bottom="0.5" header="0.28999999999999998" footer="0.5"/>
  <pageSetup scale="30" fitToHeight="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pageSetUpPr fitToPage="1"/>
  </sheetPr>
  <dimension ref="A1:AD89"/>
  <sheetViews>
    <sheetView zoomScale="73" zoomScaleNormal="73" workbookViewId="0">
      <pane ySplit="10" topLeftCell="A11" activePane="bottomLeft" state="frozen"/>
      <selection pane="bottomLeft" activeCell="AI34" sqref="AI34"/>
    </sheetView>
  </sheetViews>
  <sheetFormatPr defaultColWidth="9.77734375" defaultRowHeight="15.75"/>
  <cols>
    <col min="1" max="1" width="37.6640625" style="6" customWidth="1"/>
    <col min="2" max="2" width="2.44140625" style="6" customWidth="1"/>
    <col min="3" max="3" width="17" style="6" bestFit="1" customWidth="1"/>
    <col min="4" max="4" width="2.33203125" style="6" customWidth="1"/>
    <col min="5" max="10" width="10.33203125" style="60" customWidth="1"/>
    <col min="11" max="11" width="2.33203125" style="136" customWidth="1"/>
    <col min="12" max="12" width="6" style="6" hidden="1" customWidth="1"/>
    <col min="13" max="13" width="10.33203125" style="6" hidden="1" customWidth="1"/>
    <col min="14" max="14" width="2.33203125" style="136" hidden="1" customWidth="1"/>
    <col min="15" max="15" width="6.33203125" style="6" hidden="1" customWidth="1"/>
    <col min="16" max="16" width="10.33203125" style="6" hidden="1" customWidth="1"/>
    <col min="17" max="17" width="1.77734375" style="3" hidden="1" customWidth="1"/>
    <col min="18" max="18" width="5.88671875" style="6" hidden="1" customWidth="1"/>
    <col min="19" max="19" width="10.33203125" style="6" hidden="1" customWidth="1"/>
    <col min="20" max="20" width="1.77734375" style="3" hidden="1" customWidth="1"/>
    <col min="21" max="21" width="6.21875" style="6" hidden="1" customWidth="1"/>
    <col min="22" max="22" width="10.33203125" style="6" hidden="1" customWidth="1"/>
    <col min="23" max="23" width="1.77734375" style="3" hidden="1" customWidth="1"/>
    <col min="24" max="24" width="9.5546875" style="6" bestFit="1" customWidth="1"/>
    <col min="25" max="25" width="12.44140625" style="6" bestFit="1" customWidth="1"/>
    <col min="26" max="26" width="1.77734375" style="6" customWidth="1"/>
    <col min="27" max="28" width="9.77734375" style="6"/>
    <col min="29" max="29" width="8.6640625" style="6" customWidth="1"/>
    <col min="30" max="16384" width="9.77734375" style="6"/>
  </cols>
  <sheetData>
    <row r="1" spans="1:30" ht="16.5">
      <c r="A1" s="1033" t="s">
        <v>434</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row>
    <row r="2" spans="1:30" ht="13.5" customHeight="1">
      <c r="A2" s="65"/>
      <c r="B2" s="50"/>
      <c r="C2" s="50"/>
      <c r="D2" s="50"/>
      <c r="E2" s="59"/>
      <c r="F2" s="59"/>
      <c r="G2" s="59"/>
      <c r="H2" s="59"/>
      <c r="I2" s="59"/>
      <c r="J2" s="59"/>
      <c r="K2" s="134"/>
      <c r="L2" s="50"/>
      <c r="M2" s="50"/>
      <c r="N2" s="134"/>
      <c r="O2" s="50"/>
      <c r="P2" s="50"/>
      <c r="Q2" s="135"/>
      <c r="R2" s="50"/>
      <c r="S2" s="50"/>
      <c r="T2" s="135"/>
      <c r="U2" s="50"/>
      <c r="V2" s="50"/>
      <c r="W2" s="135"/>
    </row>
    <row r="3" spans="1:30" ht="16.5">
      <c r="A3" s="1033" t="s">
        <v>264</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row>
    <row r="4" spans="1:30">
      <c r="A4" s="1026" t="s">
        <v>1021</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row>
    <row r="5" spans="1:30">
      <c r="A5" s="515"/>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row>
    <row r="6" spans="1:30">
      <c r="A6" s="66"/>
      <c r="B6" s="50"/>
    </row>
    <row r="7" spans="1:30">
      <c r="A7" s="66"/>
      <c r="B7" s="50"/>
      <c r="C7" s="1028" t="s">
        <v>1005</v>
      </c>
      <c r="D7" s="18"/>
      <c r="E7" s="29"/>
      <c r="F7" s="29"/>
      <c r="G7" s="29"/>
      <c r="H7" s="29"/>
      <c r="I7" s="29"/>
      <c r="J7" s="29"/>
      <c r="K7" s="137"/>
      <c r="L7" s="1030"/>
      <c r="M7" s="1030"/>
      <c r="N7" s="1030"/>
      <c r="O7" s="1030"/>
      <c r="P7" s="1030"/>
      <c r="Q7" s="1030"/>
      <c r="R7" s="1030"/>
      <c r="S7" s="1030"/>
      <c r="T7" s="1030"/>
      <c r="U7" s="1030"/>
      <c r="V7" s="1030"/>
      <c r="W7" s="73"/>
      <c r="AA7" s="18"/>
      <c r="AB7" s="976" t="s">
        <v>151</v>
      </c>
    </row>
    <row r="8" spans="1:30" ht="22.5">
      <c r="A8" s="66"/>
      <c r="B8" s="50"/>
      <c r="C8" s="1028"/>
      <c r="D8" s="970"/>
      <c r="E8" s="204"/>
      <c r="F8" s="204"/>
      <c r="G8" s="204"/>
      <c r="H8" s="204"/>
      <c r="I8" s="204"/>
      <c r="J8" s="972" t="s">
        <v>189</v>
      </c>
      <c r="K8" s="138"/>
      <c r="L8" s="1029" t="s">
        <v>204</v>
      </c>
      <c r="M8" s="1029"/>
      <c r="N8" s="138"/>
      <c r="O8" s="1029" t="s">
        <v>203</v>
      </c>
      <c r="P8" s="1029"/>
      <c r="Q8" s="974"/>
      <c r="R8" s="1029" t="s">
        <v>204</v>
      </c>
      <c r="S8" s="1029"/>
      <c r="T8" s="974"/>
      <c r="U8" s="1029" t="s">
        <v>203</v>
      </c>
      <c r="V8" s="1029"/>
      <c r="W8" s="974"/>
      <c r="X8" s="4"/>
      <c r="Y8" s="4"/>
      <c r="AA8" s="18" t="s">
        <v>48</v>
      </c>
      <c r="AB8" s="18" t="s">
        <v>49</v>
      </c>
    </row>
    <row r="9" spans="1:30">
      <c r="B9" s="50"/>
      <c r="C9" s="972" t="s">
        <v>160</v>
      </c>
      <c r="D9" s="972"/>
      <c r="E9" s="972" t="s">
        <v>155</v>
      </c>
      <c r="F9" s="972" t="s">
        <v>161</v>
      </c>
      <c r="G9" s="972" t="s">
        <v>290</v>
      </c>
      <c r="H9" s="972" t="s">
        <v>163</v>
      </c>
      <c r="I9" s="972" t="s">
        <v>162</v>
      </c>
      <c r="J9" s="972" t="s">
        <v>0</v>
      </c>
      <c r="K9" s="138"/>
      <c r="L9" s="1027" t="s">
        <v>297</v>
      </c>
      <c r="M9" s="1027"/>
      <c r="N9" s="138"/>
      <c r="O9" s="1027" t="s">
        <v>297</v>
      </c>
      <c r="P9" s="1027"/>
      <c r="Q9" s="138"/>
      <c r="R9" s="1027" t="s">
        <v>298</v>
      </c>
      <c r="S9" s="1027"/>
      <c r="T9" s="138"/>
      <c r="U9" s="1027" t="s">
        <v>298</v>
      </c>
      <c r="V9" s="1027"/>
      <c r="W9" s="138"/>
      <c r="X9" s="995" t="s">
        <v>0</v>
      </c>
      <c r="Y9" s="995"/>
    </row>
    <row r="10" spans="1:30">
      <c r="A10" s="51" t="s">
        <v>1</v>
      </c>
      <c r="B10" s="53"/>
      <c r="C10" s="51" t="s">
        <v>173</v>
      </c>
      <c r="D10" s="51"/>
      <c r="E10" s="61" t="s">
        <v>2</v>
      </c>
      <c r="F10" s="61" t="s">
        <v>2</v>
      </c>
      <c r="G10" s="61" t="s">
        <v>2</v>
      </c>
      <c r="H10" s="61" t="s">
        <v>2</v>
      </c>
      <c r="I10" s="61" t="s">
        <v>2</v>
      </c>
      <c r="J10" s="61" t="s">
        <v>2</v>
      </c>
      <c r="K10" s="138"/>
      <c r="L10" s="51" t="s">
        <v>2</v>
      </c>
      <c r="M10" s="51" t="s">
        <v>3</v>
      </c>
      <c r="N10" s="138"/>
      <c r="O10" s="51" t="s">
        <v>2</v>
      </c>
      <c r="P10" s="51" t="s">
        <v>3</v>
      </c>
      <c r="Q10" s="974"/>
      <c r="R10" s="51" t="s">
        <v>2</v>
      </c>
      <c r="S10" s="51" t="s">
        <v>3</v>
      </c>
      <c r="T10" s="974"/>
      <c r="U10" s="51" t="s">
        <v>2</v>
      </c>
      <c r="V10" s="51" t="s">
        <v>3</v>
      </c>
      <c r="W10" s="974"/>
      <c r="X10" s="51" t="s">
        <v>2</v>
      </c>
      <c r="Y10" s="51" t="s">
        <v>3</v>
      </c>
    </row>
    <row r="11" spans="1:30">
      <c r="A11" s="19" t="s">
        <v>571</v>
      </c>
      <c r="C11" s="20">
        <v>139168.26</v>
      </c>
      <c r="D11" s="20"/>
      <c r="E11" s="63">
        <v>1952</v>
      </c>
      <c r="F11" s="63">
        <v>0</v>
      </c>
      <c r="G11" s="63">
        <v>0</v>
      </c>
      <c r="H11" s="63">
        <v>48</v>
      </c>
      <c r="I11" s="63">
        <v>0</v>
      </c>
      <c r="J11" s="62">
        <f>SUM(E11:I11)</f>
        <v>2000</v>
      </c>
      <c r="K11" s="63"/>
      <c r="L11" s="20"/>
      <c r="M11" s="20"/>
      <c r="N11" s="63"/>
      <c r="O11" s="20"/>
      <c r="P11" s="20"/>
      <c r="Q11" s="20"/>
      <c r="R11" s="20"/>
      <c r="S11" s="20"/>
      <c r="T11" s="20"/>
      <c r="U11" s="20"/>
      <c r="V11" s="20"/>
      <c r="W11" s="20"/>
      <c r="X11" s="20">
        <f>J11+L11+O11+R11+U11</f>
        <v>2000</v>
      </c>
      <c r="Y11" s="20">
        <f>+C11+M11+P11+S11+V11</f>
        <v>139168.26</v>
      </c>
      <c r="Z11" s="9"/>
      <c r="AA11" s="20">
        <v>139168.26</v>
      </c>
      <c r="AB11" s="20"/>
      <c r="AC11" s="20"/>
      <c r="AD11" s="20"/>
    </row>
    <row r="12" spans="1:30">
      <c r="A12" s="19" t="s">
        <v>574</v>
      </c>
      <c r="C12" s="20">
        <v>40179.019999999997</v>
      </c>
      <c r="D12" s="20"/>
      <c r="E12" s="714">
        <v>1952</v>
      </c>
      <c r="F12" s="63">
        <v>0</v>
      </c>
      <c r="G12" s="63">
        <v>0</v>
      </c>
      <c r="H12" s="63">
        <v>48</v>
      </c>
      <c r="I12" s="63">
        <v>0</v>
      </c>
      <c r="J12" s="62">
        <f t="shared" ref="J12" si="0">SUM(E12:I12)</f>
        <v>2000</v>
      </c>
      <c r="K12" s="63"/>
      <c r="L12" s="20"/>
      <c r="M12" s="20"/>
      <c r="N12" s="63"/>
      <c r="O12" s="20"/>
      <c r="P12" s="20"/>
      <c r="Q12" s="20"/>
      <c r="R12" s="20"/>
      <c r="S12" s="20"/>
      <c r="T12" s="20"/>
      <c r="U12" s="20"/>
      <c r="V12" s="20"/>
      <c r="W12" s="20"/>
      <c r="X12" s="20">
        <f t="shared" ref="X12" si="1">J12+L12+O12+R12+U12</f>
        <v>2000</v>
      </c>
      <c r="Y12" s="20">
        <f>+C12+M12+P12+S12+V12</f>
        <v>40179.019999999997</v>
      </c>
      <c r="Z12" s="9"/>
      <c r="AA12" s="20">
        <v>40179.019999999997</v>
      </c>
      <c r="AB12" s="20"/>
      <c r="AC12" s="20"/>
      <c r="AD12" s="20"/>
    </row>
    <row r="13" spans="1:30">
      <c r="A13" s="19" t="s">
        <v>573</v>
      </c>
      <c r="C13" s="20">
        <v>119562.7</v>
      </c>
      <c r="D13" s="20"/>
      <c r="E13" s="63">
        <v>1952</v>
      </c>
      <c r="F13" s="63">
        <v>0</v>
      </c>
      <c r="G13" s="63">
        <v>0</v>
      </c>
      <c r="H13" s="63">
        <v>48</v>
      </c>
      <c r="I13" s="63">
        <v>0</v>
      </c>
      <c r="J13" s="62">
        <f>SUM(E13:I13)</f>
        <v>2000</v>
      </c>
      <c r="K13" s="63"/>
      <c r="L13" s="20"/>
      <c r="M13" s="20"/>
      <c r="N13" s="63"/>
      <c r="O13" s="20"/>
      <c r="P13" s="20"/>
      <c r="Q13" s="20"/>
      <c r="R13" s="20"/>
      <c r="S13" s="20"/>
      <c r="T13" s="20"/>
      <c r="U13" s="20"/>
      <c r="V13" s="20"/>
      <c r="W13" s="20"/>
      <c r="X13" s="20">
        <f>J13+L13+O13+R13+U13</f>
        <v>2000</v>
      </c>
      <c r="Y13" s="20">
        <f>+C13+M13+P13+S13+V13</f>
        <v>119562.7</v>
      </c>
      <c r="Z13" s="9"/>
      <c r="AA13" s="20">
        <v>122740</v>
      </c>
      <c r="AB13" s="20"/>
      <c r="AC13" s="20"/>
      <c r="AD13" s="20"/>
    </row>
    <row r="14" spans="1:30">
      <c r="A14" s="19" t="s">
        <v>586</v>
      </c>
      <c r="C14" s="20">
        <v>44032.33</v>
      </c>
      <c r="D14" s="20"/>
      <c r="E14" s="63">
        <v>1944.85</v>
      </c>
      <c r="F14" s="63">
        <v>62.28</v>
      </c>
      <c r="G14" s="63">
        <v>84</v>
      </c>
      <c r="H14" s="63">
        <v>47</v>
      </c>
      <c r="I14" s="63">
        <v>3.55</v>
      </c>
      <c r="J14" s="62">
        <f>SUM(E14:I14)</f>
        <v>2141.6800000000003</v>
      </c>
      <c r="K14" s="63"/>
      <c r="L14" s="20"/>
      <c r="M14" s="20"/>
      <c r="N14" s="63"/>
      <c r="O14" s="20"/>
      <c r="P14" s="20"/>
      <c r="Q14" s="20"/>
      <c r="R14" s="20"/>
      <c r="S14" s="20"/>
      <c r="T14" s="20"/>
      <c r="U14" s="20"/>
      <c r="V14" s="20"/>
      <c r="W14" s="20"/>
      <c r="X14" s="20">
        <f>J14+L14+O14+R14+U14</f>
        <v>2141.6800000000003</v>
      </c>
      <c r="Y14" s="20">
        <f>+C14+M14+P14+S14+V14</f>
        <v>44032.33</v>
      </c>
      <c r="Z14" s="9"/>
      <c r="AA14" s="20">
        <v>43960.62</v>
      </c>
      <c r="AB14" s="20"/>
      <c r="AC14" s="20"/>
      <c r="AD14" s="20"/>
    </row>
    <row r="15" spans="1:30">
      <c r="A15" s="31" t="s">
        <v>602</v>
      </c>
      <c r="C15" s="727">
        <f>SUM(C11:C14)</f>
        <v>342942.31</v>
      </c>
      <c r="D15" s="20"/>
      <c r="E15" s="728">
        <f t="shared" ref="E15:J15" si="2">SUM(E11:E14)</f>
        <v>7800.85</v>
      </c>
      <c r="F15" s="728">
        <f t="shared" si="2"/>
        <v>62.28</v>
      </c>
      <c r="G15" s="728">
        <f t="shared" si="2"/>
        <v>84</v>
      </c>
      <c r="H15" s="728">
        <f t="shared" si="2"/>
        <v>191</v>
      </c>
      <c r="I15" s="728">
        <f t="shared" si="2"/>
        <v>3.55</v>
      </c>
      <c r="J15" s="728">
        <f t="shared" si="2"/>
        <v>8141.68</v>
      </c>
      <c r="K15" s="63"/>
      <c r="L15" s="727">
        <f>SUM(L11:L14)</f>
        <v>0</v>
      </c>
      <c r="M15" s="727">
        <f>SUM(M11:M14)</f>
        <v>0</v>
      </c>
      <c r="N15" s="63"/>
      <c r="O15" s="727">
        <f>SUM(O11:O14)</f>
        <v>0</v>
      </c>
      <c r="P15" s="727">
        <f>SUM(P11:P14)</f>
        <v>0</v>
      </c>
      <c r="Q15" s="20"/>
      <c r="R15" s="727">
        <f>SUM(R11:R14)</f>
        <v>0</v>
      </c>
      <c r="S15" s="727">
        <f>SUM(S11:S14)</f>
        <v>0</v>
      </c>
      <c r="T15" s="20"/>
      <c r="U15" s="727">
        <f>SUM(U11:U14)</f>
        <v>0</v>
      </c>
      <c r="V15" s="727">
        <f>SUM(V11:V14)</f>
        <v>0</v>
      </c>
      <c r="W15" s="20"/>
      <c r="X15" s="727">
        <f>SUM(X11:X14)</f>
        <v>8141.68</v>
      </c>
      <c r="Y15" s="727">
        <f>SUM(Y11:Y14)</f>
        <v>342942.31</v>
      </c>
      <c r="Z15" s="9"/>
      <c r="AA15" s="9"/>
      <c r="AB15" s="9"/>
    </row>
    <row r="16" spans="1:30">
      <c r="C16" s="8"/>
      <c r="D16" s="20"/>
      <c r="E16" s="62"/>
      <c r="F16" s="62"/>
      <c r="G16" s="62"/>
      <c r="H16" s="62"/>
      <c r="I16" s="62"/>
      <c r="J16" s="62"/>
      <c r="K16" s="63"/>
      <c r="L16" s="8"/>
      <c r="M16" s="8"/>
      <c r="N16" s="63"/>
      <c r="O16" s="8"/>
      <c r="P16" s="8"/>
      <c r="Q16" s="20"/>
      <c r="R16" s="8"/>
      <c r="S16" s="8"/>
      <c r="T16" s="20"/>
      <c r="U16" s="8"/>
      <c r="V16" s="8"/>
      <c r="W16" s="20"/>
      <c r="X16" s="8"/>
      <c r="Y16" s="392"/>
      <c r="Z16" s="233"/>
      <c r="AA16" s="233"/>
      <c r="AB16" s="233"/>
    </row>
    <row r="18" spans="1:30">
      <c r="A18" s="19" t="s">
        <v>560</v>
      </c>
      <c r="C18" s="20">
        <v>3447.5</v>
      </c>
      <c r="D18" s="20"/>
      <c r="E18" s="63">
        <v>238.25</v>
      </c>
      <c r="F18" s="63">
        <v>0</v>
      </c>
      <c r="G18" s="63">
        <v>0</v>
      </c>
      <c r="H18" s="63">
        <v>8</v>
      </c>
      <c r="I18" s="63">
        <v>0</v>
      </c>
      <c r="J18" s="62">
        <f t="shared" ref="J18:J31" si="3">SUM(E18:I18)</f>
        <v>246.25</v>
      </c>
      <c r="K18" s="63"/>
      <c r="L18" s="20"/>
      <c r="M18" s="20"/>
      <c r="N18" s="63"/>
      <c r="O18" s="20"/>
      <c r="P18" s="20"/>
      <c r="Q18" s="20"/>
      <c r="R18" s="20"/>
      <c r="S18" s="20"/>
      <c r="T18" s="20"/>
      <c r="U18" s="20"/>
      <c r="V18" s="20"/>
      <c r="W18" s="20"/>
      <c r="X18" s="20">
        <f t="shared" ref="X18:X31" si="4">J18+L18+O18+R18+U18</f>
        <v>246.25</v>
      </c>
      <c r="Y18" s="20">
        <f t="shared" ref="Y18:Y31" si="5">+C18+M18+P18+S18+V18</f>
        <v>3447.5</v>
      </c>
      <c r="Z18" s="9"/>
      <c r="AA18" s="20">
        <v>3448</v>
      </c>
      <c r="AB18" s="20"/>
      <c r="AC18" s="20"/>
      <c r="AD18" s="20"/>
    </row>
    <row r="19" spans="1:30">
      <c r="A19" s="19" t="s">
        <v>561</v>
      </c>
      <c r="C19" s="20">
        <v>2235.48</v>
      </c>
      <c r="D19" s="20"/>
      <c r="E19" s="63">
        <v>131.5</v>
      </c>
      <c r="F19" s="63">
        <v>0</v>
      </c>
      <c r="G19" s="63">
        <v>0</v>
      </c>
      <c r="H19" s="63">
        <v>5</v>
      </c>
      <c r="I19" s="63">
        <v>0</v>
      </c>
      <c r="J19" s="62">
        <f t="shared" si="3"/>
        <v>136.5</v>
      </c>
      <c r="K19" s="63"/>
      <c r="L19" s="20"/>
      <c r="M19" s="20"/>
      <c r="N19" s="63"/>
      <c r="O19" s="20"/>
      <c r="P19" s="20"/>
      <c r="Q19" s="20"/>
      <c r="R19" s="20"/>
      <c r="S19" s="20"/>
      <c r="T19" s="20"/>
      <c r="U19" s="20"/>
      <c r="V19" s="20"/>
      <c r="W19" s="20"/>
      <c r="X19" s="20">
        <f t="shared" si="4"/>
        <v>136.5</v>
      </c>
      <c r="Y19" s="20">
        <f t="shared" si="5"/>
        <v>2235.48</v>
      </c>
      <c r="Z19" s="9"/>
      <c r="AA19" s="20">
        <v>2235</v>
      </c>
      <c r="AB19" s="20"/>
      <c r="AC19" s="20"/>
      <c r="AD19" s="20"/>
    </row>
    <row r="20" spans="1:30">
      <c r="A20" s="19" t="s">
        <v>562</v>
      </c>
      <c r="C20" s="20">
        <v>26180.19</v>
      </c>
      <c r="D20" s="20"/>
      <c r="E20" s="63">
        <v>914.08</v>
      </c>
      <c r="F20" s="63">
        <v>4.5</v>
      </c>
      <c r="G20" s="63">
        <v>120</v>
      </c>
      <c r="H20" s="63">
        <v>20</v>
      </c>
      <c r="I20" s="63">
        <v>0</v>
      </c>
      <c r="J20" s="62">
        <f t="shared" si="3"/>
        <v>1058.58</v>
      </c>
      <c r="K20" s="63"/>
      <c r="L20" s="20"/>
      <c r="M20" s="20"/>
      <c r="N20" s="63"/>
      <c r="O20" s="20"/>
      <c r="P20" s="20"/>
      <c r="Q20" s="20"/>
      <c r="R20" s="20"/>
      <c r="S20" s="20"/>
      <c r="T20" s="20"/>
      <c r="U20" s="20"/>
      <c r="V20" s="20"/>
      <c r="W20" s="20"/>
      <c r="X20" s="20">
        <f t="shared" si="4"/>
        <v>1058.58</v>
      </c>
      <c r="Y20" s="20">
        <f t="shared" si="5"/>
        <v>26180.19</v>
      </c>
      <c r="Z20" s="9"/>
      <c r="AA20" s="20">
        <v>26180</v>
      </c>
      <c r="AB20" s="20"/>
      <c r="AC20" s="20"/>
      <c r="AD20" s="20"/>
    </row>
    <row r="21" spans="1:30">
      <c r="A21" s="19" t="s">
        <v>566</v>
      </c>
      <c r="C21" s="20">
        <v>5099.2</v>
      </c>
      <c r="D21" s="20"/>
      <c r="E21" s="63">
        <v>368.47</v>
      </c>
      <c r="F21" s="63">
        <v>4.32</v>
      </c>
      <c r="G21" s="63">
        <v>0</v>
      </c>
      <c r="H21" s="63">
        <v>4</v>
      </c>
      <c r="I21" s="63">
        <v>0</v>
      </c>
      <c r="J21" s="62">
        <f t="shared" si="3"/>
        <v>376.79</v>
      </c>
      <c r="K21" s="63"/>
      <c r="L21" s="20"/>
      <c r="M21" s="20"/>
      <c r="N21" s="63"/>
      <c r="O21" s="20"/>
      <c r="P21" s="20"/>
      <c r="Q21" s="20"/>
      <c r="R21" s="20"/>
      <c r="S21" s="20"/>
      <c r="T21" s="20"/>
      <c r="U21" s="20"/>
      <c r="V21" s="20"/>
      <c r="W21" s="20"/>
      <c r="X21" s="20">
        <f t="shared" si="4"/>
        <v>376.79</v>
      </c>
      <c r="Y21" s="20">
        <f t="shared" si="5"/>
        <v>5099.2</v>
      </c>
      <c r="Z21" s="9"/>
      <c r="AA21" s="20">
        <v>5099</v>
      </c>
      <c r="AB21" s="20"/>
      <c r="AC21" s="20"/>
      <c r="AD21" s="20"/>
    </row>
    <row r="22" spans="1:30">
      <c r="A22" s="19" t="s">
        <v>570</v>
      </c>
      <c r="C22" s="20">
        <v>9143.24</v>
      </c>
      <c r="D22" s="20"/>
      <c r="E22" s="63">
        <v>587.95000000000005</v>
      </c>
      <c r="F22" s="63">
        <v>2.27</v>
      </c>
      <c r="G22" s="63">
        <v>0</v>
      </c>
      <c r="H22" s="63">
        <v>22</v>
      </c>
      <c r="I22" s="63">
        <v>0</v>
      </c>
      <c r="J22" s="62">
        <f t="shared" si="3"/>
        <v>612.22</v>
      </c>
      <c r="K22" s="63"/>
      <c r="L22" s="20"/>
      <c r="M22" s="20"/>
      <c r="N22" s="63"/>
      <c r="O22" s="20"/>
      <c r="P22" s="20"/>
      <c r="Q22" s="20"/>
      <c r="R22" s="20"/>
      <c r="S22" s="20"/>
      <c r="T22" s="20"/>
      <c r="U22" s="20"/>
      <c r="V22" s="20"/>
      <c r="W22" s="20"/>
      <c r="X22" s="20">
        <f t="shared" si="4"/>
        <v>612.22</v>
      </c>
      <c r="Y22" s="20">
        <f t="shared" si="5"/>
        <v>9143.24</v>
      </c>
      <c r="Z22" s="9"/>
      <c r="AA22" s="20">
        <v>9143</v>
      </c>
      <c r="AB22" s="20"/>
      <c r="AC22" s="20"/>
      <c r="AD22" s="20"/>
    </row>
    <row r="23" spans="1:30">
      <c r="A23" s="19" t="s">
        <v>572</v>
      </c>
      <c r="C23" s="20">
        <v>4335.88</v>
      </c>
      <c r="D23" s="20"/>
      <c r="E23" s="63">
        <v>272.27999999999997</v>
      </c>
      <c r="F23" s="63">
        <v>0</v>
      </c>
      <c r="G23" s="63">
        <v>0</v>
      </c>
      <c r="H23" s="63">
        <v>8</v>
      </c>
      <c r="I23" s="63">
        <v>5.17</v>
      </c>
      <c r="J23" s="62">
        <f t="shared" si="3"/>
        <v>285.45</v>
      </c>
      <c r="K23" s="63"/>
      <c r="L23" s="20"/>
      <c r="M23" s="20"/>
      <c r="N23" s="63"/>
      <c r="O23" s="20"/>
      <c r="P23" s="20"/>
      <c r="Q23" s="20"/>
      <c r="R23" s="20"/>
      <c r="S23" s="20"/>
      <c r="T23" s="20"/>
      <c r="U23" s="20"/>
      <c r="V23" s="20"/>
      <c r="W23" s="20"/>
      <c r="X23" s="20">
        <f t="shared" si="4"/>
        <v>285.45</v>
      </c>
      <c r="Y23" s="20">
        <f t="shared" si="5"/>
        <v>4335.88</v>
      </c>
      <c r="Z23" s="9"/>
      <c r="AA23" s="20">
        <v>4258</v>
      </c>
      <c r="AB23" s="20"/>
      <c r="AC23" s="20"/>
      <c r="AD23" s="20"/>
    </row>
    <row r="24" spans="1:30">
      <c r="A24" s="19" t="s">
        <v>577</v>
      </c>
      <c r="C24" s="20">
        <v>3546.67</v>
      </c>
      <c r="D24" s="20"/>
      <c r="E24" s="63">
        <v>272.27</v>
      </c>
      <c r="F24" s="63">
        <v>0</v>
      </c>
      <c r="G24" s="63">
        <v>0</v>
      </c>
      <c r="H24" s="63">
        <v>8</v>
      </c>
      <c r="I24" s="63">
        <v>0</v>
      </c>
      <c r="J24" s="62">
        <f t="shared" si="3"/>
        <v>280.27</v>
      </c>
      <c r="K24" s="63"/>
      <c r="L24" s="20"/>
      <c r="M24" s="20"/>
      <c r="N24" s="63"/>
      <c r="O24" s="20"/>
      <c r="P24" s="20"/>
      <c r="Q24" s="20"/>
      <c r="R24" s="20"/>
      <c r="S24" s="20"/>
      <c r="T24" s="20"/>
      <c r="U24" s="20"/>
      <c r="V24" s="20"/>
      <c r="W24" s="20"/>
      <c r="X24" s="20">
        <f t="shared" si="4"/>
        <v>280.27</v>
      </c>
      <c r="Y24" s="20">
        <f t="shared" si="5"/>
        <v>3546.67</v>
      </c>
      <c r="Z24" s="9"/>
      <c r="AA24" s="20">
        <v>3546.7</v>
      </c>
      <c r="AB24" s="20"/>
      <c r="AC24" s="20"/>
      <c r="AD24" s="20"/>
    </row>
    <row r="25" spans="1:30">
      <c r="A25" s="19" t="s">
        <v>579</v>
      </c>
      <c r="C25" s="20">
        <v>545.36</v>
      </c>
      <c r="D25" s="20"/>
      <c r="E25" s="63">
        <v>36.07</v>
      </c>
      <c r="F25" s="63">
        <v>0</v>
      </c>
      <c r="G25" s="63">
        <v>0</v>
      </c>
      <c r="H25" s="63">
        <v>0</v>
      </c>
      <c r="I25" s="63">
        <v>0</v>
      </c>
      <c r="J25" s="62">
        <f t="shared" si="3"/>
        <v>36.07</v>
      </c>
      <c r="K25" s="63"/>
      <c r="L25" s="20"/>
      <c r="M25" s="20"/>
      <c r="N25" s="63"/>
      <c r="O25" s="20"/>
      <c r="P25" s="20"/>
      <c r="Q25" s="20"/>
      <c r="R25" s="20"/>
      <c r="S25" s="20"/>
      <c r="T25" s="20"/>
      <c r="U25" s="20"/>
      <c r="V25" s="20"/>
      <c r="W25" s="20"/>
      <c r="X25" s="20">
        <f t="shared" si="4"/>
        <v>36.07</v>
      </c>
      <c r="Y25" s="20">
        <f t="shared" si="5"/>
        <v>545.36</v>
      </c>
      <c r="Z25" s="9"/>
      <c r="AA25" s="20">
        <v>545</v>
      </c>
      <c r="AB25" s="20"/>
      <c r="AC25" s="20"/>
      <c r="AD25" s="20"/>
    </row>
    <row r="26" spans="1:30">
      <c r="A26" s="19" t="s">
        <v>582</v>
      </c>
      <c r="C26" s="20">
        <v>2912.48</v>
      </c>
      <c r="D26" s="20"/>
      <c r="E26" s="63">
        <v>229.48</v>
      </c>
      <c r="F26" s="63">
        <v>0</v>
      </c>
      <c r="G26" s="63">
        <v>0</v>
      </c>
      <c r="H26" s="63">
        <v>0</v>
      </c>
      <c r="I26" s="63">
        <v>0</v>
      </c>
      <c r="J26" s="62">
        <f t="shared" si="3"/>
        <v>229.48</v>
      </c>
      <c r="K26" s="63"/>
      <c r="L26" s="20"/>
      <c r="M26" s="20"/>
      <c r="N26" s="63"/>
      <c r="O26" s="20"/>
      <c r="P26" s="20"/>
      <c r="Q26" s="20"/>
      <c r="R26" s="20"/>
      <c r="S26" s="20"/>
      <c r="T26" s="20"/>
      <c r="U26" s="20"/>
      <c r="V26" s="20"/>
      <c r="W26" s="20"/>
      <c r="X26" s="20">
        <f t="shared" si="4"/>
        <v>229.48</v>
      </c>
      <c r="Y26" s="20">
        <f t="shared" si="5"/>
        <v>2912.48</v>
      </c>
      <c r="Z26" s="9"/>
      <c r="AA26" s="20">
        <v>2912</v>
      </c>
      <c r="AB26" s="20"/>
      <c r="AC26" s="20"/>
      <c r="AD26" s="20"/>
    </row>
    <row r="27" spans="1:30">
      <c r="A27" s="19" t="s">
        <v>583</v>
      </c>
      <c r="C27" s="20">
        <v>1325.03</v>
      </c>
      <c r="D27" s="20"/>
      <c r="E27" s="63">
        <v>64.5</v>
      </c>
      <c r="F27" s="63">
        <v>0</v>
      </c>
      <c r="G27" s="63">
        <v>0</v>
      </c>
      <c r="H27" s="63">
        <v>4</v>
      </c>
      <c r="I27" s="63">
        <v>0</v>
      </c>
      <c r="J27" s="62">
        <f t="shared" si="3"/>
        <v>68.5</v>
      </c>
      <c r="K27" s="63"/>
      <c r="L27" s="20"/>
      <c r="M27" s="20"/>
      <c r="N27" s="63"/>
      <c r="O27" s="20"/>
      <c r="P27" s="20"/>
      <c r="Q27" s="20"/>
      <c r="R27" s="20"/>
      <c r="S27" s="20"/>
      <c r="T27" s="20"/>
      <c r="U27" s="20"/>
      <c r="V27" s="20"/>
      <c r="W27" s="20"/>
      <c r="X27" s="20">
        <f t="shared" si="4"/>
        <v>68.5</v>
      </c>
      <c r="Y27" s="20">
        <f t="shared" si="5"/>
        <v>1325.03</v>
      </c>
      <c r="Z27" s="9"/>
      <c r="AA27" s="20">
        <v>1325</v>
      </c>
      <c r="AB27" s="20"/>
      <c r="AC27" s="20"/>
      <c r="AD27" s="20"/>
    </row>
    <row r="28" spans="1:30">
      <c r="A28" s="19" t="s">
        <v>584</v>
      </c>
      <c r="C28" s="20">
        <v>1147.7</v>
      </c>
      <c r="D28" s="20"/>
      <c r="E28" s="63">
        <v>84.35</v>
      </c>
      <c r="F28" s="63">
        <v>0</v>
      </c>
      <c r="G28" s="63">
        <v>0</v>
      </c>
      <c r="H28" s="63">
        <v>4</v>
      </c>
      <c r="I28" s="63">
        <v>0</v>
      </c>
      <c r="J28" s="62">
        <f t="shared" si="3"/>
        <v>88.35</v>
      </c>
      <c r="K28" s="63"/>
      <c r="L28" s="20"/>
      <c r="M28" s="20"/>
      <c r="N28" s="63"/>
      <c r="O28" s="20"/>
      <c r="P28" s="20"/>
      <c r="Q28" s="20"/>
      <c r="R28" s="20"/>
      <c r="S28" s="20"/>
      <c r="T28" s="20"/>
      <c r="U28" s="20"/>
      <c r="V28" s="20"/>
      <c r="W28" s="20"/>
      <c r="X28" s="20">
        <f t="shared" si="4"/>
        <v>88.35</v>
      </c>
      <c r="Y28" s="20">
        <f t="shared" si="5"/>
        <v>1147.7</v>
      </c>
      <c r="Z28" s="9"/>
      <c r="AA28" s="20">
        <v>1148</v>
      </c>
      <c r="AB28" s="20"/>
      <c r="AC28" s="20"/>
      <c r="AD28" s="20"/>
    </row>
    <row r="29" spans="1:30">
      <c r="A29" s="19" t="s">
        <v>587</v>
      </c>
      <c r="C29" s="20">
        <v>419.06</v>
      </c>
      <c r="D29" s="20"/>
      <c r="E29" s="63">
        <v>26.37</v>
      </c>
      <c r="F29" s="63">
        <v>0</v>
      </c>
      <c r="G29" s="63">
        <v>0</v>
      </c>
      <c r="H29" s="63">
        <v>4</v>
      </c>
      <c r="I29" s="63">
        <v>0</v>
      </c>
      <c r="J29" s="62">
        <f t="shared" si="3"/>
        <v>30.37</v>
      </c>
      <c r="K29" s="63"/>
      <c r="L29" s="20"/>
      <c r="M29" s="20"/>
      <c r="N29" s="63"/>
      <c r="O29" s="20"/>
      <c r="P29" s="20"/>
      <c r="Q29" s="20"/>
      <c r="R29" s="20"/>
      <c r="S29" s="20"/>
      <c r="T29" s="20"/>
      <c r="U29" s="20"/>
      <c r="V29" s="20"/>
      <c r="W29" s="20"/>
      <c r="X29" s="20">
        <f t="shared" si="4"/>
        <v>30.37</v>
      </c>
      <c r="Y29" s="20">
        <f t="shared" si="5"/>
        <v>419.06</v>
      </c>
      <c r="Z29" s="9"/>
      <c r="AA29" s="20">
        <v>419</v>
      </c>
      <c r="AB29" s="20"/>
      <c r="AC29" s="20"/>
      <c r="AD29" s="20"/>
    </row>
    <row r="30" spans="1:30">
      <c r="A30" s="19" t="s">
        <v>588</v>
      </c>
      <c r="C30" s="20">
        <v>28920.99</v>
      </c>
      <c r="D30" s="20"/>
      <c r="E30" s="63">
        <v>1716.87</v>
      </c>
      <c r="F30" s="63">
        <v>36.25</v>
      </c>
      <c r="G30" s="63">
        <v>82</v>
      </c>
      <c r="H30" s="63">
        <v>48</v>
      </c>
      <c r="I30" s="63">
        <v>13.5</v>
      </c>
      <c r="J30" s="62">
        <f t="shared" si="3"/>
        <v>1896.62</v>
      </c>
      <c r="K30" s="63"/>
      <c r="L30" s="20"/>
      <c r="M30" s="20"/>
      <c r="N30" s="63"/>
      <c r="O30" s="20"/>
      <c r="P30" s="20"/>
      <c r="Q30" s="20"/>
      <c r="R30" s="20"/>
      <c r="S30" s="20"/>
      <c r="T30" s="20"/>
      <c r="U30" s="20"/>
      <c r="V30" s="20"/>
      <c r="W30" s="20"/>
      <c r="X30" s="20">
        <f t="shared" si="4"/>
        <v>1896.62</v>
      </c>
      <c r="Y30" s="20">
        <f t="shared" si="5"/>
        <v>28920.99</v>
      </c>
      <c r="Z30" s="9"/>
      <c r="AA30" s="20">
        <v>28717</v>
      </c>
      <c r="AB30" s="20"/>
      <c r="AC30" s="20"/>
      <c r="AD30" s="20"/>
    </row>
    <row r="31" spans="1:30">
      <c r="A31" s="19" t="s">
        <v>591</v>
      </c>
      <c r="C31" s="20">
        <v>13031.55</v>
      </c>
      <c r="D31" s="20"/>
      <c r="E31" s="63">
        <v>941.83</v>
      </c>
      <c r="F31" s="63">
        <v>14.38</v>
      </c>
      <c r="G31" s="63">
        <v>0</v>
      </c>
      <c r="H31" s="63">
        <v>10</v>
      </c>
      <c r="I31" s="63">
        <v>12</v>
      </c>
      <c r="J31" s="62">
        <f t="shared" si="3"/>
        <v>978.21</v>
      </c>
      <c r="K31" s="63"/>
      <c r="L31" s="20"/>
      <c r="M31" s="20"/>
      <c r="N31" s="63"/>
      <c r="O31" s="20"/>
      <c r="P31" s="20"/>
      <c r="Q31" s="20"/>
      <c r="R31" s="20"/>
      <c r="S31" s="20"/>
      <c r="T31" s="20"/>
      <c r="U31" s="20"/>
      <c r="V31" s="20"/>
      <c r="W31" s="20"/>
      <c r="X31" s="20">
        <f t="shared" si="4"/>
        <v>978.21</v>
      </c>
      <c r="Y31" s="20">
        <f t="shared" si="5"/>
        <v>13031.55</v>
      </c>
      <c r="Z31" s="9"/>
      <c r="AA31" s="20">
        <v>12863.55</v>
      </c>
      <c r="AB31" s="20"/>
      <c r="AC31" s="20"/>
      <c r="AD31" s="20"/>
    </row>
    <row r="32" spans="1:30">
      <c r="A32" s="31" t="s">
        <v>601</v>
      </c>
      <c r="C32" s="10">
        <f>SUM(C17:C31)</f>
        <v>102290.32999999999</v>
      </c>
      <c r="D32" s="388"/>
      <c r="E32" s="389">
        <f t="shared" ref="E32:J32" si="6">SUM(E17:E31)</f>
        <v>5884.2699999999995</v>
      </c>
      <c r="F32" s="389">
        <f t="shared" si="6"/>
        <v>61.720000000000006</v>
      </c>
      <c r="G32" s="389">
        <f t="shared" si="6"/>
        <v>202</v>
      </c>
      <c r="H32" s="389">
        <f t="shared" si="6"/>
        <v>145</v>
      </c>
      <c r="I32" s="389">
        <f t="shared" si="6"/>
        <v>30.67</v>
      </c>
      <c r="J32" s="389">
        <f t="shared" si="6"/>
        <v>6323.66</v>
      </c>
      <c r="L32" s="10">
        <f>SUM(L14:L31)</f>
        <v>0</v>
      </c>
      <c r="M32" s="10">
        <f>SUM(M14:M31)</f>
        <v>0</v>
      </c>
      <c r="O32" s="10">
        <f>SUM(O14:O31)</f>
        <v>0</v>
      </c>
      <c r="P32" s="10">
        <f>SUM(P14:P31)</f>
        <v>0</v>
      </c>
      <c r="Q32" s="20"/>
      <c r="R32" s="10">
        <f>SUM(R14:R31)</f>
        <v>0</v>
      </c>
      <c r="S32" s="10">
        <f>SUM(S14:S31)</f>
        <v>0</v>
      </c>
      <c r="T32" s="20"/>
      <c r="U32" s="10">
        <f>SUM(U14:U31)</f>
        <v>0</v>
      </c>
      <c r="V32" s="10">
        <f>SUM(V14:V31)</f>
        <v>0</v>
      </c>
      <c r="W32" s="388"/>
      <c r="X32" s="727">
        <f>SUM(X17:X31)</f>
        <v>6323.66</v>
      </c>
      <c r="Y32" s="727">
        <f>SUM(Y17:Y31)</f>
        <v>102290.32999999999</v>
      </c>
      <c r="Z32" s="9"/>
      <c r="AA32" s="9"/>
      <c r="AB32" s="9"/>
      <c r="AC32" s="6">
        <f>+AA32+AB32</f>
        <v>0</v>
      </c>
    </row>
    <row r="33" spans="1:30">
      <c r="C33" s="9"/>
      <c r="D33" s="388"/>
      <c r="L33" s="9"/>
      <c r="M33" s="9"/>
      <c r="O33" s="9"/>
      <c r="P33" s="9"/>
      <c r="Q33" s="388"/>
      <c r="R33" s="9"/>
      <c r="S33" s="9"/>
      <c r="T33" s="388"/>
      <c r="U33" s="9"/>
      <c r="V33" s="9"/>
      <c r="W33" s="388"/>
      <c r="X33" s="9"/>
      <c r="Y33" s="391"/>
      <c r="Z33" s="233"/>
      <c r="AA33" s="233"/>
      <c r="AB33" s="233"/>
    </row>
    <row r="34" spans="1:30">
      <c r="C34" s="9"/>
      <c r="D34" s="388"/>
      <c r="L34" s="9"/>
      <c r="M34" s="9"/>
      <c r="O34" s="9"/>
      <c r="P34" s="9"/>
      <c r="Q34" s="388"/>
      <c r="R34" s="9"/>
      <c r="S34" s="9"/>
      <c r="T34" s="388"/>
      <c r="U34" s="9"/>
      <c r="V34" s="9"/>
      <c r="W34" s="388"/>
      <c r="X34" s="9"/>
      <c r="Y34" s="391"/>
      <c r="Z34" s="233"/>
      <c r="AA34" s="233"/>
      <c r="AB34" s="233"/>
    </row>
    <row r="35" spans="1:30">
      <c r="C35" s="9"/>
      <c r="D35" s="388"/>
      <c r="L35" s="9"/>
      <c r="M35" s="9"/>
      <c r="O35" s="9"/>
      <c r="P35" s="9"/>
      <c r="Q35" s="388"/>
      <c r="R35" s="9"/>
      <c r="S35" s="9"/>
      <c r="T35" s="388"/>
      <c r="U35" s="9"/>
      <c r="V35" s="9"/>
      <c r="W35" s="388"/>
      <c r="X35" s="9"/>
      <c r="Y35" s="391"/>
      <c r="Z35" s="233"/>
      <c r="AA35" s="233"/>
      <c r="AB35" s="233"/>
    </row>
    <row r="36" spans="1:30">
      <c r="C36" s="9"/>
      <c r="D36" s="388"/>
      <c r="L36" s="9"/>
      <c r="M36" s="9"/>
      <c r="O36" s="9"/>
      <c r="P36" s="9"/>
      <c r="Q36" s="388"/>
      <c r="R36" s="9"/>
      <c r="S36" s="9"/>
      <c r="T36" s="388"/>
      <c r="U36" s="9"/>
      <c r="V36" s="9"/>
      <c r="W36" s="388"/>
      <c r="X36" s="9"/>
      <c r="Y36" s="391"/>
      <c r="Z36" s="233"/>
      <c r="AA36" s="233"/>
      <c r="AB36" s="233"/>
    </row>
    <row r="38" spans="1:30">
      <c r="A38" s="19" t="s">
        <v>564</v>
      </c>
      <c r="C38" s="20">
        <v>36768.720000000001</v>
      </c>
      <c r="D38" s="20"/>
      <c r="E38" s="63">
        <v>1866.42</v>
      </c>
      <c r="F38" s="63">
        <v>51.43</v>
      </c>
      <c r="G38" s="63">
        <v>96</v>
      </c>
      <c r="H38" s="63">
        <v>48</v>
      </c>
      <c r="I38" s="63">
        <v>0</v>
      </c>
      <c r="J38" s="62">
        <f t="shared" ref="J38:J48" si="7">SUM(E38:I38)</f>
        <v>2061.8500000000004</v>
      </c>
      <c r="K38" s="63"/>
      <c r="L38" s="20"/>
      <c r="M38" s="20"/>
      <c r="N38" s="63"/>
      <c r="O38" s="20"/>
      <c r="P38" s="20"/>
      <c r="Q38" s="20"/>
      <c r="R38" s="20"/>
      <c r="S38" s="20"/>
      <c r="T38" s="20"/>
      <c r="U38" s="20"/>
      <c r="V38" s="20"/>
      <c r="W38" s="20"/>
      <c r="X38" s="20">
        <f t="shared" ref="X38:X46" si="8">J38+L38+O38+R38+U38</f>
        <v>2061.8500000000004</v>
      </c>
      <c r="Y38" s="20">
        <f t="shared" ref="Y38:Y48" si="9">+C38+M38+P38+S38+V38</f>
        <v>36768.720000000001</v>
      </c>
      <c r="Z38" s="9"/>
      <c r="AA38" s="20">
        <v>36768.699999999997</v>
      </c>
      <c r="AB38" s="20"/>
      <c r="AC38" s="20"/>
      <c r="AD38" s="20"/>
    </row>
    <row r="39" spans="1:30">
      <c r="A39" s="19" t="s">
        <v>565</v>
      </c>
      <c r="C39" s="20">
        <v>16403.560000000001</v>
      </c>
      <c r="D39" s="20"/>
      <c r="E39" s="63">
        <v>1066.68</v>
      </c>
      <c r="F39" s="63">
        <v>0</v>
      </c>
      <c r="G39" s="63">
        <v>0</v>
      </c>
      <c r="H39" s="63">
        <v>24</v>
      </c>
      <c r="I39" s="63">
        <v>0</v>
      </c>
      <c r="J39" s="62">
        <f t="shared" si="7"/>
        <v>1090.68</v>
      </c>
      <c r="K39" s="63"/>
      <c r="L39" s="20"/>
      <c r="M39" s="20"/>
      <c r="N39" s="63"/>
      <c r="O39" s="20"/>
      <c r="P39" s="20"/>
      <c r="Q39" s="20"/>
      <c r="R39" s="20"/>
      <c r="S39" s="20"/>
      <c r="T39" s="20"/>
      <c r="U39" s="20"/>
      <c r="V39" s="20"/>
      <c r="W39" s="20"/>
      <c r="X39" s="20">
        <f t="shared" si="8"/>
        <v>1090.68</v>
      </c>
      <c r="Y39" s="20">
        <f t="shared" si="9"/>
        <v>16403.560000000001</v>
      </c>
      <c r="Z39" s="9"/>
      <c r="AA39" s="20">
        <v>16404</v>
      </c>
      <c r="AB39" s="20"/>
      <c r="AC39" s="20"/>
      <c r="AD39" s="20"/>
    </row>
    <row r="40" spans="1:30">
      <c r="A40" s="19" t="s">
        <v>568</v>
      </c>
      <c r="C40" s="20">
        <v>25906.04</v>
      </c>
      <c r="D40" s="20"/>
      <c r="E40" s="63">
        <v>1572.8</v>
      </c>
      <c r="F40" s="63">
        <v>13.83</v>
      </c>
      <c r="G40" s="63">
        <v>40</v>
      </c>
      <c r="H40" s="63">
        <v>48</v>
      </c>
      <c r="I40" s="63">
        <v>47.33</v>
      </c>
      <c r="J40" s="62">
        <f t="shared" si="7"/>
        <v>1721.9599999999998</v>
      </c>
      <c r="K40" s="63"/>
      <c r="L40" s="20"/>
      <c r="M40" s="20"/>
      <c r="N40" s="63"/>
      <c r="O40" s="20"/>
      <c r="P40" s="20"/>
      <c r="Q40" s="20"/>
      <c r="R40" s="20"/>
      <c r="S40" s="20"/>
      <c r="T40" s="20"/>
      <c r="U40" s="20"/>
      <c r="V40" s="20"/>
      <c r="W40" s="20"/>
      <c r="X40" s="20">
        <f t="shared" si="8"/>
        <v>1721.9599999999998</v>
      </c>
      <c r="Y40" s="20">
        <f t="shared" si="9"/>
        <v>25906.04</v>
      </c>
      <c r="Z40" s="9"/>
      <c r="AA40" s="20">
        <v>25485.51</v>
      </c>
      <c r="AB40" s="20"/>
      <c r="AC40" s="20"/>
      <c r="AD40" s="20"/>
    </row>
    <row r="41" spans="1:30">
      <c r="A41" s="19" t="s">
        <v>569</v>
      </c>
      <c r="C41" s="20">
        <v>37087.14</v>
      </c>
      <c r="D41" s="20"/>
      <c r="E41" s="63">
        <v>1938.65</v>
      </c>
      <c r="F41" s="63">
        <v>95.65</v>
      </c>
      <c r="G41" s="63">
        <v>40</v>
      </c>
      <c r="H41" s="63">
        <v>48</v>
      </c>
      <c r="I41" s="63">
        <v>0</v>
      </c>
      <c r="J41" s="62">
        <f t="shared" si="7"/>
        <v>2122.3000000000002</v>
      </c>
      <c r="K41" s="63"/>
      <c r="L41" s="20"/>
      <c r="M41" s="20"/>
      <c r="N41" s="63"/>
      <c r="O41" s="20"/>
      <c r="P41" s="20"/>
      <c r="Q41" s="20"/>
      <c r="R41" s="20"/>
      <c r="S41" s="20"/>
      <c r="T41" s="20"/>
      <c r="U41" s="20"/>
      <c r="V41" s="20"/>
      <c r="W41" s="20"/>
      <c r="X41" s="20">
        <f t="shared" si="8"/>
        <v>2122.3000000000002</v>
      </c>
      <c r="Y41" s="20">
        <f t="shared" si="9"/>
        <v>37087.14</v>
      </c>
      <c r="Z41" s="9"/>
      <c r="AA41" s="20">
        <v>37087</v>
      </c>
      <c r="AB41" s="20"/>
      <c r="AC41" s="20"/>
      <c r="AD41" s="20"/>
    </row>
    <row r="42" spans="1:30">
      <c r="A42" s="19" t="s">
        <v>580</v>
      </c>
      <c r="C42" s="20">
        <v>20610.740000000002</v>
      </c>
      <c r="D42" s="20"/>
      <c r="E42" s="63">
        <v>1433.68</v>
      </c>
      <c r="F42" s="63">
        <v>6.9</v>
      </c>
      <c r="G42" s="63">
        <v>0</v>
      </c>
      <c r="H42" s="63">
        <v>48</v>
      </c>
      <c r="I42" s="63">
        <v>16</v>
      </c>
      <c r="J42" s="62">
        <f t="shared" si="7"/>
        <v>1504.5800000000002</v>
      </c>
      <c r="K42" s="63"/>
      <c r="L42" s="20"/>
      <c r="M42" s="20"/>
      <c r="N42" s="63"/>
      <c r="O42" s="20"/>
      <c r="P42" s="20"/>
      <c r="Q42" s="20"/>
      <c r="R42" s="20"/>
      <c r="S42" s="20"/>
      <c r="T42" s="20"/>
      <c r="U42" s="20"/>
      <c r="V42" s="20"/>
      <c r="W42" s="20"/>
      <c r="X42" s="20">
        <f t="shared" si="8"/>
        <v>1504.5800000000002</v>
      </c>
      <c r="Y42" s="20">
        <f t="shared" si="9"/>
        <v>20610.740000000002</v>
      </c>
      <c r="Z42" s="9"/>
      <c r="AA42" s="20">
        <v>20391.5</v>
      </c>
      <c r="AB42" s="20"/>
      <c r="AC42" s="20"/>
      <c r="AD42" s="20"/>
    </row>
    <row r="43" spans="1:30">
      <c r="A43" s="19" t="s">
        <v>576</v>
      </c>
      <c r="C43" s="20">
        <v>65254.59</v>
      </c>
      <c r="D43" s="20"/>
      <c r="E43" s="714">
        <v>1816</v>
      </c>
      <c r="F43" s="63">
        <v>0</v>
      </c>
      <c r="G43" s="63">
        <v>128</v>
      </c>
      <c r="H43" s="63">
        <v>48</v>
      </c>
      <c r="I43" s="63">
        <v>8</v>
      </c>
      <c r="J43" s="62">
        <f t="shared" si="7"/>
        <v>2000</v>
      </c>
      <c r="K43" s="63"/>
      <c r="L43" s="20"/>
      <c r="M43" s="20"/>
      <c r="N43" s="63"/>
      <c r="O43" s="20"/>
      <c r="P43" s="20"/>
      <c r="Q43" s="20"/>
      <c r="R43" s="20"/>
      <c r="S43" s="20"/>
      <c r="T43" s="20"/>
      <c r="U43" s="20"/>
      <c r="V43" s="20"/>
      <c r="W43" s="20"/>
      <c r="X43" s="20">
        <f t="shared" si="8"/>
        <v>2000</v>
      </c>
      <c r="Y43" s="20">
        <f t="shared" si="9"/>
        <v>65254.59</v>
      </c>
      <c r="Z43" s="9"/>
      <c r="AA43" s="20">
        <v>65254.5</v>
      </c>
      <c r="AB43" s="20"/>
      <c r="AC43" s="20"/>
      <c r="AD43" s="20"/>
    </row>
    <row r="44" spans="1:30">
      <c r="A44" s="19" t="s">
        <v>578</v>
      </c>
      <c r="C44" s="20">
        <v>49275.53</v>
      </c>
      <c r="D44" s="20"/>
      <c r="E44" s="63">
        <v>1698.25</v>
      </c>
      <c r="F44" s="63">
        <v>17.07</v>
      </c>
      <c r="G44" s="63">
        <v>106</v>
      </c>
      <c r="H44" s="63">
        <v>88</v>
      </c>
      <c r="I44" s="63">
        <v>13.98</v>
      </c>
      <c r="J44" s="62">
        <f t="shared" si="7"/>
        <v>1923.3</v>
      </c>
      <c r="K44" s="63"/>
      <c r="L44" s="20"/>
      <c r="M44" s="20"/>
      <c r="N44" s="63"/>
      <c r="O44" s="20"/>
      <c r="P44" s="20"/>
      <c r="Q44" s="20"/>
      <c r="R44" s="20"/>
      <c r="S44" s="20"/>
      <c r="T44" s="20"/>
      <c r="U44" s="20"/>
      <c r="V44" s="20"/>
      <c r="W44" s="20"/>
      <c r="X44" s="20">
        <f t="shared" si="8"/>
        <v>1923.3</v>
      </c>
      <c r="Y44" s="20">
        <f t="shared" si="9"/>
        <v>49275.53</v>
      </c>
      <c r="Z44" s="9"/>
      <c r="AA44" s="20">
        <v>48919</v>
      </c>
      <c r="AB44" s="20"/>
      <c r="AC44" s="20"/>
      <c r="AD44" s="20"/>
    </row>
    <row r="45" spans="1:30">
      <c r="A45" s="19" t="s">
        <v>581</v>
      </c>
      <c r="C45" s="20">
        <v>26483.82</v>
      </c>
      <c r="D45" s="20"/>
      <c r="E45" s="63">
        <v>1586.25</v>
      </c>
      <c r="F45" s="63">
        <v>32.92</v>
      </c>
      <c r="G45" s="63">
        <v>16</v>
      </c>
      <c r="H45" s="63">
        <v>40</v>
      </c>
      <c r="I45" s="63">
        <v>8</v>
      </c>
      <c r="J45" s="62">
        <f t="shared" si="7"/>
        <v>1683.17</v>
      </c>
      <c r="K45" s="63"/>
      <c r="L45" s="20"/>
      <c r="M45" s="20"/>
      <c r="N45" s="63"/>
      <c r="O45" s="20"/>
      <c r="P45" s="20"/>
      <c r="Q45" s="20"/>
      <c r="R45" s="20"/>
      <c r="S45" s="20"/>
      <c r="T45" s="20"/>
      <c r="U45" s="20"/>
      <c r="V45" s="20"/>
      <c r="W45" s="20"/>
      <c r="X45" s="20">
        <f t="shared" si="8"/>
        <v>1683.17</v>
      </c>
      <c r="Y45" s="20">
        <f t="shared" si="9"/>
        <v>26483.82</v>
      </c>
      <c r="Z45" s="9"/>
      <c r="AA45" s="20">
        <v>26362</v>
      </c>
      <c r="AB45" s="20"/>
      <c r="AC45" s="20"/>
      <c r="AD45" s="20"/>
    </row>
    <row r="46" spans="1:30">
      <c r="A46" s="19" t="s">
        <v>585</v>
      </c>
      <c r="C46" s="20">
        <v>55128.49</v>
      </c>
      <c r="D46" s="20"/>
      <c r="E46" s="63">
        <v>1901.72</v>
      </c>
      <c r="F46" s="63">
        <v>88.85</v>
      </c>
      <c r="G46" s="63">
        <v>112</v>
      </c>
      <c r="H46" s="63">
        <v>48</v>
      </c>
      <c r="I46" s="63">
        <v>12</v>
      </c>
      <c r="J46" s="62">
        <f t="shared" si="7"/>
        <v>2162.5699999999997</v>
      </c>
      <c r="K46" s="63"/>
      <c r="L46" s="20"/>
      <c r="M46" s="20"/>
      <c r="N46" s="63"/>
      <c r="O46" s="20"/>
      <c r="P46" s="20"/>
      <c r="Q46" s="20"/>
      <c r="R46" s="20"/>
      <c r="S46" s="20"/>
      <c r="T46" s="20"/>
      <c r="U46" s="20"/>
      <c r="V46" s="20"/>
      <c r="W46" s="20"/>
      <c r="X46" s="20">
        <f t="shared" si="8"/>
        <v>2162.5699999999997</v>
      </c>
      <c r="Y46" s="20">
        <f t="shared" si="9"/>
        <v>55128.49</v>
      </c>
      <c r="Z46" s="9"/>
      <c r="AA46" s="20">
        <v>54828</v>
      </c>
      <c r="AB46" s="20"/>
      <c r="AC46" s="20"/>
      <c r="AD46" s="20"/>
    </row>
    <row r="47" spans="1:30">
      <c r="A47" s="19" t="s">
        <v>589</v>
      </c>
      <c r="C47" s="20">
        <v>58093.71</v>
      </c>
      <c r="D47" s="20"/>
      <c r="E47" s="63">
        <v>1904.13</v>
      </c>
      <c r="F47" s="63">
        <v>115.58</v>
      </c>
      <c r="G47" s="63">
        <v>104</v>
      </c>
      <c r="H47" s="63">
        <v>48</v>
      </c>
      <c r="I47" s="63">
        <v>0</v>
      </c>
      <c r="J47" s="62">
        <f t="shared" si="7"/>
        <v>2171.71</v>
      </c>
      <c r="K47" s="63"/>
      <c r="L47" s="20"/>
      <c r="M47" s="20"/>
      <c r="N47" s="63"/>
      <c r="O47" s="20"/>
      <c r="P47" s="20"/>
      <c r="Q47" s="20"/>
      <c r="R47" s="20"/>
      <c r="S47" s="20"/>
      <c r="T47" s="20"/>
      <c r="U47" s="20"/>
      <c r="V47" s="20"/>
      <c r="W47" s="20"/>
      <c r="X47" s="20">
        <f t="shared" ref="X47:X48" si="10">J47+L47+O47+R47+U47</f>
        <v>2171.71</v>
      </c>
      <c r="Y47" s="20">
        <f t="shared" si="9"/>
        <v>58093.71</v>
      </c>
      <c r="Z47" s="9"/>
      <c r="AA47" s="20">
        <v>58094</v>
      </c>
      <c r="AB47" s="20"/>
      <c r="AC47" s="20"/>
      <c r="AD47" s="20"/>
    </row>
    <row r="48" spans="1:30">
      <c r="A48" s="19" t="s">
        <v>590</v>
      </c>
      <c r="C48" s="20">
        <v>47587.91</v>
      </c>
      <c r="D48" s="20"/>
      <c r="E48" s="63">
        <v>1810.53</v>
      </c>
      <c r="F48" s="63">
        <v>38.07</v>
      </c>
      <c r="G48" s="63">
        <v>128</v>
      </c>
      <c r="H48" s="63">
        <v>48</v>
      </c>
      <c r="I48" s="63">
        <v>15</v>
      </c>
      <c r="J48" s="62">
        <f t="shared" si="7"/>
        <v>2039.6</v>
      </c>
      <c r="K48" s="63"/>
      <c r="L48" s="20"/>
      <c r="M48" s="20"/>
      <c r="N48" s="63"/>
      <c r="O48" s="20"/>
      <c r="P48" s="20"/>
      <c r="Q48" s="20"/>
      <c r="R48" s="20"/>
      <c r="S48" s="20"/>
      <c r="T48" s="20"/>
      <c r="U48" s="20"/>
      <c r="V48" s="20"/>
      <c r="W48" s="20"/>
      <c r="X48" s="20">
        <f t="shared" si="10"/>
        <v>2039.6</v>
      </c>
      <c r="Y48" s="20">
        <f t="shared" si="9"/>
        <v>47587.91</v>
      </c>
      <c r="Z48" s="9"/>
      <c r="AA48" s="20">
        <v>47242.91</v>
      </c>
      <c r="AB48" s="20"/>
      <c r="AC48" s="20"/>
      <c r="AD48" s="20"/>
    </row>
    <row r="49" spans="1:30">
      <c r="A49" s="31" t="s">
        <v>257</v>
      </c>
      <c r="C49" s="727">
        <f>SUM(C37:C48)</f>
        <v>438600.25</v>
      </c>
      <c r="D49" s="10"/>
      <c r="E49" s="727">
        <f t="shared" ref="E49:J49" si="11">SUM(E37:E48)</f>
        <v>18595.11</v>
      </c>
      <c r="F49" s="727">
        <f t="shared" si="11"/>
        <v>460.29999999999995</v>
      </c>
      <c r="G49" s="727">
        <f t="shared" si="11"/>
        <v>770</v>
      </c>
      <c r="H49" s="727">
        <f t="shared" si="11"/>
        <v>536</v>
      </c>
      <c r="I49" s="727">
        <f t="shared" si="11"/>
        <v>120.31</v>
      </c>
      <c r="J49" s="727">
        <f t="shared" si="11"/>
        <v>20481.719999999998</v>
      </c>
      <c r="K49" s="20"/>
      <c r="L49" s="727">
        <f>SUM(L14:L48)</f>
        <v>0</v>
      </c>
      <c r="M49" s="727">
        <f>SUM(M14:M48)</f>
        <v>0</v>
      </c>
      <c r="N49" s="20"/>
      <c r="O49" s="727">
        <f>SUM(O14:O48)</f>
        <v>0</v>
      </c>
      <c r="P49" s="727">
        <f>SUM(P14:P48)</f>
        <v>0</v>
      </c>
      <c r="Q49" s="20"/>
      <c r="R49" s="727">
        <f>SUM(R14:R48)</f>
        <v>0</v>
      </c>
      <c r="S49" s="727">
        <f>SUM(S14:S48)</f>
        <v>0</v>
      </c>
      <c r="T49" s="20"/>
      <c r="U49" s="727">
        <f>SUM(U14:U48)</f>
        <v>0</v>
      </c>
      <c r="V49" s="727">
        <f>SUM(V14:V48)</f>
        <v>0</v>
      </c>
      <c r="W49" s="20"/>
      <c r="X49" s="727">
        <f>SUM(X38:X48)</f>
        <v>20481.719999999998</v>
      </c>
      <c r="Y49" s="727">
        <f>SUM(Y38:Y48)</f>
        <v>438600.25</v>
      </c>
      <c r="Z49" s="9"/>
      <c r="AA49" s="9"/>
      <c r="AB49" s="9"/>
    </row>
    <row r="50" spans="1:30">
      <c r="C50" s="9"/>
      <c r="D50" s="388"/>
      <c r="L50" s="9"/>
      <c r="M50" s="9"/>
      <c r="O50" s="9"/>
      <c r="P50" s="9"/>
      <c r="Q50" s="388"/>
      <c r="R50" s="9"/>
      <c r="S50" s="9"/>
      <c r="T50" s="388"/>
      <c r="U50" s="9"/>
      <c r="V50" s="9"/>
      <c r="W50" s="388"/>
      <c r="X50" s="9"/>
      <c r="Y50" s="391"/>
      <c r="Z50" s="9"/>
      <c r="AA50" s="233"/>
      <c r="AB50" s="233"/>
    </row>
    <row r="51" spans="1:30">
      <c r="C51" s="9"/>
      <c r="D51" s="388"/>
      <c r="L51" s="9"/>
      <c r="M51" s="9"/>
      <c r="O51" s="9"/>
      <c r="P51" s="9"/>
      <c r="Q51" s="388"/>
      <c r="R51" s="9"/>
      <c r="S51" s="9"/>
      <c r="T51" s="388"/>
      <c r="U51" s="9"/>
      <c r="V51" s="9"/>
      <c r="W51" s="388"/>
      <c r="X51" s="9"/>
      <c r="Y51" s="391"/>
      <c r="Z51" s="9"/>
      <c r="AA51" s="233"/>
      <c r="AB51" s="233"/>
    </row>
    <row r="52" spans="1:30">
      <c r="C52" s="9"/>
      <c r="D52" s="388"/>
      <c r="L52" s="9"/>
      <c r="M52" s="9"/>
      <c r="O52" s="9"/>
      <c r="P52" s="9"/>
      <c r="Q52" s="388"/>
      <c r="R52" s="9"/>
      <c r="S52" s="9"/>
      <c r="T52" s="388"/>
      <c r="U52" s="9"/>
      <c r="V52" s="9"/>
      <c r="W52" s="388"/>
      <c r="X52" s="9"/>
      <c r="Y52" s="391"/>
      <c r="Z52" s="9"/>
      <c r="AA52" s="233"/>
      <c r="AB52" s="233"/>
    </row>
    <row r="54" spans="1:30">
      <c r="A54" s="19" t="s">
        <v>563</v>
      </c>
      <c r="C54" s="20">
        <f>86117.14-80</f>
        <v>86037.14</v>
      </c>
      <c r="D54" s="20"/>
      <c r="E54" s="714">
        <v>1852</v>
      </c>
      <c r="F54" s="63">
        <v>0</v>
      </c>
      <c r="G54" s="63">
        <v>100</v>
      </c>
      <c r="H54" s="63">
        <v>48</v>
      </c>
      <c r="I54" s="63">
        <v>0</v>
      </c>
      <c r="J54" s="62">
        <f>SUM(E54:I54)</f>
        <v>2000</v>
      </c>
      <c r="K54" s="63"/>
      <c r="L54" s="20"/>
      <c r="M54" s="20"/>
      <c r="N54" s="63"/>
      <c r="O54" s="20"/>
      <c r="P54" s="20"/>
      <c r="Q54" s="20"/>
      <c r="R54" s="20"/>
      <c r="S54" s="20"/>
      <c r="T54" s="20"/>
      <c r="U54" s="20"/>
      <c r="V54" s="20"/>
      <c r="W54" s="20"/>
      <c r="X54" s="20">
        <f>J54+L54+O54+R54+U54</f>
        <v>2000</v>
      </c>
      <c r="Y54" s="20">
        <f>+C54+M54+P54+S54+V54</f>
        <v>86037.14</v>
      </c>
      <c r="Z54" s="9"/>
      <c r="AA54" s="20">
        <v>86037</v>
      </c>
      <c r="AB54" s="20"/>
      <c r="AC54" s="20"/>
      <c r="AD54" s="20"/>
    </row>
    <row r="55" spans="1:30">
      <c r="A55" s="19" t="s">
        <v>567</v>
      </c>
      <c r="C55" s="20">
        <v>450.47</v>
      </c>
      <c r="D55" s="20"/>
      <c r="E55" s="63">
        <v>30.97</v>
      </c>
      <c r="F55" s="63">
        <v>0</v>
      </c>
      <c r="G55" s="63">
        <v>0</v>
      </c>
      <c r="H55" s="63">
        <v>0</v>
      </c>
      <c r="I55" s="63">
        <v>0</v>
      </c>
      <c r="J55" s="62">
        <f>SUM(E55:I55)</f>
        <v>30.97</v>
      </c>
      <c r="K55" s="63"/>
      <c r="L55" s="20"/>
      <c r="M55" s="20"/>
      <c r="N55" s="63"/>
      <c r="O55" s="20"/>
      <c r="P55" s="20"/>
      <c r="Q55" s="20"/>
      <c r="R55" s="20"/>
      <c r="S55" s="20"/>
      <c r="T55" s="20"/>
      <c r="U55" s="20"/>
      <c r="V55" s="20"/>
      <c r="W55" s="20"/>
      <c r="X55" s="20">
        <f>J55+L55+O55+R55+U55</f>
        <v>30.97</v>
      </c>
      <c r="Y55" s="20">
        <f>+C55+M55+P55+S55+V55</f>
        <v>450.47</v>
      </c>
      <c r="Z55" s="9"/>
      <c r="AA55" s="20">
        <v>450</v>
      </c>
      <c r="AB55" s="140"/>
      <c r="AC55" s="20"/>
      <c r="AD55" s="20"/>
    </row>
    <row r="56" spans="1:30">
      <c r="A56" s="19" t="s">
        <v>575</v>
      </c>
      <c r="C56" s="20">
        <v>18965.04</v>
      </c>
      <c r="D56" s="20"/>
      <c r="E56" s="63">
        <v>1275.3</v>
      </c>
      <c r="F56" s="63">
        <v>92.85</v>
      </c>
      <c r="G56" s="63">
        <v>0</v>
      </c>
      <c r="H56" s="63">
        <v>32</v>
      </c>
      <c r="I56" s="63">
        <v>8</v>
      </c>
      <c r="J56" s="62">
        <f>SUM(E56:I56)</f>
        <v>1408.1499999999999</v>
      </c>
      <c r="K56" s="63"/>
      <c r="L56" s="20"/>
      <c r="M56" s="20"/>
      <c r="N56" s="63"/>
      <c r="O56" s="20"/>
      <c r="P56" s="20"/>
      <c r="Q56" s="20"/>
      <c r="R56" s="20"/>
      <c r="S56" s="20"/>
      <c r="T56" s="20"/>
      <c r="U56" s="20"/>
      <c r="V56" s="20"/>
      <c r="W56" s="20"/>
      <c r="X56" s="20">
        <f>J56+L56+O56+R56+U56</f>
        <v>1408.1499999999999</v>
      </c>
      <c r="Y56" s="20">
        <f>+C56+M56+P56+S56+V56</f>
        <v>18965.04</v>
      </c>
      <c r="Z56" s="9"/>
      <c r="AA56" s="20">
        <v>18861</v>
      </c>
      <c r="AB56" s="20"/>
      <c r="AC56" s="20"/>
      <c r="AD56" s="20"/>
    </row>
    <row r="57" spans="1:30">
      <c r="A57" s="31" t="s">
        <v>9</v>
      </c>
      <c r="C57" s="727">
        <f>SUM(C54:C56)</f>
        <v>105452.65</v>
      </c>
      <c r="D57" s="20"/>
      <c r="E57" s="728">
        <f t="shared" ref="E57:J57" si="12">SUM(E54:E56)</f>
        <v>3158.27</v>
      </c>
      <c r="F57" s="728">
        <f t="shared" si="12"/>
        <v>92.85</v>
      </c>
      <c r="G57" s="728">
        <f t="shared" si="12"/>
        <v>100</v>
      </c>
      <c r="H57" s="728">
        <f t="shared" si="12"/>
        <v>80</v>
      </c>
      <c r="I57" s="728">
        <f t="shared" si="12"/>
        <v>8</v>
      </c>
      <c r="J57" s="728">
        <f t="shared" si="12"/>
        <v>3439.12</v>
      </c>
      <c r="K57" s="63"/>
      <c r="L57" s="727"/>
      <c r="M57" s="727"/>
      <c r="N57" s="63"/>
      <c r="O57" s="727"/>
      <c r="P57" s="727"/>
      <c r="Q57" s="20"/>
      <c r="R57" s="727"/>
      <c r="S57" s="727"/>
      <c r="T57" s="20"/>
      <c r="U57" s="727"/>
      <c r="V57" s="727"/>
      <c r="W57" s="20"/>
      <c r="X57" s="727">
        <f>SUM(X54:X56)</f>
        <v>3439.12</v>
      </c>
      <c r="Y57" s="727">
        <f>SUM(Y54:Y56)</f>
        <v>105452.65</v>
      </c>
      <c r="Z57" s="9"/>
      <c r="AA57" s="10"/>
      <c r="AB57" s="10"/>
      <c r="AC57" s="10"/>
      <c r="AD57" s="10"/>
    </row>
    <row r="58" spans="1:30">
      <c r="A58" s="31"/>
      <c r="C58" s="20"/>
      <c r="D58" s="20"/>
      <c r="E58" s="63"/>
      <c r="F58" s="63"/>
      <c r="G58" s="63"/>
      <c r="H58" s="63"/>
      <c r="I58" s="63"/>
      <c r="J58" s="63"/>
      <c r="K58" s="63"/>
      <c r="L58" s="20"/>
      <c r="M58" s="20"/>
      <c r="N58" s="63"/>
      <c r="O58" s="20"/>
      <c r="P58" s="20"/>
      <c r="Q58" s="20"/>
      <c r="R58" s="20"/>
      <c r="S58" s="20"/>
      <c r="T58" s="20"/>
      <c r="U58" s="20"/>
      <c r="V58" s="20"/>
      <c r="W58" s="20"/>
      <c r="X58" s="20"/>
      <c r="Y58" s="20"/>
      <c r="Z58" s="9"/>
      <c r="AA58" s="20"/>
      <c r="AB58" s="20"/>
      <c r="AC58" s="20"/>
      <c r="AD58" s="20"/>
    </row>
    <row r="59" spans="1:30">
      <c r="A59" s="19"/>
      <c r="C59" s="10"/>
      <c r="D59" s="20"/>
      <c r="E59" s="387"/>
      <c r="F59" s="387"/>
      <c r="G59" s="387"/>
      <c r="H59" s="387"/>
      <c r="I59" s="387"/>
      <c r="J59" s="62">
        <f t="shared" ref="J59" si="13">SUM(E59:I59)</f>
        <v>0</v>
      </c>
      <c r="K59" s="63"/>
      <c r="L59" s="10"/>
      <c r="M59" s="10"/>
      <c r="N59" s="63"/>
      <c r="O59" s="10"/>
      <c r="P59" s="10"/>
      <c r="Q59" s="20"/>
      <c r="R59" s="10"/>
      <c r="S59" s="10"/>
      <c r="T59" s="20"/>
      <c r="U59" s="10"/>
      <c r="V59" s="10"/>
      <c r="W59" s="20"/>
      <c r="X59" s="10">
        <f>J59+L59+O59+R59+U59</f>
        <v>0</v>
      </c>
      <c r="Y59" s="394">
        <f t="shared" ref="Y59" si="14">+C59+M59+P59+S59+V59</f>
        <v>0</v>
      </c>
      <c r="Z59" s="9"/>
      <c r="AA59" s="20"/>
      <c r="AB59" s="20"/>
      <c r="AC59" s="20"/>
      <c r="AD59" s="20"/>
    </row>
    <row r="60" spans="1:30" ht="16.5" thickBot="1">
      <c r="A60" s="18"/>
      <c r="C60" s="716">
        <f>C57+C49+C32+C15</f>
        <v>989285.54</v>
      </c>
      <c r="D60" s="754"/>
      <c r="E60" s="716">
        <f t="shared" ref="E60:Y60" si="15">E57+E49+E32+E15</f>
        <v>35438.5</v>
      </c>
      <c r="F60" s="716">
        <f t="shared" si="15"/>
        <v>677.15</v>
      </c>
      <c r="G60" s="716">
        <f t="shared" si="15"/>
        <v>1156</v>
      </c>
      <c r="H60" s="716">
        <f t="shared" si="15"/>
        <v>952</v>
      </c>
      <c r="I60" s="716">
        <f t="shared" si="15"/>
        <v>162.53000000000003</v>
      </c>
      <c r="J60" s="716">
        <f t="shared" si="15"/>
        <v>38386.179999999993</v>
      </c>
      <c r="K60" s="754"/>
      <c r="L60" s="716">
        <f t="shared" si="15"/>
        <v>0</v>
      </c>
      <c r="M60" s="716">
        <f t="shared" si="15"/>
        <v>0</v>
      </c>
      <c r="N60" s="716">
        <f t="shared" si="15"/>
        <v>0</v>
      </c>
      <c r="O60" s="716">
        <f t="shared" si="15"/>
        <v>0</v>
      </c>
      <c r="P60" s="716">
        <f t="shared" si="15"/>
        <v>0</v>
      </c>
      <c r="Q60" s="716">
        <f t="shared" si="15"/>
        <v>0</v>
      </c>
      <c r="R60" s="716">
        <f t="shared" si="15"/>
        <v>0</v>
      </c>
      <c r="S60" s="716">
        <f t="shared" si="15"/>
        <v>0</v>
      </c>
      <c r="T60" s="716">
        <f t="shared" si="15"/>
        <v>0</v>
      </c>
      <c r="U60" s="716">
        <f t="shared" si="15"/>
        <v>0</v>
      </c>
      <c r="V60" s="716">
        <f t="shared" si="15"/>
        <v>0</v>
      </c>
      <c r="W60" s="716">
        <f t="shared" si="15"/>
        <v>0</v>
      </c>
      <c r="X60" s="716">
        <f t="shared" si="15"/>
        <v>38386.179999999993</v>
      </c>
      <c r="Y60" s="716">
        <f t="shared" si="15"/>
        <v>989285.54</v>
      </c>
      <c r="Z60" s="9"/>
      <c r="AA60" s="11">
        <f>+'Sch 4 - 12 Months'!O27</f>
        <v>989285.54</v>
      </c>
      <c r="AB60" s="11">
        <f>SUM(AB11:AB57)</f>
        <v>0</v>
      </c>
      <c r="AC60" s="11">
        <f>SUM(AC11:AC57)</f>
        <v>0</v>
      </c>
      <c r="AD60" s="11">
        <f>SUM(AD11:AD57)</f>
        <v>0</v>
      </c>
    </row>
    <row r="61" spans="1:30" ht="16.5" thickTop="1">
      <c r="C61" s="5"/>
      <c r="D61" s="49"/>
      <c r="E61" s="62"/>
      <c r="F61" s="62"/>
      <c r="G61" s="62"/>
      <c r="H61" s="62"/>
      <c r="I61" s="62"/>
      <c r="J61" s="62"/>
      <c r="K61" s="63"/>
      <c r="L61" s="5"/>
      <c r="M61" s="5"/>
      <c r="N61" s="63"/>
      <c r="O61" s="5"/>
      <c r="P61" s="5"/>
      <c r="Q61" s="49"/>
      <c r="R61" s="5"/>
      <c r="S61" s="5"/>
      <c r="T61" s="49"/>
      <c r="U61" s="5"/>
      <c r="V61" s="5"/>
      <c r="W61" s="49"/>
      <c r="X61" s="5"/>
      <c r="Y61" s="5"/>
    </row>
    <row r="62" spans="1:30" ht="15.75" customHeight="1">
      <c r="A62" s="6" t="s">
        <v>150</v>
      </c>
      <c r="C62" s="6">
        <f>+'Sch 4 - 12 Months'!Q27</f>
        <v>989285.54</v>
      </c>
      <c r="F62" s="1065"/>
      <c r="G62" s="1065"/>
      <c r="H62" s="1065"/>
      <c r="I62" s="1065"/>
      <c r="J62" s="1065"/>
      <c r="V62" s="6">
        <f>+M60+P60+S60+V60</f>
        <v>0</v>
      </c>
      <c r="Y62" s="6">
        <f>+C62</f>
        <v>989285.54</v>
      </c>
      <c r="AA62" s="6">
        <f>+AA49+AA32+AA57</f>
        <v>0</v>
      </c>
    </row>
    <row r="63" spans="1:30">
      <c r="C63" s="718">
        <f>C60-C62</f>
        <v>0</v>
      </c>
      <c r="F63" s="1065"/>
      <c r="G63" s="1065"/>
      <c r="H63" s="1065"/>
      <c r="I63" s="1065"/>
      <c r="J63" s="1065"/>
      <c r="Y63" s="69">
        <f>Y60-Y62</f>
        <v>0</v>
      </c>
      <c r="AA63" s="405"/>
      <c r="AB63" s="413"/>
    </row>
    <row r="64" spans="1:30">
      <c r="C64" s="18"/>
      <c r="F64" s="1065"/>
      <c r="G64" s="1065"/>
      <c r="H64" s="1065"/>
      <c r="I64" s="1065"/>
      <c r="J64" s="1065"/>
      <c r="U64" s="405"/>
      <c r="Y64" s="18"/>
    </row>
    <row r="65" spans="1:28">
      <c r="C65" s="715"/>
      <c r="F65" s="1065"/>
      <c r="G65" s="1065"/>
      <c r="H65" s="1065"/>
      <c r="I65" s="1065"/>
      <c r="J65" s="1065"/>
    </row>
    <row r="66" spans="1:28">
      <c r="A66" s="19"/>
      <c r="C66" s="393"/>
      <c r="F66" s="1065"/>
      <c r="G66" s="1065"/>
      <c r="H66" s="1065"/>
      <c r="I66" s="1065"/>
      <c r="J66" s="1065"/>
      <c r="S66" s="32"/>
      <c r="Y66" s="405"/>
    </row>
    <row r="67" spans="1:28" ht="15.75" customHeight="1">
      <c r="A67" s="405"/>
      <c r="B67" s="476"/>
      <c r="C67" s="477"/>
      <c r="F67" s="1066"/>
      <c r="G67" s="1066"/>
      <c r="H67" s="1066"/>
      <c r="I67" s="1066"/>
      <c r="J67" s="1066"/>
      <c r="K67" s="1066"/>
      <c r="L67" s="1066"/>
      <c r="M67" s="1066"/>
      <c r="N67" s="1066"/>
      <c r="O67" s="1066"/>
      <c r="P67" s="1066"/>
      <c r="Y67" s="405"/>
      <c r="AB67" s="405"/>
    </row>
    <row r="68" spans="1:28">
      <c r="A68" s="405"/>
      <c r="B68" s="476"/>
      <c r="C68" s="405"/>
      <c r="F68" s="1066"/>
      <c r="G68" s="1066"/>
      <c r="H68" s="1066"/>
      <c r="I68" s="1066"/>
      <c r="J68" s="1066"/>
      <c r="K68" s="1066"/>
      <c r="L68" s="1066"/>
      <c r="M68" s="1066"/>
      <c r="N68" s="1066"/>
      <c r="O68" s="1066"/>
      <c r="P68" s="1066"/>
      <c r="AB68" s="405"/>
    </row>
    <row r="69" spans="1:28" ht="15.75" customHeight="1">
      <c r="A69" s="405"/>
      <c r="B69" s="476"/>
      <c r="C69" s="477"/>
      <c r="F69" s="1066"/>
      <c r="G69" s="1066"/>
      <c r="H69" s="1066"/>
      <c r="I69" s="1066"/>
      <c r="J69" s="1066"/>
      <c r="K69" s="1066"/>
      <c r="L69" s="1066"/>
      <c r="M69" s="1066"/>
      <c r="N69" s="1066"/>
      <c r="O69" s="1066"/>
      <c r="P69" s="1066"/>
    </row>
    <row r="70" spans="1:28">
      <c r="A70" s="405"/>
      <c r="B70" s="476"/>
      <c r="C70" s="405"/>
      <c r="F70" s="1066"/>
      <c r="G70" s="1066"/>
      <c r="H70" s="1066"/>
      <c r="I70" s="1066"/>
      <c r="J70" s="1066"/>
      <c r="K70" s="1066"/>
      <c r="L70" s="1066"/>
      <c r="M70" s="1066"/>
      <c r="N70" s="1066"/>
      <c r="O70" s="1066"/>
      <c r="P70" s="1066"/>
    </row>
    <row r="71" spans="1:28">
      <c r="A71" s="405"/>
      <c r="B71" s="476"/>
      <c r="C71" s="477"/>
      <c r="F71" s="1066"/>
      <c r="G71" s="1066"/>
      <c r="H71" s="1066"/>
      <c r="I71" s="1066"/>
      <c r="J71" s="1066"/>
      <c r="K71" s="1066"/>
      <c r="L71" s="1066"/>
      <c r="M71" s="1066"/>
      <c r="N71" s="1066"/>
      <c r="O71" s="1066"/>
      <c r="P71" s="1066"/>
    </row>
    <row r="72" spans="1:28">
      <c r="C72" s="717"/>
      <c r="F72" s="1066"/>
      <c r="G72" s="1066"/>
      <c r="H72" s="1066"/>
      <c r="I72" s="1066"/>
      <c r="J72" s="1066"/>
      <c r="K72" s="1066"/>
      <c r="L72" s="1066"/>
      <c r="M72" s="1066"/>
      <c r="N72" s="1066"/>
      <c r="O72" s="1066"/>
      <c r="P72" s="1066"/>
    </row>
    <row r="73" spans="1:28">
      <c r="B73" s="476"/>
      <c r="C73" s="405"/>
      <c r="F73" s="1066"/>
      <c r="G73" s="1066"/>
      <c r="H73" s="1066"/>
      <c r="I73" s="1066"/>
      <c r="J73" s="1066"/>
      <c r="K73" s="1066"/>
      <c r="L73" s="1066"/>
      <c r="M73" s="1066"/>
      <c r="N73" s="1066"/>
      <c r="O73" s="1066"/>
      <c r="P73" s="1066"/>
    </row>
    <row r="74" spans="1:28">
      <c r="B74" s="476"/>
      <c r="C74" s="405"/>
      <c r="F74" s="1066"/>
      <c r="G74" s="1066"/>
      <c r="H74" s="1066"/>
      <c r="I74" s="1066"/>
      <c r="J74" s="1066"/>
      <c r="K74" s="1066"/>
      <c r="L74" s="1066"/>
      <c r="M74" s="1066"/>
      <c r="N74" s="1066"/>
      <c r="O74" s="1066"/>
      <c r="P74" s="1066"/>
    </row>
    <row r="75" spans="1:28">
      <c r="B75" s="476"/>
      <c r="C75" s="405"/>
      <c r="F75" s="1066"/>
      <c r="G75" s="1066"/>
      <c r="H75" s="1066"/>
      <c r="I75" s="1066"/>
      <c r="J75" s="1066"/>
      <c r="K75" s="1066"/>
      <c r="L75" s="1066"/>
      <c r="M75" s="1066"/>
      <c r="N75" s="1066"/>
      <c r="O75" s="1066"/>
      <c r="P75" s="1066"/>
    </row>
    <row r="76" spans="1:28">
      <c r="F76" s="1065"/>
      <c r="G76" s="1065"/>
      <c r="H76" s="1065"/>
      <c r="I76" s="1065"/>
      <c r="J76" s="1065"/>
    </row>
    <row r="77" spans="1:28" ht="49.5" customHeight="1">
      <c r="F77" s="1066"/>
      <c r="G77" s="1066"/>
      <c r="H77" s="1066"/>
      <c r="I77" s="1066"/>
      <c r="J77" s="1066"/>
      <c r="K77" s="1066"/>
      <c r="L77" s="1066"/>
      <c r="M77" s="1066"/>
      <c r="N77" s="1066"/>
      <c r="O77" s="1066"/>
      <c r="P77" s="1066"/>
    </row>
    <row r="78" spans="1:28">
      <c r="F78" s="1066"/>
      <c r="G78" s="1066"/>
      <c r="H78" s="1066"/>
      <c r="I78" s="1066"/>
      <c r="J78" s="1066"/>
      <c r="K78" s="719"/>
      <c r="L78" s="720"/>
      <c r="M78" s="720"/>
      <c r="N78" s="719"/>
      <c r="O78" s="720"/>
      <c r="P78" s="720"/>
    </row>
    <row r="79" spans="1:28" ht="15.75" customHeight="1">
      <c r="F79" s="721"/>
      <c r="G79" s="721"/>
      <c r="H79" s="721"/>
      <c r="I79" s="721"/>
      <c r="J79" s="721"/>
      <c r="K79" s="721"/>
      <c r="L79" s="721"/>
      <c r="M79" s="721"/>
      <c r="N79" s="721"/>
      <c r="O79" s="721"/>
      <c r="P79" s="721"/>
    </row>
    <row r="80" spans="1:28">
      <c r="F80" s="721"/>
      <c r="G80" s="721"/>
      <c r="H80" s="721"/>
      <c r="I80" s="721"/>
      <c r="J80" s="721"/>
      <c r="K80" s="721"/>
      <c r="L80" s="721"/>
      <c r="M80" s="721"/>
      <c r="N80" s="721"/>
      <c r="O80" s="721"/>
      <c r="P80" s="721"/>
    </row>
    <row r="81" spans="6:16">
      <c r="F81" s="721"/>
      <c r="G81" s="721"/>
      <c r="H81" s="721"/>
      <c r="I81" s="721"/>
      <c r="J81" s="721"/>
      <c r="K81" s="721"/>
      <c r="L81" s="721"/>
      <c r="M81" s="721"/>
      <c r="N81" s="721"/>
      <c r="O81" s="721"/>
      <c r="P81" s="721"/>
    </row>
    <row r="82" spans="6:16">
      <c r="F82" s="721"/>
      <c r="G82" s="721"/>
      <c r="H82" s="721"/>
      <c r="I82" s="721"/>
      <c r="J82" s="721"/>
      <c r="K82" s="721"/>
      <c r="L82" s="721"/>
      <c r="M82" s="721"/>
      <c r="N82" s="721"/>
      <c r="O82" s="721"/>
      <c r="P82" s="721"/>
    </row>
    <row r="83" spans="6:16">
      <c r="F83" s="721"/>
      <c r="G83" s="721"/>
      <c r="H83" s="721"/>
      <c r="I83" s="721"/>
      <c r="J83" s="721"/>
      <c r="K83" s="721"/>
      <c r="L83" s="721"/>
      <c r="M83" s="721"/>
      <c r="N83" s="721"/>
      <c r="O83" s="721"/>
      <c r="P83" s="721"/>
    </row>
    <row r="84" spans="6:16">
      <c r="F84" s="721"/>
      <c r="G84" s="721"/>
      <c r="H84" s="721"/>
      <c r="I84" s="721"/>
      <c r="J84" s="721"/>
      <c r="K84" s="721"/>
      <c r="L84" s="721"/>
      <c r="M84" s="721"/>
      <c r="N84" s="721"/>
      <c r="O84" s="721"/>
      <c r="P84" s="721"/>
    </row>
    <row r="85" spans="6:16">
      <c r="F85" s="721"/>
      <c r="G85" s="721"/>
      <c r="H85" s="721"/>
      <c r="I85" s="721"/>
      <c r="J85" s="721"/>
      <c r="K85" s="721"/>
      <c r="L85" s="721"/>
      <c r="M85" s="721"/>
      <c r="N85" s="721"/>
      <c r="O85" s="721"/>
      <c r="P85" s="721"/>
    </row>
    <row r="86" spans="6:16">
      <c r="F86" s="721"/>
      <c r="G86" s="721"/>
      <c r="H86" s="721"/>
      <c r="I86" s="721"/>
      <c r="J86" s="721"/>
      <c r="K86" s="721"/>
      <c r="L86" s="721"/>
      <c r="M86" s="721"/>
      <c r="N86" s="721"/>
      <c r="O86" s="721"/>
      <c r="P86" s="721"/>
    </row>
    <row r="87" spans="6:16">
      <c r="F87" s="721"/>
      <c r="G87" s="721"/>
      <c r="H87" s="721"/>
      <c r="I87" s="721"/>
      <c r="J87" s="721"/>
      <c r="K87" s="721"/>
      <c r="L87" s="721"/>
      <c r="M87" s="721"/>
      <c r="N87" s="721"/>
      <c r="O87" s="721"/>
      <c r="P87" s="721"/>
    </row>
    <row r="88" spans="6:16">
      <c r="F88" s="488"/>
      <c r="G88" s="488"/>
      <c r="H88" s="488"/>
      <c r="I88" s="488"/>
      <c r="J88" s="488"/>
      <c r="K88" s="488"/>
      <c r="L88" s="488"/>
      <c r="M88" s="488"/>
      <c r="N88" s="488"/>
      <c r="O88" s="488"/>
      <c r="P88" s="488"/>
    </row>
    <row r="89" spans="6:16">
      <c r="F89" s="488"/>
      <c r="G89" s="488"/>
      <c r="H89" s="488"/>
      <c r="I89" s="488"/>
      <c r="J89" s="488"/>
      <c r="K89" s="488"/>
      <c r="L89" s="488"/>
      <c r="M89" s="488"/>
      <c r="N89" s="488"/>
      <c r="O89" s="488"/>
      <c r="P89" s="488"/>
    </row>
  </sheetData>
  <mergeCells count="14">
    <mergeCell ref="A1:AB1"/>
    <mergeCell ref="A3:AB3"/>
    <mergeCell ref="A4:AB4"/>
    <mergeCell ref="L9:M9"/>
    <mergeCell ref="C7:C8"/>
    <mergeCell ref="R8:S8"/>
    <mergeCell ref="L7:V7"/>
    <mergeCell ref="L8:M8"/>
    <mergeCell ref="U9:V9"/>
    <mergeCell ref="O8:P8"/>
    <mergeCell ref="O9:P9"/>
    <mergeCell ref="U8:V8"/>
    <mergeCell ref="X9:Y9"/>
    <mergeCell ref="R9:S9"/>
  </mergeCells>
  <phoneticPr fontId="0" type="noConversion"/>
  <pageMargins left="0.5" right="0.5" top="0.75" bottom="0.5" header="0.22" footer="0.26"/>
  <pageSetup scale="4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4"/>
  <dimension ref="A1:AL81"/>
  <sheetViews>
    <sheetView zoomScale="55" zoomScaleNormal="55" workbookViewId="0">
      <pane xSplit="1" ySplit="1" topLeftCell="I2" activePane="bottomRight" state="frozen"/>
      <selection pane="topRight" activeCell="B1" sqref="B1"/>
      <selection pane="bottomLeft" activeCell="A2" sqref="A2"/>
      <selection pane="bottomRight" activeCell="N26" sqref="N26"/>
    </sheetView>
  </sheetViews>
  <sheetFormatPr defaultRowHeight="15.75"/>
  <cols>
    <col min="1" max="1" width="40.21875" style="6" customWidth="1"/>
    <col min="2" max="2" width="6.5546875" style="18" customWidth="1"/>
    <col min="3" max="3" width="22.77734375" style="18" customWidth="1"/>
    <col min="4" max="4" width="11.44140625" style="18" customWidth="1"/>
    <col min="5" max="5" width="9.21875" style="18" bestFit="1" customWidth="1"/>
    <col min="6" max="6" width="9" style="18" bestFit="1" customWidth="1"/>
    <col min="7" max="7" width="10.109375" style="18" bestFit="1" customWidth="1"/>
    <col min="8" max="10" width="10.109375" style="18" customWidth="1"/>
    <col min="11" max="11" width="12" style="18" hidden="1" customWidth="1"/>
    <col min="12" max="12" width="1.77734375" style="18" customWidth="1"/>
    <col min="13" max="13" width="9.6640625" style="6" bestFit="1" customWidth="1"/>
    <col min="14" max="14" width="9.88671875" style="6" customWidth="1"/>
    <col min="15" max="15" width="12.21875" style="6" customWidth="1"/>
    <col min="16" max="16" width="1.77734375" style="6" customWidth="1"/>
    <col min="17" max="17" width="10.33203125" style="18" bestFit="1" customWidth="1"/>
    <col min="18" max="18" width="9.33203125" style="18" hidden="1" customWidth="1"/>
    <col min="19" max="19" width="11.33203125" style="18" bestFit="1" customWidth="1"/>
    <col min="20" max="20" width="9.77734375" style="18" hidden="1" customWidth="1"/>
    <col min="21" max="24" width="12" style="18" customWidth="1"/>
    <col min="25" max="25" width="9.77734375" style="6" customWidth="1"/>
    <col min="26" max="26" width="15" style="6" customWidth="1"/>
    <col min="27" max="27" width="11.5546875" style="6" customWidth="1"/>
    <col min="28" max="28" width="9.77734375" style="6" customWidth="1"/>
    <col min="29" max="30" width="12.109375" style="6" customWidth="1"/>
    <col min="31" max="31" width="11.21875" style="6" customWidth="1"/>
    <col min="32" max="32" width="10.88671875" style="6" bestFit="1" customWidth="1"/>
    <col min="33" max="34" width="9.77734375" style="6" customWidth="1"/>
    <col min="35" max="35" width="10.5546875" style="6" bestFit="1" customWidth="1"/>
    <col min="36" max="36" width="11.6640625" style="6" customWidth="1"/>
    <col min="37" max="37" width="8.44140625" style="6" bestFit="1" customWidth="1"/>
    <col min="38" max="38" width="10.5546875" style="6" customWidth="1"/>
    <col min="39" max="39" width="11.88671875" style="6" customWidth="1"/>
    <col min="40" max="16384" width="8.88671875" style="6"/>
  </cols>
  <sheetData>
    <row r="1" spans="1:38" ht="16.5">
      <c r="A1" s="1032" t="s">
        <v>434</v>
      </c>
      <c r="B1" s="1032"/>
      <c r="C1" s="1032"/>
      <c r="D1" s="1032"/>
      <c r="E1" s="1032"/>
      <c r="F1" s="1032"/>
      <c r="G1" s="1032"/>
      <c r="H1" s="1032"/>
      <c r="I1" s="1032"/>
      <c r="J1" s="1032"/>
      <c r="K1" s="1032"/>
      <c r="L1" s="1032"/>
      <c r="M1" s="1032"/>
      <c r="N1" s="1032"/>
      <c r="O1" s="1032"/>
      <c r="P1" s="1032"/>
      <c r="Q1" s="1032"/>
      <c r="R1" s="1032"/>
      <c r="S1" s="1032"/>
      <c r="T1" s="1033" t="str">
        <f>+A1</f>
        <v>Pullman Disposal Services, Inc.</v>
      </c>
      <c r="U1" s="1033"/>
      <c r="V1" s="1033"/>
      <c r="W1" s="1033"/>
      <c r="X1" s="1033"/>
      <c r="Y1" s="1033"/>
      <c r="Z1" s="1033"/>
      <c r="AA1" s="1033"/>
      <c r="AB1" s="1033"/>
      <c r="AC1" s="1033"/>
      <c r="AD1" s="1033"/>
      <c r="AE1" s="1033"/>
      <c r="AF1" s="1033"/>
      <c r="AG1" s="1033"/>
      <c r="AH1" s="1033"/>
      <c r="AI1" s="1033"/>
      <c r="AJ1" s="1033"/>
      <c r="AK1" s="1033"/>
      <c r="AL1" s="64"/>
    </row>
    <row r="2" spans="1:38" ht="13.5" customHeight="1">
      <c r="A2" s="65"/>
      <c r="B2" s="6"/>
      <c r="S2" s="6"/>
      <c r="U2" s="65"/>
      <c r="V2" s="65"/>
      <c r="W2" s="65"/>
      <c r="X2" s="65"/>
      <c r="Y2" s="18"/>
      <c r="Z2" s="18"/>
      <c r="AA2" s="18"/>
      <c r="AB2" s="18"/>
      <c r="AC2" s="18"/>
      <c r="AD2" s="18"/>
      <c r="AE2" s="18"/>
      <c r="AF2" s="18"/>
      <c r="AI2" s="18"/>
      <c r="AL2" s="18"/>
    </row>
    <row r="3" spans="1:38" ht="16.5">
      <c r="A3" s="1032" t="s">
        <v>265</v>
      </c>
      <c r="B3" s="1032"/>
      <c r="C3" s="1032"/>
      <c r="D3" s="1032"/>
      <c r="E3" s="1032"/>
      <c r="F3" s="1032"/>
      <c r="G3" s="1032"/>
      <c r="H3" s="1032"/>
      <c r="I3" s="1032"/>
      <c r="J3" s="1032"/>
      <c r="K3" s="1032"/>
      <c r="L3" s="1032"/>
      <c r="M3" s="1032"/>
      <c r="N3" s="1032"/>
      <c r="O3" s="1032"/>
      <c r="P3" s="1032"/>
      <c r="Q3" s="1032"/>
      <c r="R3" s="1032"/>
      <c r="S3" s="1032"/>
      <c r="T3" s="1033" t="s">
        <v>134</v>
      </c>
      <c r="U3" s="1033"/>
      <c r="V3" s="1033"/>
      <c r="W3" s="1033"/>
      <c r="X3" s="1033"/>
      <c r="Y3" s="1033"/>
      <c r="Z3" s="1033"/>
      <c r="AA3" s="1033"/>
      <c r="AB3" s="1033"/>
      <c r="AC3" s="1033"/>
      <c r="AD3" s="1033"/>
      <c r="AE3" s="1033"/>
      <c r="AF3" s="1033"/>
      <c r="AG3" s="1033"/>
      <c r="AH3" s="1033"/>
      <c r="AI3" s="1033"/>
      <c r="AJ3" s="1033"/>
      <c r="AK3" s="1033"/>
      <c r="AL3" s="64"/>
    </row>
    <row r="4" spans="1:38">
      <c r="A4" s="975"/>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64"/>
    </row>
    <row r="5" spans="1:38" ht="15.75" customHeight="1">
      <c r="A5" s="1026"/>
      <c r="B5" s="1032"/>
      <c r="C5" s="1032"/>
      <c r="D5" s="1032"/>
      <c r="E5" s="1032"/>
      <c r="F5" s="1032"/>
      <c r="G5" s="1032"/>
      <c r="H5" s="1032"/>
      <c r="I5" s="1032"/>
      <c r="J5" s="1032"/>
      <c r="K5" s="1032"/>
      <c r="L5" s="1032"/>
      <c r="M5" s="1032"/>
      <c r="N5" s="1032"/>
      <c r="O5" s="1032"/>
      <c r="P5" s="1032"/>
      <c r="Q5" s="1032"/>
      <c r="R5" s="1032"/>
      <c r="S5" s="1032"/>
      <c r="T5" s="1026">
        <f>+'WP-2 - Labor Analysis'!A4:AB4</f>
        <v>0</v>
      </c>
      <c r="U5" s="1032"/>
      <c r="V5" s="1032"/>
      <c r="W5" s="1032"/>
      <c r="X5" s="1032"/>
      <c r="Y5" s="1032"/>
      <c r="Z5" s="1032"/>
      <c r="AA5" s="1032"/>
      <c r="AB5" s="1032"/>
      <c r="AC5" s="1032"/>
      <c r="AD5" s="1032"/>
      <c r="AE5" s="1032"/>
      <c r="AF5" s="1032"/>
      <c r="AG5" s="1032"/>
      <c r="AH5" s="1032"/>
      <c r="AI5" s="1032"/>
      <c r="AJ5" s="1032"/>
      <c r="AK5" s="1032"/>
      <c r="AL5" s="64"/>
    </row>
    <row r="6" spans="1:38" ht="15.75" customHeight="1">
      <c r="B6" s="515"/>
      <c r="C6" s="1026" t="s">
        <v>1004</v>
      </c>
      <c r="D6" s="1026"/>
      <c r="E6" s="1026"/>
      <c r="F6" s="1026"/>
      <c r="G6" s="1026"/>
      <c r="H6" s="1026"/>
      <c r="I6" s="1026"/>
      <c r="J6" s="1026"/>
      <c r="K6" s="515"/>
      <c r="L6" s="515"/>
      <c r="M6" s="515"/>
      <c r="N6" s="515"/>
      <c r="O6" s="515"/>
      <c r="P6" s="515"/>
      <c r="Q6" s="1026"/>
      <c r="R6" s="1026"/>
      <c r="S6" s="1026"/>
      <c r="T6" s="1026"/>
      <c r="U6" s="1026"/>
      <c r="V6" s="1026"/>
      <c r="W6" s="1026"/>
      <c r="X6" s="1026"/>
      <c r="Y6" s="1026"/>
      <c r="Z6" s="975"/>
      <c r="AA6" s="975"/>
      <c r="AB6" s="975"/>
      <c r="AC6" s="975"/>
      <c r="AD6" s="975"/>
      <c r="AE6" s="975"/>
      <c r="AF6" s="759">
        <v>9.74E-2</v>
      </c>
      <c r="AG6" s="759" t="s">
        <v>872</v>
      </c>
      <c r="AH6" s="975"/>
      <c r="AI6" s="975"/>
      <c r="AJ6" s="975"/>
      <c r="AK6" s="975"/>
      <c r="AL6" s="64"/>
    </row>
    <row r="7" spans="1:38" ht="15.75" customHeight="1">
      <c r="A7" s="66"/>
      <c r="B7" s="28"/>
      <c r="C7" s="28"/>
      <c r="D7" s="28"/>
      <c r="E7" s="28"/>
      <c r="F7" s="28"/>
      <c r="G7" s="28"/>
      <c r="H7" s="1028" t="s">
        <v>881</v>
      </c>
      <c r="I7" s="1028"/>
      <c r="J7" s="1028"/>
      <c r="K7" s="970"/>
      <c r="L7" s="28"/>
      <c r="O7" s="970" t="s">
        <v>107</v>
      </c>
      <c r="U7" s="974"/>
      <c r="V7" s="974"/>
      <c r="W7" s="974"/>
      <c r="X7" s="974"/>
      <c r="AC7" s="68" t="s">
        <v>226</v>
      </c>
      <c r="AD7" s="68"/>
      <c r="AE7" s="6">
        <v>52700</v>
      </c>
      <c r="AF7" s="759">
        <v>2.0278499999999999</v>
      </c>
      <c r="AG7" s="139" t="s">
        <v>118</v>
      </c>
      <c r="AH7" s="405"/>
    </row>
    <row r="8" spans="1:38">
      <c r="A8" s="873" t="s">
        <v>988</v>
      </c>
      <c r="B8" s="973"/>
      <c r="C8" s="973"/>
      <c r="D8" s="973"/>
      <c r="E8" s="973"/>
      <c r="F8" s="973"/>
      <c r="G8" s="973" t="s">
        <v>223</v>
      </c>
      <c r="H8" s="1028"/>
      <c r="I8" s="1028"/>
      <c r="J8" s="1028"/>
      <c r="K8" s="970"/>
      <c r="L8" s="973"/>
      <c r="M8" s="1034"/>
      <c r="N8" s="1034"/>
      <c r="O8" s="970" t="s">
        <v>989</v>
      </c>
      <c r="P8" s="4"/>
      <c r="Q8" s="970" t="s">
        <v>854</v>
      </c>
      <c r="R8" s="970"/>
      <c r="S8" s="970" t="s">
        <v>899</v>
      </c>
      <c r="T8" s="970">
        <v>0</v>
      </c>
      <c r="U8" s="970" t="s">
        <v>900</v>
      </c>
      <c r="V8" s="970" t="s">
        <v>854</v>
      </c>
      <c r="W8" s="970" t="s">
        <v>901</v>
      </c>
      <c r="X8" s="970" t="s">
        <v>906</v>
      </c>
      <c r="Y8" s="4"/>
      <c r="Z8" s="489">
        <f>100%</f>
        <v>1</v>
      </c>
      <c r="AA8" s="970" t="s">
        <v>0</v>
      </c>
      <c r="AB8" s="4"/>
      <c r="AC8" s="68" t="s">
        <v>227</v>
      </c>
      <c r="AD8" s="68"/>
      <c r="AE8" s="759">
        <v>1.2999999999999999E-3</v>
      </c>
      <c r="AF8" s="759">
        <v>8.3799999999999999E-2</v>
      </c>
      <c r="AG8" s="139" t="s">
        <v>117</v>
      </c>
    </row>
    <row r="9" spans="1:38">
      <c r="A9" s="4"/>
      <c r="B9" s="970" t="s">
        <v>96</v>
      </c>
      <c r="C9" s="970" t="s">
        <v>106</v>
      </c>
      <c r="D9" s="970" t="s">
        <v>97</v>
      </c>
      <c r="E9" s="970" t="s">
        <v>50</v>
      </c>
      <c r="F9" s="970" t="s">
        <v>102</v>
      </c>
      <c r="G9" s="972" t="s">
        <v>122</v>
      </c>
      <c r="H9" s="972" t="s">
        <v>851</v>
      </c>
      <c r="I9" s="972" t="s">
        <v>853</v>
      </c>
      <c r="J9" s="972" t="s">
        <v>853</v>
      </c>
      <c r="K9" s="977"/>
      <c r="L9" s="972"/>
      <c r="M9" s="995" t="s">
        <v>224</v>
      </c>
      <c r="N9" s="995"/>
      <c r="O9" s="970" t="s">
        <v>980</v>
      </c>
      <c r="P9" s="4"/>
      <c r="Q9" s="970" t="s">
        <v>855</v>
      </c>
      <c r="R9" s="970"/>
      <c r="S9" s="970" t="s">
        <v>856</v>
      </c>
      <c r="T9" s="970" t="s">
        <v>109</v>
      </c>
      <c r="U9" s="970" t="s">
        <v>856</v>
      </c>
      <c r="V9" s="970" t="s">
        <v>904</v>
      </c>
      <c r="W9" s="970" t="s">
        <v>902</v>
      </c>
      <c r="X9" s="970" t="s">
        <v>902</v>
      </c>
      <c r="Y9" s="970"/>
      <c r="Z9" s="970" t="s">
        <v>107</v>
      </c>
      <c r="AA9" s="970" t="s">
        <v>110</v>
      </c>
      <c r="AB9" s="970"/>
      <c r="AC9" s="4"/>
      <c r="AD9" s="4"/>
      <c r="AE9" s="970" t="s">
        <v>113</v>
      </c>
      <c r="AF9" s="4"/>
      <c r="AG9" s="970"/>
      <c r="AH9" s="970" t="s">
        <v>102</v>
      </c>
      <c r="AI9" s="970" t="s">
        <v>0</v>
      </c>
    </row>
    <row r="10" spans="1:38">
      <c r="A10" s="51" t="s">
        <v>1</v>
      </c>
      <c r="B10" s="51" t="s">
        <v>73</v>
      </c>
      <c r="C10" s="51" t="s">
        <v>32</v>
      </c>
      <c r="D10" s="51" t="s">
        <v>870</v>
      </c>
      <c r="E10" s="51" t="s">
        <v>95</v>
      </c>
      <c r="F10" s="51" t="s">
        <v>103</v>
      </c>
      <c r="G10" s="51" t="s">
        <v>32</v>
      </c>
      <c r="H10" s="51" t="s">
        <v>852</v>
      </c>
      <c r="I10" s="51" t="s">
        <v>852</v>
      </c>
      <c r="J10" s="51" t="s">
        <v>852</v>
      </c>
      <c r="K10" s="51"/>
      <c r="L10" s="974"/>
      <c r="M10" s="51" t="s">
        <v>2</v>
      </c>
      <c r="N10" s="51" t="s">
        <v>3</v>
      </c>
      <c r="O10" s="865" t="s">
        <v>981</v>
      </c>
      <c r="P10" s="4"/>
      <c r="Q10" s="890">
        <v>43738</v>
      </c>
      <c r="R10" s="974"/>
      <c r="S10" s="974" t="s">
        <v>857</v>
      </c>
      <c r="T10" s="974" t="s">
        <v>225</v>
      </c>
      <c r="U10" s="970" t="s">
        <v>858</v>
      </c>
      <c r="V10" s="970" t="s">
        <v>903</v>
      </c>
      <c r="W10" s="970" t="s">
        <v>903</v>
      </c>
      <c r="X10" s="970" t="s">
        <v>903</v>
      </c>
      <c r="Y10" s="974" t="s">
        <v>101</v>
      </c>
      <c r="Z10" s="974" t="s">
        <v>108</v>
      </c>
      <c r="AA10" s="974" t="s">
        <v>4</v>
      </c>
      <c r="AB10" s="974" t="s">
        <v>112</v>
      </c>
      <c r="AC10" s="974" t="s">
        <v>115</v>
      </c>
      <c r="AD10" s="974" t="s">
        <v>870</v>
      </c>
      <c r="AE10" s="974" t="s">
        <v>114</v>
      </c>
      <c r="AF10" s="974" t="s">
        <v>116</v>
      </c>
      <c r="AG10" s="970" t="s">
        <v>50</v>
      </c>
      <c r="AH10" s="970" t="s">
        <v>103</v>
      </c>
      <c r="AI10" s="970" t="s">
        <v>119</v>
      </c>
    </row>
    <row r="11" spans="1:38">
      <c r="A11" s="19" t="str">
        <f>+'WP-2 - Labor Analysis'!A11</f>
        <v>William N. Felsted</v>
      </c>
      <c r="B11" s="18" t="s">
        <v>99</v>
      </c>
      <c r="C11" s="18" t="s">
        <v>304</v>
      </c>
      <c r="D11" s="18" t="s">
        <v>100</v>
      </c>
      <c r="E11" s="18" t="s">
        <v>100</v>
      </c>
      <c r="F11" s="18" t="s">
        <v>100</v>
      </c>
      <c r="G11" s="715"/>
      <c r="H11" s="715"/>
      <c r="I11" s="715"/>
      <c r="J11" s="715"/>
      <c r="K11" s="395">
        <v>0</v>
      </c>
      <c r="M11" s="8">
        <f>+'WP-2 - Labor Analysis'!X11</f>
        <v>2000</v>
      </c>
      <c r="N11" s="8">
        <f>+'WP-2 - Labor Analysis'!Y11</f>
        <v>139168.26</v>
      </c>
      <c r="O11" s="8"/>
      <c r="Q11" s="395" t="s">
        <v>905</v>
      </c>
      <c r="R11" s="30"/>
      <c r="S11" s="30">
        <f>3*(143500/12)</f>
        <v>35875</v>
      </c>
      <c r="T11" s="30">
        <v>0</v>
      </c>
      <c r="U11" s="30"/>
      <c r="V11" s="395" t="s">
        <v>905</v>
      </c>
      <c r="W11" s="30">
        <f>9*((143500*1.04)/12)</f>
        <v>111930</v>
      </c>
      <c r="X11" s="30"/>
      <c r="Y11" s="746">
        <v>568.24</v>
      </c>
      <c r="Z11" s="9">
        <f>SUM(S11:Y11)</f>
        <v>148373.24</v>
      </c>
      <c r="AA11" s="9">
        <f>Z11-N11</f>
        <v>9204.9799999999814</v>
      </c>
      <c r="AB11" s="9">
        <f>136800*0.0765</f>
        <v>10465.199999999999</v>
      </c>
      <c r="AC11" s="9">
        <f>IF(Z11&gt;7000,7000*0.008,Z11*0.008)</f>
        <v>56</v>
      </c>
      <c r="AD11" s="9">
        <f>+Z11*0.03</f>
        <v>4451.1971999999996</v>
      </c>
      <c r="AE11" s="9">
        <f>IF(Z11&gt;$AE$7,$AE$7*$AE$8,+Z11*$AE$8)</f>
        <v>68.509999999999991</v>
      </c>
      <c r="AF11" s="9">
        <f>$AF$6*M11</f>
        <v>194.8</v>
      </c>
      <c r="AG11" s="9">
        <f>+'WP-2, pg 3 - Benefits Analysis'!S12</f>
        <v>25050</v>
      </c>
      <c r="AH11" s="9">
        <f>+'WP-2, pg 3 - Benefits Analysis'!R12</f>
        <v>4256.3999999999996</v>
      </c>
      <c r="AI11" s="9">
        <f>SUM(AB11:AH11)</f>
        <v>44542.107199999999</v>
      </c>
    </row>
    <row r="12" spans="1:38">
      <c r="A12" s="6" t="str">
        <f>+'WP-2 - Labor Analysis'!A12</f>
        <v>Valerie C. Felsted</v>
      </c>
      <c r="B12" s="18" t="s">
        <v>99</v>
      </c>
      <c r="C12" s="18" t="s">
        <v>304</v>
      </c>
      <c r="D12" s="18" t="s">
        <v>100</v>
      </c>
      <c r="E12" s="18" t="s">
        <v>104</v>
      </c>
      <c r="F12" s="18" t="s">
        <v>100</v>
      </c>
      <c r="G12" s="715"/>
      <c r="H12" s="715"/>
      <c r="I12" s="715"/>
      <c r="J12" s="715"/>
      <c r="M12" s="6">
        <f>+'WP-2 - Labor Analysis'!X12</f>
        <v>2000</v>
      </c>
      <c r="N12" s="6">
        <f>+'WP-2 - Labor Analysis'!Y12</f>
        <v>40179.019999999997</v>
      </c>
      <c r="Q12" s="395" t="s">
        <v>905</v>
      </c>
      <c r="S12" s="18">
        <f>3*(41200/12)</f>
        <v>10300</v>
      </c>
      <c r="V12" s="395" t="s">
        <v>905</v>
      </c>
      <c r="W12" s="18">
        <f>9*((41200*1.04)/12)</f>
        <v>32136</v>
      </c>
      <c r="Y12" s="746">
        <v>379</v>
      </c>
      <c r="Z12" s="9">
        <f t="shared" ref="Z12:Z13" si="0">SUM(S12:Y12)</f>
        <v>42815</v>
      </c>
      <c r="AA12" s="9">
        <f>Z12-N12</f>
        <v>2635.9800000000032</v>
      </c>
      <c r="AB12" s="9">
        <f t="shared" ref="AB12:AB14" si="1">Z12*0.0765</f>
        <v>3275.3474999999999</v>
      </c>
      <c r="AC12" s="9">
        <f t="shared" ref="AC12:AC14" si="2">IF(Z12&gt;7000,7000*0.008,Z12*0.008)</f>
        <v>56</v>
      </c>
      <c r="AD12" s="9">
        <f t="shared" ref="AD12:AD14" si="3">+Z12*0.03</f>
        <v>1284.45</v>
      </c>
      <c r="AE12" s="9">
        <f t="shared" ref="AE12:AE14" si="4">IF(Z12&gt;$AE$7,$AE$7*$AE$8,+Z12*$AE$8)</f>
        <v>55.659499999999994</v>
      </c>
      <c r="AF12" s="9">
        <f>$AF$6*M12</f>
        <v>194.8</v>
      </c>
      <c r="AG12" s="9">
        <f>+'WP-2, pg 3 - Benefits Analysis'!S13</f>
        <v>956</v>
      </c>
      <c r="AH12" s="9">
        <f>+'WP-2, pg 3 - Benefits Analysis'!R13</f>
        <v>3300.3999999999996</v>
      </c>
      <c r="AI12" s="9">
        <f t="shared" ref="AI12:AI14" si="5">SUM(AB12:AH12)</f>
        <v>9122.6569999999992</v>
      </c>
    </row>
    <row r="13" spans="1:38">
      <c r="A13" s="19" t="str">
        <f>+'WP-2 - Labor Analysis'!A13</f>
        <v>Devon L. Felsted</v>
      </c>
      <c r="B13" s="18" t="s">
        <v>99</v>
      </c>
      <c r="C13" s="18" t="s">
        <v>304</v>
      </c>
      <c r="D13" s="18" t="s">
        <v>100</v>
      </c>
      <c r="E13" s="18" t="s">
        <v>100</v>
      </c>
      <c r="F13" s="18" t="s">
        <v>100</v>
      </c>
      <c r="G13" s="715"/>
      <c r="H13" s="715"/>
      <c r="I13" s="715"/>
      <c r="J13" s="715"/>
      <c r="K13" s="395"/>
      <c r="M13" s="8">
        <f>+'WP-2 - Labor Analysis'!X13</f>
        <v>2000</v>
      </c>
      <c r="N13" s="8">
        <f>+'WP-2 - Labor Analysis'!Y13</f>
        <v>119562.7</v>
      </c>
      <c r="O13" s="8"/>
      <c r="Q13" s="395" t="s">
        <v>905</v>
      </c>
      <c r="R13" s="30">
        <v>0</v>
      </c>
      <c r="S13" s="30">
        <f>3*(124700/12)</f>
        <v>31175</v>
      </c>
      <c r="T13" s="30">
        <v>0</v>
      </c>
      <c r="U13" s="30"/>
      <c r="V13" s="395" t="s">
        <v>905</v>
      </c>
      <c r="W13" s="30">
        <f>9*((124700*1.04)/12)</f>
        <v>97266</v>
      </c>
      <c r="X13" s="30"/>
      <c r="Y13" s="746">
        <v>1031.94</v>
      </c>
      <c r="Z13" s="9">
        <f t="shared" si="0"/>
        <v>129472.94</v>
      </c>
      <c r="AA13" s="9">
        <f>Z13-N13</f>
        <v>9910.2400000000052</v>
      </c>
      <c r="AB13" s="9">
        <f t="shared" si="1"/>
        <v>9904.6799100000007</v>
      </c>
      <c r="AC13" s="9">
        <f t="shared" si="2"/>
        <v>56</v>
      </c>
      <c r="AD13" s="9">
        <f t="shared" si="3"/>
        <v>3884.1882000000001</v>
      </c>
      <c r="AE13" s="9">
        <f t="shared" si="4"/>
        <v>68.509999999999991</v>
      </c>
      <c r="AF13" s="9">
        <f>$AF$6*M13</f>
        <v>194.8</v>
      </c>
      <c r="AG13" s="9">
        <f>+'WP-2, pg 3 - Benefits Analysis'!S14</f>
        <v>6742.8</v>
      </c>
      <c r="AH13" s="9">
        <f>+'WP-2, pg 3 - Benefits Analysis'!R14</f>
        <v>21122.019999999997</v>
      </c>
      <c r="AI13" s="9">
        <f t="shared" si="5"/>
        <v>41972.99811</v>
      </c>
    </row>
    <row r="14" spans="1:38">
      <c r="A14" s="19" t="str">
        <f>+'WP-2 - Labor Analysis'!A14</f>
        <v>Leslie Olin</v>
      </c>
      <c r="B14" s="18" t="s">
        <v>98</v>
      </c>
      <c r="C14" s="18" t="s">
        <v>105</v>
      </c>
      <c r="D14" s="18" t="s">
        <v>100</v>
      </c>
      <c r="E14" s="18" t="s">
        <v>104</v>
      </c>
      <c r="F14" s="18" t="s">
        <v>100</v>
      </c>
      <c r="G14" s="715">
        <v>19.5</v>
      </c>
      <c r="H14" s="715">
        <v>20.2</v>
      </c>
      <c r="I14" s="715"/>
      <c r="J14" s="715"/>
      <c r="M14" s="8">
        <f>+'WP-2 - Labor Analysis'!X14</f>
        <v>2141.6800000000003</v>
      </c>
      <c r="N14" s="8">
        <f>+'WP-2 - Labor Analysis'!Y14</f>
        <v>44032.33</v>
      </c>
      <c r="O14" s="8"/>
      <c r="Q14" s="395">
        <v>22</v>
      </c>
      <c r="S14" s="18">
        <f>+(0.25)*Q14*('WP-2 - Labor Analysis'!E14+'WP-2 - Labor Analysis'!G14+'WP-2 - Labor Analysis'!H14+'WP-2 - Labor Analysis'!I14)</f>
        <v>11436.7</v>
      </c>
      <c r="U14" s="18">
        <f>+(0.25)*1.5*Q14*('WP-2 - Labor Analysis'!F14)</f>
        <v>513.81000000000006</v>
      </c>
      <c r="V14" s="395">
        <f>+Q14*1.04</f>
        <v>22.880000000000003</v>
      </c>
      <c r="W14" s="18">
        <f>+(0.75)*V14*('WP-2 - Labor Analysis'!E14+'WP-2 - Labor Analysis'!G14+'WP-2 - Labor Analysis'!H14+'WP-2 - Labor Analysis'!I14)</f>
        <v>35682.504000000008</v>
      </c>
      <c r="X14" s="18">
        <f>+(0.75)*1.5*V14*('WP-2 - Labor Analysis'!F14)</f>
        <v>1603.0872000000002</v>
      </c>
      <c r="Y14" s="746">
        <v>433.13</v>
      </c>
      <c r="Z14" s="9">
        <f>SUM(S14:U14)+SUM(W14:Y14)</f>
        <v>49669.231200000009</v>
      </c>
      <c r="AA14" s="9">
        <f>Z14-N14</f>
        <v>5636.9012000000075</v>
      </c>
      <c r="AB14" s="9">
        <f t="shared" si="1"/>
        <v>3799.6961868000008</v>
      </c>
      <c r="AC14" s="9">
        <f t="shared" si="2"/>
        <v>56</v>
      </c>
      <c r="AD14" s="9">
        <f t="shared" si="3"/>
        <v>1490.0769360000002</v>
      </c>
      <c r="AE14" s="9">
        <f t="shared" si="4"/>
        <v>64.570000560000011</v>
      </c>
      <c r="AF14" s="9">
        <f>$AF$6*(M14-'WP-2 - Labor Analysis'!H14-'WP-2 - Labor Analysis'!I14-'WP-2 - Labor Analysis'!G14)</f>
        <v>195.494462</v>
      </c>
      <c r="AG14" s="9">
        <f>+'WP-2, pg 3 - Benefits Analysis'!S15</f>
        <v>0</v>
      </c>
      <c r="AH14" s="9">
        <f>+'WP-2, pg 3 - Benefits Analysis'!R15</f>
        <v>8898.9599999999991</v>
      </c>
      <c r="AI14" s="9">
        <f t="shared" si="5"/>
        <v>14504.79758536</v>
      </c>
    </row>
    <row r="15" spans="1:38">
      <c r="A15" s="31" t="str">
        <f>+'WP-2 - Labor Analysis'!A15</f>
        <v>OFFICERS</v>
      </c>
      <c r="B15" s="970"/>
      <c r="C15" s="970"/>
      <c r="D15" s="970"/>
      <c r="E15" s="970"/>
      <c r="F15" s="970"/>
      <c r="G15" s="715"/>
      <c r="H15" s="715"/>
      <c r="I15" s="715"/>
      <c r="J15" s="715"/>
      <c r="K15" s="396"/>
      <c r="L15" s="970"/>
      <c r="M15" s="390">
        <f>SUM(M11:M14)</f>
        <v>8141.68</v>
      </c>
      <c r="N15" s="390">
        <f>SUM(N11:N14)</f>
        <v>342942.31</v>
      </c>
      <c r="O15" s="20"/>
      <c r="Q15" s="395"/>
      <c r="R15" s="30"/>
      <c r="S15" s="30"/>
      <c r="T15" s="30"/>
      <c r="U15" s="30"/>
      <c r="V15" s="395"/>
      <c r="W15" s="30"/>
      <c r="X15" s="30"/>
      <c r="Y15" s="746"/>
      <c r="Z15" s="760">
        <f>SUM(Z11:Z14)</f>
        <v>370330.41119999997</v>
      </c>
      <c r="AA15" s="760">
        <f t="shared" ref="AA15:AI15" si="6">SUM(AA11:AA14)</f>
        <v>27388.101199999997</v>
      </c>
      <c r="AB15" s="760">
        <f t="shared" si="6"/>
        <v>27444.923596799999</v>
      </c>
      <c r="AC15" s="760">
        <f t="shared" si="6"/>
        <v>224</v>
      </c>
      <c r="AD15" s="760">
        <f t="shared" si="6"/>
        <v>11109.912335999999</v>
      </c>
      <c r="AE15" s="760">
        <f t="shared" si="6"/>
        <v>257.24950056</v>
      </c>
      <c r="AF15" s="882">
        <f t="shared" si="6"/>
        <v>779.89446200000009</v>
      </c>
      <c r="AG15" s="760">
        <f t="shared" si="6"/>
        <v>32748.799999999999</v>
      </c>
      <c r="AH15" s="760">
        <f t="shared" si="6"/>
        <v>37577.78</v>
      </c>
      <c r="AI15" s="760">
        <f t="shared" si="6"/>
        <v>110142.55989536</v>
      </c>
      <c r="AJ15" s="140"/>
    </row>
    <row r="16" spans="1:38">
      <c r="A16" s="31"/>
      <c r="B16" s="970"/>
      <c r="C16" s="970"/>
      <c r="D16" s="970"/>
      <c r="E16" s="970"/>
      <c r="F16" s="970"/>
      <c r="G16" s="715"/>
      <c r="H16" s="715"/>
      <c r="I16" s="715"/>
      <c r="J16" s="715"/>
      <c r="K16" s="396"/>
      <c r="L16" s="970"/>
      <c r="M16" s="20"/>
      <c r="N16" s="20"/>
      <c r="O16" s="20"/>
      <c r="Q16" s="395"/>
      <c r="R16" s="30"/>
      <c r="S16" s="30"/>
      <c r="T16" s="30"/>
      <c r="U16" s="30"/>
      <c r="V16" s="395"/>
      <c r="W16" s="30"/>
      <c r="X16" s="30"/>
      <c r="Y16" s="746"/>
      <c r="Z16" s="20"/>
      <c r="AA16" s="20"/>
      <c r="AB16" s="20"/>
      <c r="AC16" s="20"/>
      <c r="AD16" s="20"/>
      <c r="AE16" s="20"/>
      <c r="AF16" s="388"/>
      <c r="AG16" s="20"/>
      <c r="AH16" s="20"/>
      <c r="AI16" s="20"/>
      <c r="AJ16" s="140"/>
    </row>
    <row r="17" spans="1:36">
      <c r="G17" s="715"/>
      <c r="H17" s="715"/>
      <c r="I17" s="715"/>
      <c r="J17" s="715"/>
      <c r="K17" s="395"/>
      <c r="M17" s="8"/>
      <c r="N17" s="8"/>
      <c r="O17" s="8"/>
      <c r="Q17" s="395"/>
      <c r="R17" s="30"/>
      <c r="S17" s="30"/>
      <c r="T17" s="30"/>
      <c r="U17" s="30"/>
      <c r="V17" s="395"/>
      <c r="W17" s="30"/>
      <c r="X17" s="30"/>
      <c r="Y17" s="746"/>
      <c r="Z17" s="9"/>
      <c r="AA17" s="9"/>
      <c r="AB17" s="9"/>
      <c r="AC17" s="9"/>
      <c r="AD17" s="9"/>
      <c r="AE17" s="9"/>
      <c r="AF17" s="9"/>
      <c r="AG17" s="9"/>
      <c r="AH17" s="9"/>
      <c r="AI17" s="9"/>
    </row>
    <row r="18" spans="1:36">
      <c r="A18" s="19" t="str">
        <f>+'WP-2 - Labor Analysis'!A18</f>
        <v>Charity Cordova</v>
      </c>
      <c r="B18" s="18" t="s">
        <v>98</v>
      </c>
      <c r="C18" s="18" t="s">
        <v>105</v>
      </c>
      <c r="D18" s="18" t="s">
        <v>104</v>
      </c>
      <c r="E18" s="18" t="s">
        <v>104</v>
      </c>
      <c r="F18" s="18" t="s">
        <v>104</v>
      </c>
      <c r="G18" s="715">
        <v>14</v>
      </c>
      <c r="H18" s="715"/>
      <c r="I18" s="715"/>
      <c r="J18" s="715"/>
      <c r="K18" s="395">
        <v>0</v>
      </c>
      <c r="M18" s="8">
        <f>+'WP-2 - Labor Analysis'!X18</f>
        <v>246.25</v>
      </c>
      <c r="N18" s="8">
        <f>+'WP-2 - Labor Analysis'!Y18</f>
        <v>3447.5</v>
      </c>
      <c r="O18" s="8"/>
      <c r="Q18" s="395">
        <v>0</v>
      </c>
      <c r="R18" s="30">
        <v>0</v>
      </c>
      <c r="S18" s="18">
        <f>3*(IF(M18&gt;2080,2080*Q18,M18*Q18))/12</f>
        <v>0</v>
      </c>
      <c r="T18" s="30">
        <v>0</v>
      </c>
      <c r="U18" s="18">
        <f>3*(IF(M18&gt;2080,(M18-2080)*(Q18*1.5),0))/12</f>
        <v>0</v>
      </c>
      <c r="V18" s="395">
        <f>+Q18*1.04</f>
        <v>0</v>
      </c>
      <c r="W18" s="18">
        <f>9*(IF(M18&gt;2080,2080*V18,M18*V18))/12</f>
        <v>0</v>
      </c>
      <c r="X18" s="18">
        <f>9*(IF(M18&gt;2080,(M18-2080)*(V18*1.5),0))/12</f>
        <v>0</v>
      </c>
      <c r="Y18" s="746"/>
      <c r="Z18" s="9">
        <f>SUM(S18:U18)+SUM(W18:Y18)</f>
        <v>0</v>
      </c>
      <c r="AA18" s="9">
        <f t="shared" ref="AA18:AA35" si="7">Z18-N18</f>
        <v>-3447.5</v>
      </c>
      <c r="AB18" s="9">
        <f>Z18*0.0765</f>
        <v>0</v>
      </c>
      <c r="AC18" s="9">
        <f>IF(Z18&gt;7000,7000*0.008,Z18*0.008)</f>
        <v>0</v>
      </c>
      <c r="AD18" s="9">
        <v>0</v>
      </c>
      <c r="AE18" s="9">
        <f>IF(Z18&gt;$AE$7,$AE$7*$AE$8,+Z18*$AE$8)</f>
        <v>0</v>
      </c>
      <c r="AF18" s="9">
        <v>0</v>
      </c>
      <c r="AG18" s="9">
        <f>+'WP-2, pg 3 - Benefits Analysis'!S18</f>
        <v>0</v>
      </c>
      <c r="AH18" s="9">
        <f>+'WP-2, pg 3 - Benefits Analysis'!R18</f>
        <v>0</v>
      </c>
      <c r="AI18" s="9">
        <f>SUM(AB18:AH18)</f>
        <v>0</v>
      </c>
      <c r="AJ18" s="6" t="s">
        <v>979</v>
      </c>
    </row>
    <row r="19" spans="1:36">
      <c r="A19" s="19" t="str">
        <f>+'WP-2 - Labor Analysis'!A19</f>
        <v>Marilyn K. Dahmen</v>
      </c>
      <c r="B19" s="18" t="s">
        <v>98</v>
      </c>
      <c r="C19" s="18" t="s">
        <v>105</v>
      </c>
      <c r="D19" s="18" t="s">
        <v>104</v>
      </c>
      <c r="E19" s="18" t="s">
        <v>104</v>
      </c>
      <c r="F19" s="18" t="s">
        <v>104</v>
      </c>
      <c r="G19" s="715">
        <v>15.4</v>
      </c>
      <c r="H19" s="715">
        <v>16</v>
      </c>
      <c r="I19" s="715"/>
      <c r="J19" s="715"/>
      <c r="K19" s="395"/>
      <c r="M19" s="8">
        <f>+'WP-2 - Labor Analysis'!X19</f>
        <v>136.5</v>
      </c>
      <c r="N19" s="8">
        <f>+'WP-2 - Labor Analysis'!Y19</f>
        <v>2235.48</v>
      </c>
      <c r="O19" s="8"/>
      <c r="Q19" s="395">
        <v>0</v>
      </c>
      <c r="R19" s="30"/>
      <c r="S19" s="18">
        <f t="shared" ref="S19:S31" si="8">3*(IF(M19&gt;2080,2080*Q19,M19*Q19))/12</f>
        <v>0</v>
      </c>
      <c r="T19" s="30"/>
      <c r="U19" s="18">
        <f t="shared" ref="U19:U31" si="9">3*(IF(M19&gt;2080,(M19-2080)*(Q19*1.5),0))/12</f>
        <v>0</v>
      </c>
      <c r="V19" s="395">
        <f t="shared" ref="V19:V35" si="10">+Q19*1.04</f>
        <v>0</v>
      </c>
      <c r="W19" s="18">
        <f t="shared" ref="W19:W31" si="11">9*(IF(M19&gt;2080,2080*V19,M19*V19))/12</f>
        <v>0</v>
      </c>
      <c r="X19" s="18">
        <f t="shared" ref="X19:X31" si="12">9*(IF(M19&gt;2080,(M19-2080)*(V19*1.5),0))/12</f>
        <v>0</v>
      </c>
      <c r="Y19" s="746">
        <v>0</v>
      </c>
      <c r="Z19" s="9">
        <f t="shared" ref="Z19:Z35" si="13">SUM(S19:U19)+SUM(W19:Y19)</f>
        <v>0</v>
      </c>
      <c r="AA19" s="9">
        <f t="shared" si="7"/>
        <v>-2235.48</v>
      </c>
      <c r="AB19" s="9">
        <f t="shared" ref="AB19:AB35" si="14">Z19*0.0765</f>
        <v>0</v>
      </c>
      <c r="AC19" s="9">
        <f t="shared" ref="AC19:AC35" si="15">IF(Z19&gt;7000,7000*0.008,Z19*0.008)</f>
        <v>0</v>
      </c>
      <c r="AD19" s="9">
        <v>0</v>
      </c>
      <c r="AE19" s="9">
        <f t="shared" ref="AE19:AE35" si="16">IF(Z19&gt;$AE$7,$AE$7*$AE$8,+Z19*$AE$8)</f>
        <v>0</v>
      </c>
      <c r="AF19" s="9">
        <v>0</v>
      </c>
      <c r="AG19" s="9">
        <f>+'WP-2, pg 3 - Benefits Analysis'!S19</f>
        <v>0</v>
      </c>
      <c r="AH19" s="9">
        <f>+'WP-2, pg 3 - Benefits Analysis'!R19</f>
        <v>0</v>
      </c>
      <c r="AI19" s="9">
        <f t="shared" ref="AI19:AI35" si="17">SUM(AB19:AH19)</f>
        <v>0</v>
      </c>
      <c r="AJ19" s="6" t="s">
        <v>979</v>
      </c>
    </row>
    <row r="20" spans="1:36">
      <c r="A20" s="19" t="str">
        <f>+'WP-2 - Labor Analysis'!A20</f>
        <v>Judith M. Druffel</v>
      </c>
      <c r="B20" s="18" t="s">
        <v>98</v>
      </c>
      <c r="C20" s="18" t="s">
        <v>105</v>
      </c>
      <c r="D20" s="18" t="s">
        <v>100</v>
      </c>
      <c r="E20" s="18" t="s">
        <v>104</v>
      </c>
      <c r="F20" s="18" t="s">
        <v>100</v>
      </c>
      <c r="G20" s="715">
        <v>24.2</v>
      </c>
      <c r="H20" s="715">
        <v>24.5</v>
      </c>
      <c r="I20" s="715"/>
      <c r="J20" s="715"/>
      <c r="K20" s="395"/>
      <c r="M20" s="8">
        <f>+'WP-2 - Labor Analysis'!X20</f>
        <v>1058.58</v>
      </c>
      <c r="N20" s="8">
        <f>+'WP-2 - Labor Analysis'!Y20</f>
        <v>26180.19</v>
      </c>
      <c r="O20" s="8"/>
      <c r="Q20" s="395">
        <v>25.2</v>
      </c>
      <c r="R20" s="30"/>
      <c r="S20" s="18">
        <f>+(0.25)*Q20*('WP-2 - Labor Analysis'!E20+'WP-2 - Labor Analysis'!G20+'WP-2 - Labor Analysis'!H20+'WP-2 - Labor Analysis'!I20)</f>
        <v>6640.7039999999997</v>
      </c>
      <c r="T20" s="30"/>
      <c r="U20" s="18">
        <f>+(0.25)*1.5*Q20*('WP-2 - Labor Analysis'!F20)</f>
        <v>42.524999999999999</v>
      </c>
      <c r="V20" s="395">
        <f t="shared" si="10"/>
        <v>26.207999999999998</v>
      </c>
      <c r="W20" s="18">
        <f>+(0.75)*V20*('WP-2 - Labor Analysis'!E20+'WP-2 - Labor Analysis'!G20+'WP-2 - Labor Analysis'!H20+'WP-2 - Labor Analysis'!I20)</f>
        <v>20718.996479999998</v>
      </c>
      <c r="X20" s="18">
        <f>+(0.75)*1.5*V20*('WP-2 - Labor Analysis'!F20)</f>
        <v>132.678</v>
      </c>
      <c r="Y20" s="746">
        <v>303.18</v>
      </c>
      <c r="Z20" s="9">
        <f t="shared" si="13"/>
        <v>27838.083479999998</v>
      </c>
      <c r="AA20" s="9">
        <f t="shared" si="7"/>
        <v>1657.8934799999988</v>
      </c>
      <c r="AB20" s="9">
        <f t="shared" si="14"/>
        <v>2129.6133862199999</v>
      </c>
      <c r="AC20" s="9">
        <f t="shared" si="15"/>
        <v>56</v>
      </c>
      <c r="AD20" s="9">
        <f>+Z20*0.03</f>
        <v>835.14250439999989</v>
      </c>
      <c r="AE20" s="9">
        <f t="shared" si="16"/>
        <v>36.189508523999997</v>
      </c>
      <c r="AF20" s="9">
        <f>$AF$8*(M20-'WP-2 - Labor Analysis'!G20-'WP-2 - Labor Analysis'!H20-'WP-2 - Labor Analysis'!I20)</f>
        <v>76.977003999999994</v>
      </c>
      <c r="AG20" s="9">
        <f>+'WP-2, pg 3 - Benefits Analysis'!S20</f>
        <v>0</v>
      </c>
      <c r="AH20" s="9">
        <f>+'WP-2, pg 3 - Benefits Analysis'!R20</f>
        <v>8309.76</v>
      </c>
      <c r="AI20" s="9">
        <f t="shared" si="17"/>
        <v>11443.682403143999</v>
      </c>
    </row>
    <row r="21" spans="1:36">
      <c r="A21" s="19" t="str">
        <f>+'WP-2 - Labor Analysis'!A21</f>
        <v>Sierra A. Robinson</v>
      </c>
      <c r="B21" s="18" t="s">
        <v>98</v>
      </c>
      <c r="C21" s="18" t="s">
        <v>105</v>
      </c>
      <c r="D21" s="18" t="s">
        <v>104</v>
      </c>
      <c r="E21" s="18" t="s">
        <v>104</v>
      </c>
      <c r="F21" s="18" t="s">
        <v>104</v>
      </c>
      <c r="G21" s="715">
        <v>12.5</v>
      </c>
      <c r="H21" s="715">
        <v>12.9</v>
      </c>
      <c r="I21" s="715">
        <v>13.5</v>
      </c>
      <c r="J21" s="715"/>
      <c r="K21" s="395"/>
      <c r="M21" s="8">
        <f>+'WP-2 - Labor Analysis'!X21</f>
        <v>376.79</v>
      </c>
      <c r="N21" s="8">
        <f>+'WP-2 - Labor Analysis'!Y21</f>
        <v>5099.2</v>
      </c>
      <c r="O21" s="8"/>
      <c r="Q21" s="395">
        <v>0</v>
      </c>
      <c r="R21" s="30"/>
      <c r="S21" s="18">
        <f t="shared" si="8"/>
        <v>0</v>
      </c>
      <c r="T21" s="30"/>
      <c r="U21" s="18">
        <f t="shared" si="9"/>
        <v>0</v>
      </c>
      <c r="V21" s="395">
        <f t="shared" si="10"/>
        <v>0</v>
      </c>
      <c r="W21" s="18">
        <f t="shared" si="11"/>
        <v>0</v>
      </c>
      <c r="X21" s="18">
        <f t="shared" si="12"/>
        <v>0</v>
      </c>
      <c r="Y21" s="746"/>
      <c r="Z21" s="9">
        <f t="shared" si="13"/>
        <v>0</v>
      </c>
      <c r="AA21" s="9">
        <f t="shared" si="7"/>
        <v>-5099.2</v>
      </c>
      <c r="AB21" s="9">
        <f t="shared" si="14"/>
        <v>0</v>
      </c>
      <c r="AC21" s="9">
        <f t="shared" si="15"/>
        <v>0</v>
      </c>
      <c r="AD21" s="9">
        <v>0</v>
      </c>
      <c r="AE21" s="9">
        <f t="shared" si="16"/>
        <v>0</v>
      </c>
      <c r="AF21" s="9">
        <f>$AF$8*(M21-'WP-2 - Labor Analysis'!G21-'WP-2 - Labor Analysis'!H21-'WP-2 - Labor Analysis'!I21)</f>
        <v>31.239802000000001</v>
      </c>
      <c r="AG21" s="9">
        <f>+'WP-2, pg 3 - Benefits Analysis'!S21</f>
        <v>0</v>
      </c>
      <c r="AH21" s="9">
        <f>+'WP-2, pg 3 - Benefits Analysis'!R21</f>
        <v>0</v>
      </c>
      <c r="AI21" s="9">
        <f t="shared" si="17"/>
        <v>31.239802000000001</v>
      </c>
    </row>
    <row r="22" spans="1:36">
      <c r="A22" s="19" t="str">
        <f>+'WP-2 - Labor Analysis'!A22</f>
        <v>Annabelle M. Felsted</v>
      </c>
      <c r="B22" s="18" t="s">
        <v>98</v>
      </c>
      <c r="C22" s="18" t="s">
        <v>105</v>
      </c>
      <c r="D22" s="18" t="s">
        <v>100</v>
      </c>
      <c r="E22" s="18" t="s">
        <v>104</v>
      </c>
      <c r="F22" s="18" t="s">
        <v>104</v>
      </c>
      <c r="G22" s="715">
        <v>14</v>
      </c>
      <c r="H22" s="715">
        <v>14.5</v>
      </c>
      <c r="I22" s="715">
        <v>14.9</v>
      </c>
      <c r="J22" s="715"/>
      <c r="K22" s="395"/>
      <c r="M22" s="8">
        <f>+'WP-2 - Labor Analysis'!X22</f>
        <v>612.22</v>
      </c>
      <c r="N22" s="8">
        <f>+'WP-2 - Labor Analysis'!Y22</f>
        <v>9143.24</v>
      </c>
      <c r="O22" s="8"/>
      <c r="Q22" s="395">
        <v>15.6</v>
      </c>
      <c r="R22" s="30"/>
      <c r="S22" s="18">
        <f>+(0.25)*Q22*('WP-2 - Labor Analysis'!E22+'WP-2 - Labor Analysis'!G22+'WP-2 - Labor Analysis'!H22+'WP-2 - Labor Analysis'!I22)</f>
        <v>2378.8050000000003</v>
      </c>
      <c r="T22" s="30"/>
      <c r="U22" s="18">
        <f>+(0.25)*1.5*Q22*('WP-2 - Labor Analysis'!F22)</f>
        <v>13.279499999999999</v>
      </c>
      <c r="V22" s="395">
        <f t="shared" si="10"/>
        <v>16.224</v>
      </c>
      <c r="W22" s="18">
        <f>+(0.75)*V22*('WP-2 - Labor Analysis'!E22+'WP-2 - Labor Analysis'!G22+'WP-2 - Labor Analysis'!H22+'WP-2 - Labor Analysis'!I22)</f>
        <v>7421.8716000000004</v>
      </c>
      <c r="X22" s="18">
        <f>+(0.75)*1.5*V22*('WP-2 - Labor Analysis'!F22)</f>
        <v>41.432040000000001</v>
      </c>
      <c r="Y22" s="746">
        <v>108.28</v>
      </c>
      <c r="Z22" s="9">
        <f t="shared" si="13"/>
        <v>9963.6681399999998</v>
      </c>
      <c r="AA22" s="9">
        <f t="shared" si="7"/>
        <v>820.42813999999998</v>
      </c>
      <c r="AB22" s="9">
        <f t="shared" si="14"/>
        <v>762.22061270999995</v>
      </c>
      <c r="AC22" s="9">
        <f t="shared" si="15"/>
        <v>56</v>
      </c>
      <c r="AD22" s="9">
        <f>+Z22*0.03</f>
        <v>298.91004419999996</v>
      </c>
      <c r="AE22" s="9">
        <f t="shared" si="16"/>
        <v>12.952768581999999</v>
      </c>
      <c r="AF22" s="9">
        <f>$AF$8*(M22-'WP-2 - Labor Analysis'!G22-'WP-2 - Labor Analysis'!H22-'WP-2 - Labor Analysis'!I22)</f>
        <v>49.460436000000001</v>
      </c>
      <c r="AG22" s="9">
        <f>+'WP-2, pg 3 - Benefits Analysis'!S22</f>
        <v>0</v>
      </c>
      <c r="AH22" s="9">
        <f>+'WP-2, pg 3 - Benefits Analysis'!R22</f>
        <v>0</v>
      </c>
      <c r="AI22" s="9">
        <f t="shared" si="17"/>
        <v>1179.5438614920001</v>
      </c>
    </row>
    <row r="23" spans="1:36">
      <c r="A23" s="19" t="str">
        <f>+'WP-2 - Labor Analysis'!A23</f>
        <v>Joseph N. Harris</v>
      </c>
      <c r="B23" s="18" t="s">
        <v>98</v>
      </c>
      <c r="C23" s="18" t="s">
        <v>105</v>
      </c>
      <c r="D23" s="18" t="s">
        <v>104</v>
      </c>
      <c r="E23" s="18" t="s">
        <v>104</v>
      </c>
      <c r="F23" s="18" t="s">
        <v>104</v>
      </c>
      <c r="G23" s="715">
        <v>15</v>
      </c>
      <c r="H23" s="715"/>
      <c r="I23" s="715"/>
      <c r="J23" s="715"/>
      <c r="K23" s="395"/>
      <c r="M23" s="8">
        <f>+'WP-2 - Labor Analysis'!X23</f>
        <v>285.45</v>
      </c>
      <c r="N23" s="8">
        <f>+'WP-2 - Labor Analysis'!Y23</f>
        <v>4335.88</v>
      </c>
      <c r="O23" s="8"/>
      <c r="Q23" s="395">
        <v>15</v>
      </c>
      <c r="R23" s="30"/>
      <c r="S23" s="18">
        <f>+(0.25)*Q23*('WP-2 - Labor Analysis'!E23+'WP-2 - Labor Analysis'!G23+'WP-2 - Labor Analysis'!H23+'WP-2 - Labor Analysis'!I23)</f>
        <v>1070.4375</v>
      </c>
      <c r="T23" s="30"/>
      <c r="U23" s="18">
        <f>+(0.25)*1.5*Q23*('WP-2 - Labor Analysis'!F23)</f>
        <v>0</v>
      </c>
      <c r="V23" s="395">
        <f t="shared" si="10"/>
        <v>15.600000000000001</v>
      </c>
      <c r="W23" s="18">
        <f>+(0.75)*V23*('WP-2 - Labor Analysis'!E23+'WP-2 - Labor Analysis'!G23+'WP-2 - Labor Analysis'!H23+'WP-2 - Labor Analysis'!I23)</f>
        <v>3339.7650000000003</v>
      </c>
      <c r="X23" s="18">
        <f>+(0.75)*1.5*V23*('WP-2 - Labor Analysis'!F23)</f>
        <v>0</v>
      </c>
      <c r="Y23" s="746">
        <v>0</v>
      </c>
      <c r="Z23" s="9">
        <f t="shared" si="13"/>
        <v>4410.2025000000003</v>
      </c>
      <c r="AA23" s="9">
        <f t="shared" si="7"/>
        <v>74.322500000000218</v>
      </c>
      <c r="AB23" s="9">
        <f t="shared" si="14"/>
        <v>337.38049125000003</v>
      </c>
      <c r="AC23" s="9">
        <f t="shared" si="15"/>
        <v>35.281620000000004</v>
      </c>
      <c r="AD23" s="9">
        <v>0</v>
      </c>
      <c r="AE23" s="9">
        <f t="shared" si="16"/>
        <v>5.7332632500000003</v>
      </c>
      <c r="AF23" s="9">
        <f>$AF$8*(M23-'WP-2 - Labor Analysis'!G23-'WP-2 - Labor Analysis'!H23-'WP-2 - Labor Analysis'!I23)</f>
        <v>22.817063999999998</v>
      </c>
      <c r="AG23" s="9">
        <f>+'WP-2, pg 3 - Benefits Analysis'!S23</f>
        <v>0</v>
      </c>
      <c r="AH23" s="9">
        <f>+'WP-2, pg 3 - Benefits Analysis'!R23</f>
        <v>0</v>
      </c>
      <c r="AI23" s="9">
        <f t="shared" si="17"/>
        <v>401.21243850000008</v>
      </c>
    </row>
    <row r="24" spans="1:36">
      <c r="A24" s="19" t="str">
        <f>+'WP-2 - Labor Analysis'!A24</f>
        <v>Ivy R. Woltering</v>
      </c>
      <c r="B24" s="18" t="s">
        <v>98</v>
      </c>
      <c r="C24" s="18" t="s">
        <v>105</v>
      </c>
      <c r="D24" s="18" t="s">
        <v>104</v>
      </c>
      <c r="E24" s="18" t="s">
        <v>104</v>
      </c>
      <c r="F24" s="18" t="s">
        <v>104</v>
      </c>
      <c r="G24" s="715">
        <v>12.5</v>
      </c>
      <c r="H24" s="715"/>
      <c r="I24" s="715"/>
      <c r="J24" s="715"/>
      <c r="K24" s="395"/>
      <c r="M24" s="8">
        <f>+'WP-2 - Labor Analysis'!X24</f>
        <v>280.27</v>
      </c>
      <c r="N24" s="8">
        <f>+'WP-2 - Labor Analysis'!Y24</f>
        <v>3546.67</v>
      </c>
      <c r="O24" s="8"/>
      <c r="Q24" s="395">
        <v>13.8</v>
      </c>
      <c r="R24" s="30"/>
      <c r="S24" s="18">
        <f>+(0.25)*Q24*('WP-2 - Labor Analysis'!E24+'WP-2 - Labor Analysis'!G24+'WP-2 - Labor Analysis'!H24+'WP-2 - Labor Analysis'!I24)</f>
        <v>966.93150000000003</v>
      </c>
      <c r="T24" s="30"/>
      <c r="U24" s="18">
        <f>+(0.25)*1.5*Q24*('WP-2 - Labor Analysis'!F24)</f>
        <v>0</v>
      </c>
      <c r="V24" s="395">
        <f t="shared" si="10"/>
        <v>14.352000000000002</v>
      </c>
      <c r="W24" s="18">
        <f>+(0.75)*V24*('WP-2 - Labor Analysis'!E24+'WP-2 - Labor Analysis'!G24+'WP-2 - Labor Analysis'!H24+'WP-2 - Labor Analysis'!I24)</f>
        <v>3016.8262800000002</v>
      </c>
      <c r="X24" s="18">
        <f>+(0.75)*1.5*V24*('WP-2 - Labor Analysis'!F24)</f>
        <v>0</v>
      </c>
      <c r="Y24" s="746">
        <v>43.31</v>
      </c>
      <c r="Z24" s="9">
        <f t="shared" si="13"/>
        <v>4027.0677800000003</v>
      </c>
      <c r="AA24" s="9">
        <f t="shared" si="7"/>
        <v>480.39778000000024</v>
      </c>
      <c r="AB24" s="9">
        <f t="shared" si="14"/>
        <v>308.07068516999999</v>
      </c>
      <c r="AC24" s="9">
        <f t="shared" si="15"/>
        <v>32.216542240000003</v>
      </c>
      <c r="AD24" s="9">
        <v>0</v>
      </c>
      <c r="AE24" s="9">
        <f t="shared" si="16"/>
        <v>5.2351881140000005</v>
      </c>
      <c r="AF24" s="9">
        <f>$AF$8*(M24-'WP-2 - Labor Analysis'!G24-'WP-2 - Labor Analysis'!H24-'WP-2 - Labor Analysis'!I24)</f>
        <v>22.816225999999997</v>
      </c>
      <c r="AG24" s="9">
        <f>+'WP-2, pg 3 - Benefits Analysis'!S24</f>
        <v>0</v>
      </c>
      <c r="AH24" s="9">
        <f>+'WP-2, pg 3 - Benefits Analysis'!R24</f>
        <v>0</v>
      </c>
      <c r="AI24" s="9">
        <f t="shared" si="17"/>
        <v>368.33864152399997</v>
      </c>
    </row>
    <row r="25" spans="1:36">
      <c r="A25" s="19" t="str">
        <f>+'WP-2 - Labor Analysis'!A25</f>
        <v>Daphne D. Felsted</v>
      </c>
      <c r="B25" s="18" t="s">
        <v>98</v>
      </c>
      <c r="C25" s="18" t="s">
        <v>105</v>
      </c>
      <c r="D25" s="18" t="s">
        <v>104</v>
      </c>
      <c r="E25" s="18" t="s">
        <v>104</v>
      </c>
      <c r="F25" s="18" t="s">
        <v>104</v>
      </c>
      <c r="G25" s="715">
        <v>13.55</v>
      </c>
      <c r="H25" s="715">
        <v>14</v>
      </c>
      <c r="I25" s="715"/>
      <c r="J25" s="715"/>
      <c r="K25" s="395"/>
      <c r="M25" s="8">
        <f>+'WP-2 - Labor Analysis'!X25</f>
        <v>36.07</v>
      </c>
      <c r="N25" s="8">
        <f>+'WP-2 - Labor Analysis'!Y25</f>
        <v>545.36</v>
      </c>
      <c r="O25" s="8"/>
      <c r="Q25" s="395">
        <v>15.2</v>
      </c>
      <c r="R25" s="30"/>
      <c r="S25" s="18">
        <f>+(0.25)*Q25*('WP-2 - Labor Analysis'!E25+'WP-2 - Labor Analysis'!G25+'WP-2 - Labor Analysis'!H25+'WP-2 - Labor Analysis'!I25)</f>
        <v>137.066</v>
      </c>
      <c r="T25" s="30"/>
      <c r="U25" s="18">
        <f>+(0.25)*1.5*Q25*('WP-2 - Labor Analysis'!F25)</f>
        <v>0</v>
      </c>
      <c r="V25" s="395">
        <f t="shared" si="10"/>
        <v>15.808</v>
      </c>
      <c r="W25" s="18">
        <f>+(0.75)*V25*('WP-2 - Labor Analysis'!E25+'WP-2 - Labor Analysis'!G25+'WP-2 - Labor Analysis'!H25+'WP-2 - Labor Analysis'!I25)</f>
        <v>427.64591999999999</v>
      </c>
      <c r="X25" s="18">
        <f>+(0.75)*1.5*V25*('WP-2 - Labor Analysis'!F25)</f>
        <v>0</v>
      </c>
      <c r="Y25" s="746"/>
      <c r="Z25" s="9">
        <f t="shared" si="13"/>
        <v>564.71191999999996</v>
      </c>
      <c r="AA25" s="9">
        <f t="shared" si="7"/>
        <v>19.35191999999995</v>
      </c>
      <c r="AB25" s="9">
        <f t="shared" si="14"/>
        <v>43.200461879999999</v>
      </c>
      <c r="AC25" s="9">
        <f t="shared" si="15"/>
        <v>4.5176953599999994</v>
      </c>
      <c r="AD25" s="9">
        <v>0</v>
      </c>
      <c r="AE25" s="9">
        <f t="shared" si="16"/>
        <v>0.73412549599999988</v>
      </c>
      <c r="AF25" s="9">
        <f>$AF$8*(M25-'WP-2 - Labor Analysis'!G25-'WP-2 - Labor Analysis'!H25-'WP-2 - Labor Analysis'!I25)</f>
        <v>3.0226660000000001</v>
      </c>
      <c r="AG25" s="9">
        <f>+'WP-2, pg 3 - Benefits Analysis'!S25</f>
        <v>0</v>
      </c>
      <c r="AH25" s="9">
        <f>+'WP-2, pg 3 - Benefits Analysis'!R25</f>
        <v>0</v>
      </c>
      <c r="AI25" s="9">
        <f t="shared" si="17"/>
        <v>51.474948735999995</v>
      </c>
    </row>
    <row r="26" spans="1:36">
      <c r="A26" s="19" t="str">
        <f>+'WP-2 - Labor Analysis'!A26</f>
        <v>Kierah E. Thurgood</v>
      </c>
      <c r="B26" s="18" t="s">
        <v>98</v>
      </c>
      <c r="C26" s="18" t="s">
        <v>105</v>
      </c>
      <c r="D26" s="18" t="s">
        <v>104</v>
      </c>
      <c r="E26" s="18" t="s">
        <v>104</v>
      </c>
      <c r="F26" s="18" t="s">
        <v>104</v>
      </c>
      <c r="G26" s="715">
        <v>12.5</v>
      </c>
      <c r="H26" s="715">
        <v>12.8</v>
      </c>
      <c r="I26" s="715"/>
      <c r="J26" s="715"/>
      <c r="K26" s="395"/>
      <c r="M26" s="8">
        <f>+'WP-2 - Labor Analysis'!X26</f>
        <v>229.48</v>
      </c>
      <c r="N26" s="8">
        <f>+'WP-2 - Labor Analysis'!Y26</f>
        <v>2912.48</v>
      </c>
      <c r="O26" s="8"/>
      <c r="Q26" s="395">
        <v>0</v>
      </c>
      <c r="R26" s="30"/>
      <c r="S26" s="18">
        <f t="shared" si="8"/>
        <v>0</v>
      </c>
      <c r="T26" s="30"/>
      <c r="U26" s="18">
        <f t="shared" si="9"/>
        <v>0</v>
      </c>
      <c r="V26" s="395">
        <f t="shared" si="10"/>
        <v>0</v>
      </c>
      <c r="W26" s="18">
        <f t="shared" si="11"/>
        <v>0</v>
      </c>
      <c r="X26" s="18">
        <f t="shared" si="12"/>
        <v>0</v>
      </c>
      <c r="Y26" s="746"/>
      <c r="Z26" s="9">
        <f t="shared" si="13"/>
        <v>0</v>
      </c>
      <c r="AA26" s="9">
        <f t="shared" si="7"/>
        <v>-2912.48</v>
      </c>
      <c r="AB26" s="9">
        <f t="shared" si="14"/>
        <v>0</v>
      </c>
      <c r="AC26" s="9">
        <f t="shared" si="15"/>
        <v>0</v>
      </c>
      <c r="AD26" s="9">
        <v>0</v>
      </c>
      <c r="AE26" s="9">
        <f t="shared" si="16"/>
        <v>0</v>
      </c>
      <c r="AF26" s="9">
        <f>$AF$8*(M26-'WP-2 - Labor Analysis'!G26-'WP-2 - Labor Analysis'!H26-'WP-2 - Labor Analysis'!I26)</f>
        <v>19.230423999999999</v>
      </c>
      <c r="AG26" s="9">
        <f>+'WP-2, pg 3 - Benefits Analysis'!S26</f>
        <v>0</v>
      </c>
      <c r="AH26" s="9">
        <f>+'WP-2, pg 3 - Benefits Analysis'!R26</f>
        <v>0</v>
      </c>
      <c r="AI26" s="9">
        <f t="shared" si="17"/>
        <v>19.230423999999999</v>
      </c>
    </row>
    <row r="27" spans="1:36">
      <c r="A27" s="19" t="str">
        <f>+'WP-2 - Labor Analysis'!A27</f>
        <v>Merrilie Davidson</v>
      </c>
      <c r="B27" s="18" t="s">
        <v>98</v>
      </c>
      <c r="C27" s="18" t="s">
        <v>105</v>
      </c>
      <c r="D27" s="18" t="s">
        <v>104</v>
      </c>
      <c r="E27" s="18" t="s">
        <v>104</v>
      </c>
      <c r="F27" s="18" t="s">
        <v>104</v>
      </c>
      <c r="G27" s="715">
        <v>18</v>
      </c>
      <c r="H27" s="715"/>
      <c r="I27" s="715"/>
      <c r="J27" s="715"/>
      <c r="K27" s="395"/>
      <c r="M27" s="8">
        <f>+'WP-2 - Labor Analysis'!X27</f>
        <v>68.5</v>
      </c>
      <c r="N27" s="8">
        <f>+'WP-2 - Labor Analysis'!Y27</f>
        <v>1325.03</v>
      </c>
      <c r="O27" s="8"/>
      <c r="Q27" s="395">
        <v>18.440000000000001</v>
      </c>
      <c r="R27" s="30"/>
      <c r="S27" s="18">
        <f>+(0.25)*Q27*('WP-2 - Labor Analysis'!E27+'WP-2 - Labor Analysis'!G27+'WP-2 - Labor Analysis'!H27+'WP-2 - Labor Analysis'!I27)</f>
        <v>315.78500000000003</v>
      </c>
      <c r="T27" s="30"/>
      <c r="U27" s="18">
        <f>+(0.25)*1.5*Q27*('WP-2 - Labor Analysis'!F27)</f>
        <v>0</v>
      </c>
      <c r="V27" s="395">
        <f t="shared" si="10"/>
        <v>19.177600000000002</v>
      </c>
      <c r="W27" s="18">
        <f>+(0.75)*V27*('WP-2 - Labor Analysis'!E27+'WP-2 - Labor Analysis'!G27+'WP-2 - Labor Analysis'!H27+'WP-2 - Labor Analysis'!I27)</f>
        <v>985.2492000000002</v>
      </c>
      <c r="X27" s="18">
        <f>+(0.75)*1.5*V27*('WP-2 - Labor Analysis'!F27)</f>
        <v>0</v>
      </c>
      <c r="Y27" s="746">
        <v>0</v>
      </c>
      <c r="Z27" s="9">
        <f t="shared" si="13"/>
        <v>1301.0342000000003</v>
      </c>
      <c r="AA27" s="9">
        <f t="shared" si="7"/>
        <v>-23.99579999999969</v>
      </c>
      <c r="AB27" s="9">
        <f t="shared" si="14"/>
        <v>99.529116300000027</v>
      </c>
      <c r="AC27" s="9">
        <f t="shared" si="15"/>
        <v>10.408273600000003</v>
      </c>
      <c r="AD27" s="9">
        <v>0</v>
      </c>
      <c r="AE27" s="9">
        <f t="shared" si="16"/>
        <v>1.6913444600000003</v>
      </c>
      <c r="AF27" s="9">
        <f>$AF$8*(M27-'WP-2 - Labor Analysis'!G27-'WP-2 - Labor Analysis'!H27-'WP-2 - Labor Analysis'!I27)</f>
        <v>5.4051</v>
      </c>
      <c r="AG27" s="9">
        <f>+'WP-2, pg 3 - Benefits Analysis'!S27</f>
        <v>0</v>
      </c>
      <c r="AH27" s="9">
        <f>+'WP-2, pg 3 - Benefits Analysis'!R27</f>
        <v>0</v>
      </c>
      <c r="AI27" s="9">
        <f t="shared" si="17"/>
        <v>117.03383436000003</v>
      </c>
    </row>
    <row r="28" spans="1:36">
      <c r="A28" s="19" t="str">
        <f>+'WP-2 - Labor Analysis'!A28</f>
        <v>Hannah E. Livingston</v>
      </c>
      <c r="B28" s="18" t="s">
        <v>98</v>
      </c>
      <c r="C28" s="18" t="s">
        <v>105</v>
      </c>
      <c r="D28" s="18" t="s">
        <v>104</v>
      </c>
      <c r="E28" s="18" t="s">
        <v>104</v>
      </c>
      <c r="F28" s="18" t="s">
        <v>104</v>
      </c>
      <c r="G28" s="715">
        <v>12.5</v>
      </c>
      <c r="H28" s="715"/>
      <c r="I28" s="715"/>
      <c r="J28" s="715"/>
      <c r="K28" s="395"/>
      <c r="M28" s="8">
        <f>+'WP-2 - Labor Analysis'!X28</f>
        <v>88.35</v>
      </c>
      <c r="N28" s="8">
        <f>+'WP-2 - Labor Analysis'!Y28</f>
        <v>1147.7</v>
      </c>
      <c r="O28" s="8"/>
      <c r="Q28" s="395">
        <v>0</v>
      </c>
      <c r="R28" s="30"/>
      <c r="S28" s="18">
        <f t="shared" si="8"/>
        <v>0</v>
      </c>
      <c r="T28" s="30"/>
      <c r="U28" s="18">
        <f t="shared" si="9"/>
        <v>0</v>
      </c>
      <c r="V28" s="395">
        <f t="shared" si="10"/>
        <v>0</v>
      </c>
      <c r="W28" s="18">
        <f t="shared" si="11"/>
        <v>0</v>
      </c>
      <c r="X28" s="18">
        <f t="shared" si="12"/>
        <v>0</v>
      </c>
      <c r="Y28" s="746">
        <v>0</v>
      </c>
      <c r="Z28" s="9">
        <f t="shared" si="13"/>
        <v>0</v>
      </c>
      <c r="AA28" s="9">
        <f t="shared" si="7"/>
        <v>-1147.7</v>
      </c>
      <c r="AB28" s="9">
        <f t="shared" si="14"/>
        <v>0</v>
      </c>
      <c r="AC28" s="9">
        <f t="shared" si="15"/>
        <v>0</v>
      </c>
      <c r="AD28" s="9">
        <v>0</v>
      </c>
      <c r="AE28" s="9">
        <f t="shared" si="16"/>
        <v>0</v>
      </c>
      <c r="AF28" s="9">
        <v>0</v>
      </c>
      <c r="AG28" s="9">
        <f>+'WP-2, pg 3 - Benefits Analysis'!S28</f>
        <v>0</v>
      </c>
      <c r="AH28" s="9">
        <f>+'WP-2, pg 3 - Benefits Analysis'!R28</f>
        <v>0</v>
      </c>
      <c r="AI28" s="9">
        <f t="shared" si="17"/>
        <v>0</v>
      </c>
      <c r="AJ28" s="6" t="s">
        <v>979</v>
      </c>
    </row>
    <row r="29" spans="1:36">
      <c r="A29" s="19" t="str">
        <f>+'WP-2 - Labor Analysis'!A29</f>
        <v>Brooke Robinson</v>
      </c>
      <c r="B29" s="18" t="s">
        <v>98</v>
      </c>
      <c r="C29" s="18" t="s">
        <v>105</v>
      </c>
      <c r="D29" s="18" t="s">
        <v>104</v>
      </c>
      <c r="E29" s="18" t="s">
        <v>104</v>
      </c>
      <c r="F29" s="18" t="s">
        <v>104</v>
      </c>
      <c r="G29" s="715">
        <v>13.8</v>
      </c>
      <c r="H29" s="715"/>
      <c r="I29" s="715"/>
      <c r="J29" s="715"/>
      <c r="K29" s="395">
        <v>0</v>
      </c>
      <c r="M29" s="8">
        <f>+'WP-2 - Labor Analysis'!X29</f>
        <v>30.37</v>
      </c>
      <c r="N29" s="8">
        <f>+'WP-2 - Labor Analysis'!Y29</f>
        <v>419.06</v>
      </c>
      <c r="O29" s="8"/>
      <c r="Q29" s="395">
        <v>0</v>
      </c>
      <c r="R29" s="30"/>
      <c r="S29" s="18">
        <f t="shared" si="8"/>
        <v>0</v>
      </c>
      <c r="T29" s="30"/>
      <c r="U29" s="18">
        <f t="shared" si="9"/>
        <v>0</v>
      </c>
      <c r="V29" s="395">
        <f t="shared" si="10"/>
        <v>0</v>
      </c>
      <c r="W29" s="18">
        <f t="shared" si="11"/>
        <v>0</v>
      </c>
      <c r="X29" s="18">
        <f t="shared" si="12"/>
        <v>0</v>
      </c>
      <c r="Y29" s="746"/>
      <c r="Z29" s="9">
        <f t="shared" si="13"/>
        <v>0</v>
      </c>
      <c r="AA29" s="9">
        <f t="shared" si="7"/>
        <v>-419.06</v>
      </c>
      <c r="AB29" s="9">
        <f t="shared" si="14"/>
        <v>0</v>
      </c>
      <c r="AC29" s="9">
        <f t="shared" si="15"/>
        <v>0</v>
      </c>
      <c r="AD29" s="9">
        <v>0</v>
      </c>
      <c r="AE29" s="9">
        <f t="shared" si="16"/>
        <v>0</v>
      </c>
      <c r="AF29" s="9"/>
      <c r="AG29" s="9">
        <f>+'WP-2, pg 3 - Benefits Analysis'!S29</f>
        <v>0</v>
      </c>
      <c r="AH29" s="9">
        <f>+'WP-2, pg 3 - Benefits Analysis'!R29</f>
        <v>0</v>
      </c>
      <c r="AI29" s="9">
        <f t="shared" si="17"/>
        <v>0</v>
      </c>
      <c r="AJ29" s="6" t="s">
        <v>979</v>
      </c>
    </row>
    <row r="30" spans="1:36">
      <c r="A30" s="19" t="str">
        <f>+'WP-2 - Labor Analysis'!A30</f>
        <v>Janis L. DeBolt</v>
      </c>
      <c r="B30" s="18" t="s">
        <v>98</v>
      </c>
      <c r="C30" s="18" t="s">
        <v>105</v>
      </c>
      <c r="D30" s="18" t="s">
        <v>100</v>
      </c>
      <c r="E30" s="18" t="s">
        <v>104</v>
      </c>
      <c r="F30" s="18" t="s">
        <v>100</v>
      </c>
      <c r="G30" s="715">
        <v>14.6</v>
      </c>
      <c r="H30" s="715">
        <v>15.1</v>
      </c>
      <c r="I30" s="715"/>
      <c r="J30" s="715"/>
      <c r="K30" s="395"/>
      <c r="M30" s="8">
        <f>+'WP-2 - Labor Analysis'!X30</f>
        <v>1896.62</v>
      </c>
      <c r="N30" s="8">
        <f>+'WP-2 - Labor Analysis'!Y30</f>
        <v>28920.99</v>
      </c>
      <c r="O30" s="8"/>
      <c r="Q30" s="395">
        <v>16</v>
      </c>
      <c r="R30" s="30"/>
      <c r="S30" s="18">
        <f>+(0.25)*Q30*('WP-2 - Labor Analysis'!E30+'WP-2 - Labor Analysis'!G30+'WP-2 - Labor Analysis'!H30+'WP-2 - Labor Analysis'!I30)</f>
        <v>7441.48</v>
      </c>
      <c r="T30" s="30"/>
      <c r="U30" s="18">
        <f>+(0.25)*1.5*Q30*('WP-2 - Labor Analysis'!F30)</f>
        <v>217.5</v>
      </c>
      <c r="V30" s="395">
        <f t="shared" si="10"/>
        <v>16.64</v>
      </c>
      <c r="W30" s="18">
        <f>+(0.75)*V30*('WP-2 - Labor Analysis'!E30+'WP-2 - Labor Analysis'!G30+'WP-2 - Labor Analysis'!H30+'WP-2 - Labor Analysis'!I30)</f>
        <v>23217.417600000001</v>
      </c>
      <c r="X30" s="18">
        <f>+(0.75)*1.5*V30*('WP-2 - Labor Analysis'!F30)</f>
        <v>678.59999999999991</v>
      </c>
      <c r="Y30" s="746">
        <v>194.91</v>
      </c>
      <c r="Z30" s="9">
        <f t="shared" si="13"/>
        <v>31749.907599999999</v>
      </c>
      <c r="AA30" s="9">
        <f t="shared" si="7"/>
        <v>2828.917599999997</v>
      </c>
      <c r="AB30" s="9">
        <f t="shared" si="14"/>
        <v>2428.8679313999996</v>
      </c>
      <c r="AC30" s="9">
        <f t="shared" si="15"/>
        <v>56</v>
      </c>
      <c r="AD30" s="9">
        <f>+Z30*0.03</f>
        <v>952.49722799999995</v>
      </c>
      <c r="AE30" s="9">
        <f t="shared" si="16"/>
        <v>41.274879879999993</v>
      </c>
      <c r="AF30" s="9">
        <f>$AF$8*(M30-'WP-2 - Labor Analysis'!G30-'WP-2 - Labor Analysis'!H30-'WP-2 - Labor Analysis'!I30)</f>
        <v>146.91145599999999</v>
      </c>
      <c r="AG30" s="9">
        <f>+'WP-2, pg 3 - Benefits Analysis'!S30</f>
        <v>0</v>
      </c>
      <c r="AH30" s="9">
        <f>+'WP-2, pg 3 - Benefits Analysis'!R30</f>
        <v>8309.76</v>
      </c>
      <c r="AI30" s="9">
        <f t="shared" si="17"/>
        <v>11935.311495279999</v>
      </c>
    </row>
    <row r="31" spans="1:36">
      <c r="A31" s="19" t="str">
        <f>+'WP-2 - Labor Analysis'!A31</f>
        <v>Hayley Nickels</v>
      </c>
      <c r="B31" s="18" t="s">
        <v>98</v>
      </c>
      <c r="C31" s="18" t="s">
        <v>105</v>
      </c>
      <c r="D31" s="18" t="s">
        <v>104</v>
      </c>
      <c r="E31" s="18" t="s">
        <v>104</v>
      </c>
      <c r="F31" s="18" t="s">
        <v>104</v>
      </c>
      <c r="G31" s="715">
        <v>12.5</v>
      </c>
      <c r="H31" s="715">
        <v>12.8</v>
      </c>
      <c r="I31" s="715">
        <v>13.25</v>
      </c>
      <c r="J31" s="715">
        <v>14</v>
      </c>
      <c r="K31" s="395">
        <v>0</v>
      </c>
      <c r="M31" s="8">
        <f>+'WP-2 - Labor Analysis'!X31</f>
        <v>978.21</v>
      </c>
      <c r="N31" s="8">
        <f>+'WP-2 - Labor Analysis'!Y31</f>
        <v>13031.55</v>
      </c>
      <c r="O31" s="8"/>
      <c r="Q31" s="395">
        <v>0</v>
      </c>
      <c r="R31" s="30"/>
      <c r="S31" s="18">
        <f t="shared" si="8"/>
        <v>0</v>
      </c>
      <c r="T31" s="30"/>
      <c r="U31" s="18">
        <f t="shared" si="9"/>
        <v>0</v>
      </c>
      <c r="V31" s="395">
        <f t="shared" si="10"/>
        <v>0</v>
      </c>
      <c r="W31" s="18">
        <f t="shared" si="11"/>
        <v>0</v>
      </c>
      <c r="X31" s="18">
        <f t="shared" si="12"/>
        <v>0</v>
      </c>
      <c r="Y31" s="746"/>
      <c r="Z31" s="388">
        <f t="shared" si="13"/>
        <v>0</v>
      </c>
      <c r="AA31" s="388">
        <f t="shared" si="7"/>
        <v>-13031.55</v>
      </c>
      <c r="AB31" s="388">
        <f t="shared" si="14"/>
        <v>0</v>
      </c>
      <c r="AC31" s="388">
        <f t="shared" si="15"/>
        <v>0</v>
      </c>
      <c r="AD31" s="388">
        <v>0</v>
      </c>
      <c r="AE31" s="388">
        <f t="shared" si="16"/>
        <v>0</v>
      </c>
      <c r="AF31" s="9"/>
      <c r="AG31" s="388">
        <f>+'WP-2, pg 3 - Benefits Analysis'!S31</f>
        <v>0</v>
      </c>
      <c r="AH31" s="388">
        <f>+'WP-2, pg 3 - Benefits Analysis'!R31</f>
        <v>0</v>
      </c>
      <c r="AI31" s="388">
        <f t="shared" si="17"/>
        <v>0</v>
      </c>
    </row>
    <row r="32" spans="1:36">
      <c r="A32" s="874" t="s">
        <v>975</v>
      </c>
      <c r="B32" s="18" t="s">
        <v>98</v>
      </c>
      <c r="C32" s="18" t="s">
        <v>105</v>
      </c>
      <c r="D32" s="18" t="s">
        <v>104</v>
      </c>
      <c r="E32" s="18" t="s">
        <v>104</v>
      </c>
      <c r="F32" s="18" t="s">
        <v>104</v>
      </c>
      <c r="G32" s="715"/>
      <c r="H32" s="715"/>
      <c r="I32" s="715"/>
      <c r="J32" s="715"/>
      <c r="K32" s="395"/>
      <c r="M32" s="8"/>
      <c r="N32" s="8"/>
      <c r="O32" s="8">
        <v>764</v>
      </c>
      <c r="Q32" s="395">
        <v>14.5</v>
      </c>
      <c r="R32" s="30"/>
      <c r="S32" s="18">
        <f>+(0.25)*Q32*(764-5)</f>
        <v>2751.375</v>
      </c>
      <c r="T32" s="30"/>
      <c r="U32" s="18">
        <f>+(0.25)*Q32*1.5*5</f>
        <v>27.1875</v>
      </c>
      <c r="V32" s="395">
        <f t="shared" si="10"/>
        <v>15.08</v>
      </c>
      <c r="W32" s="18">
        <f>+(0.75)*V32*(764-5)</f>
        <v>8584.2900000000009</v>
      </c>
      <c r="X32" s="18">
        <f>+(0.75)*V32*1.5*5</f>
        <v>84.825000000000003</v>
      </c>
      <c r="Y32" s="746"/>
      <c r="Z32" s="388">
        <f t="shared" si="13"/>
        <v>11447.677500000002</v>
      </c>
      <c r="AA32" s="388">
        <f t="shared" si="7"/>
        <v>11447.677500000002</v>
      </c>
      <c r="AB32" s="388">
        <f t="shared" si="14"/>
        <v>875.74732875000007</v>
      </c>
      <c r="AC32" s="388">
        <f t="shared" si="15"/>
        <v>56</v>
      </c>
      <c r="AD32" s="388">
        <v>0</v>
      </c>
      <c r="AE32" s="388">
        <f t="shared" si="16"/>
        <v>14.881980750000002</v>
      </c>
      <c r="AF32" s="9">
        <f>$AF$8*755</f>
        <v>63.268999999999998</v>
      </c>
      <c r="AG32" s="388">
        <f>+'WP-2, pg 3 - Benefits Analysis'!S36</f>
        <v>0</v>
      </c>
      <c r="AH32" s="388">
        <f>+'WP-2, pg 3 - Benefits Analysis'!R32</f>
        <v>0</v>
      </c>
      <c r="AI32" s="388">
        <f t="shared" si="17"/>
        <v>1009.8983095000001</v>
      </c>
    </row>
    <row r="33" spans="1:36">
      <c r="A33" s="874" t="s">
        <v>976</v>
      </c>
      <c r="B33" s="18" t="s">
        <v>98</v>
      </c>
      <c r="C33" s="18" t="s">
        <v>105</v>
      </c>
      <c r="D33" s="18" t="s">
        <v>100</v>
      </c>
      <c r="E33" s="18" t="s">
        <v>104</v>
      </c>
      <c r="F33" s="18" t="s">
        <v>104</v>
      </c>
      <c r="G33" s="715"/>
      <c r="H33" s="715"/>
      <c r="I33" s="715"/>
      <c r="J33" s="715"/>
      <c r="K33" s="395"/>
      <c r="M33" s="8"/>
      <c r="N33" s="8"/>
      <c r="O33" s="8">
        <v>1049</v>
      </c>
      <c r="Q33" s="395">
        <v>15.5</v>
      </c>
      <c r="R33" s="30"/>
      <c r="S33" s="18">
        <f>+(0.25)*Q33*1049</f>
        <v>4064.875</v>
      </c>
      <c r="T33" s="30"/>
      <c r="U33" s="18">
        <f>+(0.25)*Q33*1.5*0</f>
        <v>0</v>
      </c>
      <c r="V33" s="395">
        <f t="shared" si="10"/>
        <v>16.12</v>
      </c>
      <c r="W33" s="18">
        <f>+(0.75)*V33*1049</f>
        <v>12682.41</v>
      </c>
      <c r="X33" s="18">
        <f>+(0.75)*V33*1.5*0</f>
        <v>0</v>
      </c>
      <c r="Y33" s="746"/>
      <c r="Z33" s="388">
        <f t="shared" si="13"/>
        <v>16747.285</v>
      </c>
      <c r="AA33" s="388">
        <f t="shared" si="7"/>
        <v>16747.285</v>
      </c>
      <c r="AB33" s="388">
        <f t="shared" si="14"/>
        <v>1281.1673025</v>
      </c>
      <c r="AC33" s="388">
        <f t="shared" si="15"/>
        <v>56</v>
      </c>
      <c r="AD33" s="9">
        <f>4*(+Z33*0.03)/12</f>
        <v>167.47284999999999</v>
      </c>
      <c r="AE33" s="388">
        <f t="shared" si="16"/>
        <v>21.7714705</v>
      </c>
      <c r="AF33" s="9">
        <f>$AF$8*997</f>
        <v>83.548599999999993</v>
      </c>
      <c r="AG33" s="388">
        <f>+'WP-2, pg 3 - Benefits Analysis'!S37</f>
        <v>0</v>
      </c>
      <c r="AH33" s="388">
        <f>+'WP-2, pg 3 - Benefits Analysis'!R33</f>
        <v>0</v>
      </c>
      <c r="AI33" s="388">
        <f t="shared" si="17"/>
        <v>1609.9602230000003</v>
      </c>
    </row>
    <row r="34" spans="1:36">
      <c r="A34" s="874" t="s">
        <v>977</v>
      </c>
      <c r="B34" s="18" t="s">
        <v>98</v>
      </c>
      <c r="C34" s="18" t="s">
        <v>105</v>
      </c>
      <c r="D34" s="18" t="s">
        <v>104</v>
      </c>
      <c r="E34" s="18" t="s">
        <v>104</v>
      </c>
      <c r="F34" s="18" t="s">
        <v>104</v>
      </c>
      <c r="G34" s="715"/>
      <c r="H34" s="715"/>
      <c r="I34" s="715"/>
      <c r="J34" s="715"/>
      <c r="K34" s="395"/>
      <c r="M34" s="8"/>
      <c r="N34" s="8"/>
      <c r="O34" s="8">
        <v>804</v>
      </c>
      <c r="Q34" s="395">
        <v>14.5</v>
      </c>
      <c r="R34" s="30"/>
      <c r="S34" s="18">
        <f>+(0.25)*Q34*(804-18)</f>
        <v>2849.25</v>
      </c>
      <c r="T34" s="30"/>
      <c r="U34" s="18">
        <f>+(0.25)*Q34*1.5*18</f>
        <v>97.875</v>
      </c>
      <c r="V34" s="395">
        <f t="shared" si="10"/>
        <v>15.08</v>
      </c>
      <c r="W34" s="18">
        <f>+(0.75)*V34*(O34-18)</f>
        <v>8889.66</v>
      </c>
      <c r="X34" s="18">
        <f>+(0.75)*V34*1.5*18</f>
        <v>305.37</v>
      </c>
      <c r="Y34" s="746"/>
      <c r="Z34" s="388">
        <f t="shared" si="13"/>
        <v>12142.155000000001</v>
      </c>
      <c r="AA34" s="388">
        <f t="shared" si="7"/>
        <v>12142.155000000001</v>
      </c>
      <c r="AB34" s="388">
        <f t="shared" si="14"/>
        <v>928.87485750000008</v>
      </c>
      <c r="AC34" s="388">
        <f t="shared" si="15"/>
        <v>56</v>
      </c>
      <c r="AD34" s="388">
        <v>0</v>
      </c>
      <c r="AE34" s="388">
        <f t="shared" si="16"/>
        <v>15.7848015</v>
      </c>
      <c r="AF34" s="9">
        <f t="shared" ref="AF34" si="18">$AF$8*O34</f>
        <v>67.375200000000007</v>
      </c>
      <c r="AG34" s="388">
        <f>+'WP-2, pg 3 - Benefits Analysis'!S38</f>
        <v>0</v>
      </c>
      <c r="AH34" s="388">
        <f>+'WP-2, pg 3 - Benefits Analysis'!R34</f>
        <v>0</v>
      </c>
      <c r="AI34" s="388">
        <f t="shared" si="17"/>
        <v>1068.0348590000001</v>
      </c>
    </row>
    <row r="35" spans="1:36">
      <c r="A35" s="874" t="s">
        <v>978</v>
      </c>
      <c r="B35" s="18" t="s">
        <v>98</v>
      </c>
      <c r="C35" s="18" t="s">
        <v>105</v>
      </c>
      <c r="D35" s="18" t="s">
        <v>100</v>
      </c>
      <c r="E35" s="18" t="s">
        <v>104</v>
      </c>
      <c r="F35" s="18" t="s">
        <v>104</v>
      </c>
      <c r="G35" s="715"/>
      <c r="H35" s="715"/>
      <c r="I35" s="715"/>
      <c r="J35" s="715"/>
      <c r="K35" s="395"/>
      <c r="M35" s="8"/>
      <c r="N35" s="8"/>
      <c r="O35" s="8">
        <v>1812</v>
      </c>
      <c r="Q35" s="395">
        <v>14.8</v>
      </c>
      <c r="R35" s="30"/>
      <c r="S35" s="18">
        <f>+(0.25)*Q35*(1812-9)</f>
        <v>6671.1</v>
      </c>
      <c r="T35" s="30"/>
      <c r="U35" s="18">
        <f>+(0.25)*Q35*1.5*9</f>
        <v>49.95</v>
      </c>
      <c r="V35" s="395">
        <f t="shared" si="10"/>
        <v>15.392000000000001</v>
      </c>
      <c r="W35" s="18">
        <f>+(0.75)*V35*(O35-9)</f>
        <v>20813.832000000002</v>
      </c>
      <c r="X35" s="18">
        <f>+(0.75)*V35*1.5*9</f>
        <v>155.84400000000002</v>
      </c>
      <c r="Y35" s="746"/>
      <c r="Z35" s="875">
        <f t="shared" si="13"/>
        <v>27690.726000000002</v>
      </c>
      <c r="AA35" s="875">
        <f t="shared" si="7"/>
        <v>27690.726000000002</v>
      </c>
      <c r="AB35" s="875">
        <f t="shared" si="14"/>
        <v>2118.3405390000003</v>
      </c>
      <c r="AC35" s="875">
        <f t="shared" si="15"/>
        <v>56</v>
      </c>
      <c r="AD35" s="875">
        <f>4*(+Z35*0.03)/12</f>
        <v>276.90726000000001</v>
      </c>
      <c r="AE35" s="875">
        <f t="shared" si="16"/>
        <v>35.997943800000002</v>
      </c>
      <c r="AF35" s="9">
        <f>$AF$8*1743</f>
        <v>146.0634</v>
      </c>
      <c r="AG35" s="875">
        <f>+'WP-2, pg 3 - Benefits Analysis'!S39</f>
        <v>0</v>
      </c>
      <c r="AH35" s="875">
        <f>+'WP-2, pg 3 - Benefits Analysis'!R35</f>
        <v>8309.76</v>
      </c>
      <c r="AI35" s="875">
        <f t="shared" si="17"/>
        <v>10943.069142800001</v>
      </c>
    </row>
    <row r="36" spans="1:36">
      <c r="A36" s="31" t="str">
        <f>+'WP-2 - Labor Analysis'!A32</f>
        <v>OFFICE/ADMIN</v>
      </c>
      <c r="B36" s="970"/>
      <c r="C36" s="970"/>
      <c r="D36" s="970"/>
      <c r="E36" s="970"/>
      <c r="F36" s="970"/>
      <c r="G36" s="715"/>
      <c r="H36" s="715"/>
      <c r="I36" s="715"/>
      <c r="J36" s="715"/>
      <c r="K36" s="396"/>
      <c r="L36" s="970"/>
      <c r="M36" s="390">
        <f>SUM(M18:M31)</f>
        <v>6323.66</v>
      </c>
      <c r="N36" s="390">
        <f>SUM(N18:N31)</f>
        <v>102290.32999999999</v>
      </c>
      <c r="O36" s="20"/>
      <c r="Q36" s="395"/>
      <c r="R36" s="30"/>
      <c r="S36" s="30"/>
      <c r="T36" s="30"/>
      <c r="U36" s="30"/>
      <c r="V36" s="395"/>
      <c r="W36" s="30"/>
      <c r="X36" s="30"/>
      <c r="Y36" s="746"/>
      <c r="Z36" s="10">
        <f>SUM(Z18:Z35)</f>
        <v>147882.51912000001</v>
      </c>
      <c r="AA36" s="10">
        <f t="shared" ref="AA36:AI36" si="19">SUM(AA18:AA35)</f>
        <v>45592.189120000003</v>
      </c>
      <c r="AB36" s="10">
        <f t="shared" si="19"/>
        <v>11313.012712680002</v>
      </c>
      <c r="AC36" s="10">
        <f t="shared" si="19"/>
        <v>474.42413120000003</v>
      </c>
      <c r="AD36" s="10">
        <f t="shared" si="19"/>
        <v>2530.9298865999999</v>
      </c>
      <c r="AE36" s="10">
        <f t="shared" si="19"/>
        <v>192.24727485599996</v>
      </c>
      <c r="AF36" s="882">
        <f t="shared" si="19"/>
        <v>738.13637799999992</v>
      </c>
      <c r="AG36" s="10">
        <f t="shared" si="19"/>
        <v>0</v>
      </c>
      <c r="AH36" s="10">
        <f t="shared" si="19"/>
        <v>24929.279999999999</v>
      </c>
      <c r="AI36" s="10">
        <f t="shared" si="19"/>
        <v>40178.030383336001</v>
      </c>
      <c r="AJ36" s="20"/>
    </row>
    <row r="37" spans="1:36">
      <c r="G37" s="715"/>
      <c r="H37" s="715"/>
      <c r="I37" s="715"/>
      <c r="J37" s="715"/>
      <c r="K37" s="395"/>
      <c r="M37" s="9"/>
      <c r="N37" s="9"/>
      <c r="O37" s="9"/>
      <c r="Q37" s="395"/>
      <c r="R37" s="30"/>
      <c r="S37" s="30"/>
      <c r="T37" s="30"/>
      <c r="U37" s="30"/>
      <c r="V37" s="395"/>
      <c r="W37" s="30"/>
      <c r="X37" s="30"/>
      <c r="Y37" s="746"/>
      <c r="Z37" s="9"/>
      <c r="AA37" s="9"/>
      <c r="AB37" s="9"/>
      <c r="AC37" s="9"/>
      <c r="AD37" s="9"/>
      <c r="AE37" s="9"/>
      <c r="AF37" s="9"/>
      <c r="AG37" s="9"/>
      <c r="AH37" s="9"/>
      <c r="AI37" s="9"/>
    </row>
    <row r="38" spans="1:36">
      <c r="A38" s="19" t="str">
        <f>+'WP-2 - Labor Analysis'!A38</f>
        <v>Michael R. Held</v>
      </c>
      <c r="B38" s="18" t="s">
        <v>98</v>
      </c>
      <c r="C38" s="18" t="s">
        <v>105</v>
      </c>
      <c r="D38" s="18" t="s">
        <v>100</v>
      </c>
      <c r="E38" s="18" t="s">
        <v>104</v>
      </c>
      <c r="F38" s="18" t="s">
        <v>100</v>
      </c>
      <c r="G38" s="715">
        <v>16.8</v>
      </c>
      <c r="H38" s="715">
        <v>17.600000000000001</v>
      </c>
      <c r="I38" s="715"/>
      <c r="J38" s="715"/>
      <c r="K38" s="395">
        <v>0</v>
      </c>
      <c r="M38" s="8">
        <f>+'WP-2 - Labor Analysis'!X38</f>
        <v>2061.8500000000004</v>
      </c>
      <c r="N38" s="8">
        <f>+'WP-2 - Labor Analysis'!Y38</f>
        <v>36768.720000000001</v>
      </c>
      <c r="O38" s="8"/>
      <c r="Q38" s="395">
        <v>19</v>
      </c>
      <c r="R38" s="30"/>
      <c r="S38" s="18">
        <f>+(0.25)*Q38*('WP-2 - Labor Analysis'!E38+'WP-2 - Labor Analysis'!G38+'WP-2 - Labor Analysis'!H38+'WP-2 - Labor Analysis'!I38)</f>
        <v>9549.4950000000008</v>
      </c>
      <c r="T38" s="30"/>
      <c r="U38" s="18">
        <f>+(0.25)*1.5*Q38*('WP-2 - Labor Analysis'!F38)</f>
        <v>366.43874999999997</v>
      </c>
      <c r="V38" s="395">
        <f>+Q38*1.04</f>
        <v>19.760000000000002</v>
      </c>
      <c r="W38" s="18">
        <f>+(0.75)*V38*('WP-2 - Labor Analysis'!E38+'WP-2 - Labor Analysis'!G38+'WP-2 - Labor Analysis'!H38+'WP-2 - Labor Analysis'!I38)</f>
        <v>29794.4244</v>
      </c>
      <c r="X38" s="18">
        <f>+(0.75)*1.5*V38*('WP-2 - Labor Analysis'!F38)</f>
        <v>1143.2889</v>
      </c>
      <c r="Y38" s="746">
        <v>313.55</v>
      </c>
      <c r="Z38" s="9">
        <f t="shared" ref="Z38:Z51" si="20">SUM(S38:U38)+SUM(W38:Y38)</f>
        <v>41167.197050000002</v>
      </c>
      <c r="AA38" s="9">
        <f t="shared" ref="AA38:AA51" si="21">Z38-N38</f>
        <v>4398.4770500000013</v>
      </c>
      <c r="AB38" s="9">
        <f t="shared" ref="AB38:AB51" si="22">Z38*0.0765</f>
        <v>3149.2905743250003</v>
      </c>
      <c r="AC38" s="9">
        <f t="shared" ref="AC38:AC47" si="23">IF(Z38&gt;7000,7000*0.008,Z38*0.008)</f>
        <v>56</v>
      </c>
      <c r="AD38" s="9">
        <f>+Z38*0.03</f>
        <v>1235.0159115000001</v>
      </c>
      <c r="AE38" s="9">
        <f t="shared" ref="AE38:AE51" si="24">IF(Z38&gt;$AE$7,$AE$7*$AE$8,+Z38*$AE$8)</f>
        <v>53.517356165000002</v>
      </c>
      <c r="AF38" s="9">
        <f>$AF$7*(M38-'WP-2 - Labor Analysis'!G38-'WP-2 - Labor Analysis'!H38-'WP-2 - Labor Analysis'!I38)</f>
        <v>3889.1121225000006</v>
      </c>
      <c r="AG38" s="9">
        <f>+'WP-2, pg 3 - Benefits Analysis'!S38</f>
        <v>0</v>
      </c>
      <c r="AH38" s="9">
        <f>+'WP-2, pg 3 - Benefits Analysis'!R38</f>
        <v>8898.9599999999991</v>
      </c>
      <c r="AI38" s="9">
        <f t="shared" ref="AI38:AI47" si="25">SUM(AB38:AH38)</f>
        <v>17281.895964489999</v>
      </c>
    </row>
    <row r="39" spans="1:36">
      <c r="A39" s="19" t="str">
        <f>+'WP-2 - Labor Analysis'!A39</f>
        <v>Dane . Felsted</v>
      </c>
      <c r="B39" s="18" t="s">
        <v>98</v>
      </c>
      <c r="C39" s="18" t="s">
        <v>105</v>
      </c>
      <c r="D39" s="18" t="s">
        <v>100</v>
      </c>
      <c r="E39" s="18" t="s">
        <v>104</v>
      </c>
      <c r="F39" s="18" t="s">
        <v>104</v>
      </c>
      <c r="G39" s="715">
        <v>14.6</v>
      </c>
      <c r="H39" s="715">
        <v>15</v>
      </c>
      <c r="I39" s="715"/>
      <c r="J39" s="715"/>
      <c r="K39" s="395">
        <v>0</v>
      </c>
      <c r="M39" s="8">
        <f>+'WP-2 - Labor Analysis'!X39</f>
        <v>1090.68</v>
      </c>
      <c r="N39" s="8">
        <f>+'WP-2 - Labor Analysis'!Y39</f>
        <v>16403.560000000001</v>
      </c>
      <c r="O39" s="8"/>
      <c r="Q39" s="395">
        <v>15.8</v>
      </c>
      <c r="R39" s="30"/>
      <c r="S39" s="18">
        <f>+(0.25)*Q39*('WP-2 - Labor Analysis'!E39+'WP-2 - Labor Analysis'!G39+'WP-2 - Labor Analysis'!H39+'WP-2 - Labor Analysis'!I39)</f>
        <v>4308.1860000000006</v>
      </c>
      <c r="T39" s="30"/>
      <c r="U39" s="18">
        <f>+(0.25)*1.5*Q39*('WP-2 - Labor Analysis'!F39)</f>
        <v>0</v>
      </c>
      <c r="V39" s="395">
        <f>+Q39*1.04</f>
        <v>16.432000000000002</v>
      </c>
      <c r="W39" s="18">
        <f>+(0.75)*V39*('WP-2 - Labor Analysis'!E39+'WP-2 - Labor Analysis'!G39+'WP-2 - Labor Analysis'!H39+'WP-2 - Labor Analysis'!I39)</f>
        <v>13441.540320000002</v>
      </c>
      <c r="X39" s="18">
        <f>+(0.75)*1.5*V39*('WP-2 - Labor Analysis'!F39)</f>
        <v>0</v>
      </c>
      <c r="Y39" s="746">
        <v>43.31</v>
      </c>
      <c r="Z39" s="9">
        <f t="shared" si="20"/>
        <v>17793.036320000003</v>
      </c>
      <c r="AA39" s="9">
        <f t="shared" si="21"/>
        <v>1389.4763200000016</v>
      </c>
      <c r="AB39" s="9">
        <f t="shared" si="22"/>
        <v>1361.1672784800003</v>
      </c>
      <c r="AC39" s="9">
        <f t="shared" si="23"/>
        <v>56</v>
      </c>
      <c r="AD39" s="9">
        <f t="shared" ref="AD39:AD48" si="26">+Z39*0.03</f>
        <v>533.79108960000008</v>
      </c>
      <c r="AE39" s="9">
        <f t="shared" si="24"/>
        <v>23.130947216000003</v>
      </c>
      <c r="AF39" s="9">
        <f>$AF$7*(M39-'WP-2 - Labor Analysis'!G39-'WP-2 - Labor Analysis'!H39-'WP-2 - Labor Analysis'!I39)</f>
        <v>2163.0670380000001</v>
      </c>
      <c r="AG39" s="9">
        <f>+'WP-2, pg 3 - Benefits Analysis'!S39</f>
        <v>0</v>
      </c>
      <c r="AH39" s="9">
        <f>+'WP-2, pg 3 - Benefits Analysis'!R39</f>
        <v>0</v>
      </c>
      <c r="AI39" s="9">
        <f t="shared" si="25"/>
        <v>4137.1563532960008</v>
      </c>
    </row>
    <row r="40" spans="1:36">
      <c r="A40" s="19" t="str">
        <f>+'WP-2 - Labor Analysis'!A40</f>
        <v>Scot L. Askham</v>
      </c>
      <c r="B40" s="18" t="s">
        <v>98</v>
      </c>
      <c r="C40" s="18" t="s">
        <v>105</v>
      </c>
      <c r="D40" s="18" t="s">
        <v>100</v>
      </c>
      <c r="E40" s="18" t="s">
        <v>104</v>
      </c>
      <c r="F40" s="18" t="s">
        <v>100</v>
      </c>
      <c r="G40" s="715">
        <v>14.5</v>
      </c>
      <c r="H40" s="715">
        <v>15.2</v>
      </c>
      <c r="I40" s="715"/>
      <c r="J40" s="715"/>
      <c r="K40" s="395"/>
      <c r="M40" s="8">
        <f>+'WP-2 - Labor Analysis'!X40</f>
        <v>1721.9599999999998</v>
      </c>
      <c r="N40" s="8">
        <f>+'WP-2 - Labor Analysis'!Y40</f>
        <v>25906.04</v>
      </c>
      <c r="O40" s="8"/>
      <c r="Q40" s="395">
        <v>16</v>
      </c>
      <c r="R40" s="30"/>
      <c r="S40" s="18">
        <f>+(0.25)*Q40*('WP-2 - Labor Analysis'!E40+'WP-2 - Labor Analysis'!G40+'WP-2 - Labor Analysis'!H40+'WP-2 - Labor Analysis'!I40)</f>
        <v>6832.5199999999995</v>
      </c>
      <c r="T40" s="30"/>
      <c r="U40" s="18">
        <f>+(0.25)*1.5*Q40*('WP-2 - Labor Analysis'!F40)</f>
        <v>82.98</v>
      </c>
      <c r="V40" s="395">
        <f>+Q40*1.04</f>
        <v>16.64</v>
      </c>
      <c r="W40" s="18">
        <f>+(0.75)*V40*('WP-2 - Labor Analysis'!E40+'WP-2 - Labor Analysis'!G40+'WP-2 - Labor Analysis'!H40+'WP-2 - Labor Analysis'!I40)</f>
        <v>21317.4624</v>
      </c>
      <c r="X40" s="18">
        <f>+(0.75)*1.5*V40*('WP-2 - Labor Analysis'!F40)</f>
        <v>258.89760000000001</v>
      </c>
      <c r="Y40" s="746">
        <v>151.6</v>
      </c>
      <c r="Z40" s="9">
        <f t="shared" si="20"/>
        <v>28643.46</v>
      </c>
      <c r="AA40" s="9">
        <f t="shared" si="21"/>
        <v>2737.4199999999983</v>
      </c>
      <c r="AB40" s="9">
        <f t="shared" si="22"/>
        <v>2191.22469</v>
      </c>
      <c r="AC40" s="9">
        <f t="shared" ref="AC40" si="27">IF(Z40&gt;7000,7000*0.008,Z40*0.008)</f>
        <v>56</v>
      </c>
      <c r="AD40" s="9">
        <f t="shared" si="26"/>
        <v>859.30379999999991</v>
      </c>
      <c r="AE40" s="9">
        <f t="shared" si="24"/>
        <v>37.236497999999997</v>
      </c>
      <c r="AF40" s="9">
        <f>$AF$7*(M40-'WP-2 - Labor Analysis'!G40-'WP-2 - Labor Analysis'!H40-'WP-2 - Labor Analysis'!I40)</f>
        <v>3217.4476454999995</v>
      </c>
      <c r="AG40" s="9">
        <f>+'WP-2, pg 3 - Benefits Analysis'!S40</f>
        <v>0</v>
      </c>
      <c r="AH40" s="9">
        <f>+'WP-2, pg 3 - Benefits Analysis'!R40</f>
        <v>8797.56</v>
      </c>
      <c r="AI40" s="9">
        <f t="shared" si="25"/>
        <v>15158.772633499999</v>
      </c>
    </row>
    <row r="41" spans="1:36">
      <c r="A41" s="19" t="str">
        <f>+'WP-2 - Labor Analysis'!A41</f>
        <v>Isaac T. Anderson</v>
      </c>
      <c r="B41" s="18" t="s">
        <v>98</v>
      </c>
      <c r="C41" s="18" t="s">
        <v>105</v>
      </c>
      <c r="D41" s="18" t="s">
        <v>100</v>
      </c>
      <c r="E41" s="18" t="s">
        <v>104</v>
      </c>
      <c r="F41" s="18" t="s">
        <v>100</v>
      </c>
      <c r="G41" s="715">
        <v>16.399999999999999</v>
      </c>
      <c r="H41" s="715">
        <v>17.100000000000001</v>
      </c>
      <c r="I41" s="715"/>
      <c r="J41" s="715"/>
      <c r="K41" s="395">
        <v>0</v>
      </c>
      <c r="M41" s="8">
        <f>+'WP-2 - Labor Analysis'!X41</f>
        <v>2122.3000000000002</v>
      </c>
      <c r="N41" s="8">
        <f>+'WP-2 - Labor Analysis'!Y41</f>
        <v>37087.14</v>
      </c>
      <c r="O41" s="8"/>
      <c r="Q41" s="395">
        <v>0</v>
      </c>
      <c r="R41" s="30"/>
      <c r="S41" s="18">
        <f t="shared" ref="S41:S42" si="28">3*(IF(M41&gt;2080,2080*Q41,M41*Q41))/12</f>
        <v>0</v>
      </c>
      <c r="T41" s="30"/>
      <c r="U41" s="18">
        <f t="shared" ref="U41:U42" si="29">3*(IF(M41&gt;2080,(M41-2080)*(Q41*1.5),0))/12</f>
        <v>0</v>
      </c>
      <c r="V41" s="395">
        <f>+Q41*1.04</f>
        <v>0</v>
      </c>
      <c r="W41" s="18">
        <f t="shared" ref="W41:W42" si="30">9*(IF(M41&gt;2080,2080*V41,M41*V41))/12</f>
        <v>0</v>
      </c>
      <c r="X41" s="18">
        <f t="shared" ref="X41:X42" si="31">9*(IF(M41&gt;2080,(M41-2080)*(V41*1.5),0))/12</f>
        <v>0</v>
      </c>
      <c r="Y41" s="746">
        <v>0</v>
      </c>
      <c r="Z41" s="9">
        <f t="shared" si="20"/>
        <v>0</v>
      </c>
      <c r="AA41" s="9">
        <f t="shared" si="21"/>
        <v>-37087.14</v>
      </c>
      <c r="AB41" s="9">
        <f t="shared" si="22"/>
        <v>0</v>
      </c>
      <c r="AC41" s="9">
        <f t="shared" si="23"/>
        <v>0</v>
      </c>
      <c r="AD41" s="9">
        <f t="shared" si="26"/>
        <v>0</v>
      </c>
      <c r="AE41" s="9">
        <f t="shared" si="24"/>
        <v>0</v>
      </c>
      <c r="AF41" s="9"/>
      <c r="AG41" s="9">
        <f>+'WP-2, pg 3 - Benefits Analysis'!S41</f>
        <v>0</v>
      </c>
      <c r="AH41" s="9">
        <f>+'WP-2, pg 3 - Benefits Analysis'!R41</f>
        <v>0</v>
      </c>
      <c r="AI41" s="9">
        <f t="shared" si="25"/>
        <v>0</v>
      </c>
      <c r="AJ41" s="6" t="s">
        <v>979</v>
      </c>
    </row>
    <row r="42" spans="1:36">
      <c r="A42" s="19" t="str">
        <f>+'WP-2 - Labor Analysis'!A42</f>
        <v>Jason T. Martin</v>
      </c>
      <c r="B42" s="18" t="s">
        <v>98</v>
      </c>
      <c r="C42" s="18" t="s">
        <v>105</v>
      </c>
      <c r="D42" s="18" t="s">
        <v>100</v>
      </c>
      <c r="E42" s="18" t="s">
        <v>104</v>
      </c>
      <c r="F42" s="18" t="s">
        <v>100</v>
      </c>
      <c r="G42" s="715">
        <v>13.2</v>
      </c>
      <c r="H42" s="715">
        <v>13.7</v>
      </c>
      <c r="I42" s="715"/>
      <c r="J42" s="715"/>
      <c r="K42" s="395">
        <v>0</v>
      </c>
      <c r="M42" s="8">
        <f>+'WP-2 - Labor Analysis'!X42</f>
        <v>1504.5800000000002</v>
      </c>
      <c r="N42" s="8">
        <f>+'WP-2 - Labor Analysis'!Y42</f>
        <v>20610.740000000002</v>
      </c>
      <c r="O42" s="8"/>
      <c r="Q42" s="395">
        <v>0</v>
      </c>
      <c r="R42" s="30"/>
      <c r="S42" s="18">
        <f t="shared" si="28"/>
        <v>0</v>
      </c>
      <c r="T42" s="30"/>
      <c r="U42" s="18">
        <f t="shared" si="29"/>
        <v>0</v>
      </c>
      <c r="V42" s="395">
        <f>+Q42*1.04</f>
        <v>0</v>
      </c>
      <c r="W42" s="18">
        <f t="shared" si="30"/>
        <v>0</v>
      </c>
      <c r="X42" s="18">
        <f t="shared" si="31"/>
        <v>0</v>
      </c>
      <c r="Y42" s="746">
        <v>0</v>
      </c>
      <c r="Z42" s="9">
        <f t="shared" si="20"/>
        <v>0</v>
      </c>
      <c r="AA42" s="9">
        <f t="shared" si="21"/>
        <v>-20610.740000000002</v>
      </c>
      <c r="AB42" s="9">
        <f t="shared" si="22"/>
        <v>0</v>
      </c>
      <c r="AC42" s="9">
        <f t="shared" si="23"/>
        <v>0</v>
      </c>
      <c r="AD42" s="9">
        <f t="shared" si="26"/>
        <v>0</v>
      </c>
      <c r="AE42" s="9">
        <f t="shared" si="24"/>
        <v>0</v>
      </c>
      <c r="AF42" s="9"/>
      <c r="AG42" s="9">
        <f>+'WP-2, pg 3 - Benefits Analysis'!S42</f>
        <v>0</v>
      </c>
      <c r="AH42" s="9">
        <v>0</v>
      </c>
      <c r="AI42" s="9">
        <f t="shared" si="25"/>
        <v>0</v>
      </c>
      <c r="AJ42" s="6" t="s">
        <v>979</v>
      </c>
    </row>
    <row r="43" spans="1:36">
      <c r="A43" s="19" t="str">
        <f>+'WP-2 - Labor Analysis'!A43</f>
        <v>James D. Thompson</v>
      </c>
      <c r="B43" s="18" t="s">
        <v>99</v>
      </c>
      <c r="C43" s="18" t="s">
        <v>304</v>
      </c>
      <c r="D43" s="18" t="s">
        <v>100</v>
      </c>
      <c r="E43" s="18" t="s">
        <v>104</v>
      </c>
      <c r="F43" s="18" t="s">
        <v>100</v>
      </c>
      <c r="G43" s="715"/>
      <c r="H43" s="715"/>
      <c r="I43" s="715"/>
      <c r="J43" s="715"/>
      <c r="K43" s="395">
        <v>0</v>
      </c>
      <c r="M43" s="8">
        <f>+'WP-2 - Labor Analysis'!X43</f>
        <v>2000</v>
      </c>
      <c r="N43" s="8">
        <f>+'WP-2 - Labor Analysis'!Y43</f>
        <v>65254.59</v>
      </c>
      <c r="O43" s="8"/>
      <c r="Q43" s="395" t="s">
        <v>905</v>
      </c>
      <c r="R43" s="30"/>
      <c r="S43" s="30">
        <f>3*(67800/12)</f>
        <v>16950</v>
      </c>
      <c r="T43" s="30"/>
      <c r="V43" s="395" t="s">
        <v>905</v>
      </c>
      <c r="W43" s="18">
        <f>9*((67800*1.04)/12)</f>
        <v>52884</v>
      </c>
      <c r="Y43" s="746">
        <v>504.59</v>
      </c>
      <c r="Z43" s="9">
        <f t="shared" si="20"/>
        <v>70338.59</v>
      </c>
      <c r="AA43" s="9">
        <f t="shared" si="21"/>
        <v>5084</v>
      </c>
      <c r="AB43" s="9">
        <f t="shared" si="22"/>
        <v>5380.9021349999994</v>
      </c>
      <c r="AC43" s="9">
        <f t="shared" si="23"/>
        <v>56</v>
      </c>
      <c r="AD43" s="9">
        <f t="shared" si="26"/>
        <v>2110.1576999999997</v>
      </c>
      <c r="AE43" s="9">
        <f t="shared" si="24"/>
        <v>68.509999999999991</v>
      </c>
      <c r="AF43" s="9">
        <f>$AF$7*(M43-'WP-2 - Labor Analysis'!G43-'WP-2 - Labor Analysis'!H43-'WP-2 - Labor Analysis'!I43)</f>
        <v>3682.5755999999997</v>
      </c>
      <c r="AG43" s="9">
        <f>+'WP-2, pg 3 - Benefits Analysis'!S43</f>
        <v>0</v>
      </c>
      <c r="AH43" s="9">
        <f>+'WP-2, pg 3 - Benefits Analysis'!R43</f>
        <v>8959.7999999999993</v>
      </c>
      <c r="AI43" s="9">
        <f t="shared" si="25"/>
        <v>20257.945434999998</v>
      </c>
    </row>
    <row r="44" spans="1:36">
      <c r="A44" s="19" t="str">
        <f>+'WP-2 - Labor Analysis'!A44</f>
        <v>Eric R. Gibson</v>
      </c>
      <c r="B44" s="18" t="s">
        <v>98</v>
      </c>
      <c r="C44" s="18" t="s">
        <v>105</v>
      </c>
      <c r="D44" s="18" t="s">
        <v>100</v>
      </c>
      <c r="E44" s="18" t="s">
        <v>104</v>
      </c>
      <c r="F44" s="18" t="s">
        <v>100</v>
      </c>
      <c r="G44" s="715">
        <v>24.8</v>
      </c>
      <c r="H44" s="715">
        <v>25.5</v>
      </c>
      <c r="I44" s="715"/>
      <c r="J44" s="715"/>
      <c r="K44" s="395">
        <v>0</v>
      </c>
      <c r="M44" s="8">
        <f>+'WP-2 - Labor Analysis'!X44</f>
        <v>1923.3</v>
      </c>
      <c r="N44" s="8">
        <f>+'WP-2 - Labor Analysis'!Y44</f>
        <v>49275.53</v>
      </c>
      <c r="O44" s="8"/>
      <c r="Q44" s="395">
        <v>26.7</v>
      </c>
      <c r="R44" s="30"/>
      <c r="S44" s="18">
        <f>+(0.25)*Q44*('WP-2 - Labor Analysis'!E44+'WP-2 - Labor Analysis'!G44+'WP-2 - Labor Analysis'!H44+'WP-2 - Labor Analysis'!I44)</f>
        <v>12724.08525</v>
      </c>
      <c r="T44" s="30"/>
      <c r="U44" s="18">
        <f>+(0.25)*1.5*Q44*('WP-2 - Labor Analysis'!F44)</f>
        <v>170.913375</v>
      </c>
      <c r="V44" s="395">
        <f>+Q44*1.04</f>
        <v>27.768000000000001</v>
      </c>
      <c r="W44" s="18">
        <f>+(0.75)*V44*('WP-2 - Labor Analysis'!E44+'WP-2 - Labor Analysis'!G44+'WP-2 - Labor Analysis'!H44+'WP-2 - Labor Analysis'!I44)</f>
        <v>39699.145980000001</v>
      </c>
      <c r="X44" s="18">
        <f>+(0.75)*1.5*V44*('WP-2 - Labor Analysis'!F44)</f>
        <v>533.24973</v>
      </c>
      <c r="Y44" s="746">
        <v>259.87</v>
      </c>
      <c r="Z44" s="9">
        <f t="shared" si="20"/>
        <v>53387.264335000007</v>
      </c>
      <c r="AA44" s="9">
        <f t="shared" si="21"/>
        <v>4111.7343350000083</v>
      </c>
      <c r="AB44" s="9">
        <f t="shared" si="22"/>
        <v>4084.1257216275003</v>
      </c>
      <c r="AC44" s="9">
        <f t="shared" si="23"/>
        <v>56</v>
      </c>
      <c r="AD44" s="9">
        <f t="shared" si="26"/>
        <v>1601.61793005</v>
      </c>
      <c r="AE44" s="9">
        <f t="shared" si="24"/>
        <v>68.509999999999991</v>
      </c>
      <c r="AF44" s="9">
        <f>$AF$7*(M44-'WP-2 - Labor Analysis'!G44-'WP-2 - Labor Analysis'!H44-'WP-2 - Labor Analysis'!I44)</f>
        <v>3478.411662</v>
      </c>
      <c r="AG44" s="9">
        <f>+'WP-2, pg 3 - Benefits Analysis'!S44</f>
        <v>0</v>
      </c>
      <c r="AH44" s="9">
        <f>+'WP-2, pg 3 - Benefits Analysis'!R44</f>
        <v>13944.56</v>
      </c>
      <c r="AI44" s="9">
        <f t="shared" si="25"/>
        <v>23233.2253136775</v>
      </c>
    </row>
    <row r="45" spans="1:36">
      <c r="A45" s="19" t="str">
        <f>+'WP-2 - Labor Analysis'!A45</f>
        <v>Sean M. DeWald</v>
      </c>
      <c r="B45" s="18" t="s">
        <v>98</v>
      </c>
      <c r="C45" s="18" t="s">
        <v>105</v>
      </c>
      <c r="D45" s="18" t="s">
        <v>100</v>
      </c>
      <c r="E45" s="18" t="s">
        <v>104</v>
      </c>
      <c r="F45" s="18" t="s">
        <v>100</v>
      </c>
      <c r="G45" s="715">
        <v>14.6</v>
      </c>
      <c r="H45" s="715">
        <v>15.2</v>
      </c>
      <c r="I45" s="715">
        <v>16.2</v>
      </c>
      <c r="J45" s="715"/>
      <c r="K45" s="395">
        <v>0</v>
      </c>
      <c r="M45" s="8">
        <f>+'WP-2 - Labor Analysis'!X45</f>
        <v>1683.17</v>
      </c>
      <c r="N45" s="8">
        <f>+'WP-2 - Labor Analysis'!Y45</f>
        <v>26483.82</v>
      </c>
      <c r="O45" s="8"/>
      <c r="Q45" s="395">
        <v>18.600000000000001</v>
      </c>
      <c r="R45" s="30"/>
      <c r="S45" s="18">
        <f>+(0.25)*Q45*('WP-2 - Labor Analysis'!E45+'WP-2 - Labor Analysis'!G45+'WP-2 - Labor Analysis'!H45+'WP-2 - Labor Analysis'!I45)</f>
        <v>7673.6625000000004</v>
      </c>
      <c r="T45" s="30"/>
      <c r="U45" s="18">
        <f>+(0.25)*1.5*Q45*('WP-2 - Labor Analysis'!F45)</f>
        <v>229.61700000000002</v>
      </c>
      <c r="V45" s="395">
        <f>+Q45*1.04</f>
        <v>19.344000000000001</v>
      </c>
      <c r="W45" s="18">
        <f>+(0.75)*V45*('WP-2 - Labor Analysis'!E45+'WP-2 - Labor Analysis'!G45+'WP-2 - Labor Analysis'!H45+'WP-2 - Labor Analysis'!I45)</f>
        <v>23941.827000000001</v>
      </c>
      <c r="X45" s="18">
        <f>+(0.75)*1.5*V45*('WP-2 - Labor Analysis'!F45)</f>
        <v>716.4050400000001</v>
      </c>
      <c r="Y45" s="746">
        <v>184.08</v>
      </c>
      <c r="Z45" s="9">
        <f t="shared" si="20"/>
        <v>32745.591540000005</v>
      </c>
      <c r="AA45" s="9">
        <f t="shared" si="21"/>
        <v>6261.7715400000052</v>
      </c>
      <c r="AB45" s="9">
        <f t="shared" si="22"/>
        <v>2505.0377528100003</v>
      </c>
      <c r="AC45" s="388">
        <f t="shared" si="23"/>
        <v>56</v>
      </c>
      <c r="AD45" s="9">
        <f t="shared" si="26"/>
        <v>982.36774620000006</v>
      </c>
      <c r="AE45" s="9">
        <f t="shared" si="24"/>
        <v>42.569269002000006</v>
      </c>
      <c r="AF45" s="9">
        <f>$AF$7*(M45-'WP-2 - Labor Analysis'!G45-'WP-2 - Labor Analysis'!H45-'WP-2 - Labor Analysis'!I45)</f>
        <v>3283.4338845000002</v>
      </c>
      <c r="AG45" s="9">
        <f>+'WP-2, pg 3 - Benefits Analysis'!S45</f>
        <v>0</v>
      </c>
      <c r="AH45" s="9">
        <f>+'WP-2, pg 3 - Benefits Analysis'!R45</f>
        <v>8309.76</v>
      </c>
      <c r="AI45" s="9">
        <f t="shared" si="25"/>
        <v>15179.168652512</v>
      </c>
    </row>
    <row r="46" spans="1:36">
      <c r="A46" s="19" t="str">
        <f>+'WP-2 - Labor Analysis'!A46</f>
        <v>Bryan D. Johnson</v>
      </c>
      <c r="B46" s="18" t="s">
        <v>98</v>
      </c>
      <c r="C46" s="18" t="s">
        <v>105</v>
      </c>
      <c r="D46" s="18" t="s">
        <v>100</v>
      </c>
      <c r="E46" s="18" t="s">
        <v>104</v>
      </c>
      <c r="F46" s="18" t="s">
        <v>100</v>
      </c>
      <c r="G46" s="715">
        <v>24.2</v>
      </c>
      <c r="H46" s="715">
        <v>25</v>
      </c>
      <c r="I46" s="715"/>
      <c r="J46" s="715"/>
      <c r="K46" s="395"/>
      <c r="M46" s="8">
        <f>+'WP-2 - Labor Analysis'!X46</f>
        <v>2162.5699999999997</v>
      </c>
      <c r="N46" s="8">
        <f>+'WP-2 - Labor Analysis'!Y46</f>
        <v>55128.49</v>
      </c>
      <c r="O46" s="8"/>
      <c r="Q46" s="395">
        <v>26.2</v>
      </c>
      <c r="R46" s="30"/>
      <c r="S46" s="18">
        <f>+(0.25)*Q46*('WP-2 - Labor Analysis'!E46+'WP-2 - Labor Analysis'!G46+'WP-2 - Labor Analysis'!H46+'WP-2 - Labor Analysis'!I46)</f>
        <v>13582.866000000002</v>
      </c>
      <c r="T46" s="30"/>
      <c r="U46" s="18">
        <f>+(0.25)*1.5*Q46*('WP-2 - Labor Analysis'!F46)</f>
        <v>872.95124999999985</v>
      </c>
      <c r="V46" s="395">
        <f>+Q46*1.04</f>
        <v>27.248000000000001</v>
      </c>
      <c r="W46" s="18">
        <f>+(0.75)*V46*('WP-2 - Labor Analysis'!E46+'WP-2 - Labor Analysis'!G46+'WP-2 - Labor Analysis'!H46+'WP-2 - Labor Analysis'!I46)</f>
        <v>42378.541920000003</v>
      </c>
      <c r="X46" s="18">
        <f>+(0.75)*1.5*V46*('WP-2 - Labor Analysis'!F46)</f>
        <v>2723.6079</v>
      </c>
      <c r="Y46" s="746">
        <v>303.2</v>
      </c>
      <c r="Z46" s="9">
        <f t="shared" si="20"/>
        <v>59861.167070000003</v>
      </c>
      <c r="AA46" s="9">
        <f t="shared" si="21"/>
        <v>4732.6770700000052</v>
      </c>
      <c r="AB46" s="9">
        <f t="shared" si="22"/>
        <v>4579.3792808549997</v>
      </c>
      <c r="AC46" s="388">
        <f t="shared" si="23"/>
        <v>56</v>
      </c>
      <c r="AD46" s="9">
        <f t="shared" si="26"/>
        <v>1795.8350121000001</v>
      </c>
      <c r="AE46" s="9">
        <f t="shared" si="24"/>
        <v>68.509999999999991</v>
      </c>
      <c r="AF46" s="9">
        <f>$AF$7*(M46-'WP-2 - Labor Analysis'!G46-'WP-2 - Labor Analysis'!H46-'WP-2 - Labor Analysis'!I46)</f>
        <v>4036.5773744999992</v>
      </c>
      <c r="AG46" s="9">
        <f>+'WP-2, pg 3 - Benefits Analysis'!S46</f>
        <v>0</v>
      </c>
      <c r="AH46" s="9">
        <f>+'WP-2, pg 3 - Benefits Analysis'!R46</f>
        <v>8309.76</v>
      </c>
      <c r="AI46" s="9">
        <f t="shared" si="25"/>
        <v>18846.061667455</v>
      </c>
    </row>
    <row r="47" spans="1:36">
      <c r="A47" s="19" t="str">
        <f>+'WP-2 - Labor Analysis'!A47</f>
        <v>Justin S. Holt</v>
      </c>
      <c r="B47" s="18" t="s">
        <v>98</v>
      </c>
      <c r="C47" s="18" t="s">
        <v>105</v>
      </c>
      <c r="D47" s="18" t="s">
        <v>100</v>
      </c>
      <c r="E47" s="18" t="s">
        <v>104</v>
      </c>
      <c r="F47" s="18" t="s">
        <v>100</v>
      </c>
      <c r="G47" s="715">
        <v>25.3</v>
      </c>
      <c r="H47" s="715">
        <v>26</v>
      </c>
      <c r="I47" s="715"/>
      <c r="J47" s="715"/>
      <c r="K47" s="395"/>
      <c r="M47" s="8">
        <f>+'WP-2 - Labor Analysis'!X47</f>
        <v>2171.71</v>
      </c>
      <c r="N47" s="8">
        <f>+'WP-2 - Labor Analysis'!Y47</f>
        <v>58093.71</v>
      </c>
      <c r="O47" s="8"/>
      <c r="Q47" s="395">
        <v>27</v>
      </c>
      <c r="R47" s="30"/>
      <c r="S47" s="18">
        <f>+(0.25)*Q47*('WP-2 - Labor Analysis'!E47+'WP-2 - Labor Analysis'!G47+'WP-2 - Labor Analysis'!H47+'WP-2 - Labor Analysis'!I47)</f>
        <v>13878.877500000001</v>
      </c>
      <c r="T47" s="30"/>
      <c r="U47" s="18">
        <f>+(0.25)*1.5*Q47*('WP-2 - Labor Analysis'!F47)</f>
        <v>1170.2474999999999</v>
      </c>
      <c r="V47" s="395">
        <f>+Q47*1.04</f>
        <v>28.080000000000002</v>
      </c>
      <c r="W47" s="18">
        <f>+(0.75)*V47*('WP-2 - Labor Analysis'!E47+'WP-2 - Labor Analysis'!G47+'WP-2 - Labor Analysis'!H47+'WP-2 - Labor Analysis'!I47)</f>
        <v>43302.09780000001</v>
      </c>
      <c r="X47" s="18">
        <f>+(0.75)*1.5*V47*('WP-2 - Labor Analysis'!F47)</f>
        <v>3651.1722000000004</v>
      </c>
      <c r="Y47" s="746">
        <v>406.06</v>
      </c>
      <c r="Z47" s="9">
        <f t="shared" si="20"/>
        <v>62408.455000000009</v>
      </c>
      <c r="AA47" s="9">
        <f t="shared" si="21"/>
        <v>4314.7450000000099</v>
      </c>
      <c r="AB47" s="9">
        <f t="shared" si="22"/>
        <v>4774.2468075000006</v>
      </c>
      <c r="AC47" s="388">
        <f t="shared" si="23"/>
        <v>56</v>
      </c>
      <c r="AD47" s="9">
        <f t="shared" si="26"/>
        <v>1872.2536500000001</v>
      </c>
      <c r="AE47" s="9">
        <f t="shared" si="24"/>
        <v>68.509999999999991</v>
      </c>
      <c r="AF47" s="9">
        <f>$AF$7*(M47-'WP-2 - Labor Analysis'!G47-'WP-2 - Labor Analysis'!H47-'WP-2 - Labor Analysis'!I47)</f>
        <v>4095.6689234999999</v>
      </c>
      <c r="AG47" s="9">
        <f>+'WP-2, pg 3 - Benefits Analysis'!S47</f>
        <v>0</v>
      </c>
      <c r="AH47" s="9">
        <f>+'WP-2, pg 3 - Benefits Analysis'!R47</f>
        <v>18978.98</v>
      </c>
      <c r="AI47" s="9">
        <f t="shared" si="25"/>
        <v>29845.659380999998</v>
      </c>
    </row>
    <row r="48" spans="1:36">
      <c r="A48" s="19" t="s">
        <v>590</v>
      </c>
      <c r="B48" s="18" t="s">
        <v>98</v>
      </c>
      <c r="C48" s="18" t="s">
        <v>105</v>
      </c>
      <c r="D48" s="18" t="s">
        <v>100</v>
      </c>
      <c r="E48" s="18" t="s">
        <v>104</v>
      </c>
      <c r="F48" s="18" t="s">
        <v>100</v>
      </c>
      <c r="G48" s="715">
        <v>22.4</v>
      </c>
      <c r="H48" s="715">
        <v>23</v>
      </c>
      <c r="I48" s="715"/>
      <c r="J48" s="715"/>
      <c r="K48" s="395"/>
      <c r="M48" s="8">
        <f>+'WP-2 - Labor Analysis'!X48</f>
        <v>2039.6</v>
      </c>
      <c r="N48" s="8">
        <f>+'WP-2 - Labor Analysis'!Y48</f>
        <v>47587.91</v>
      </c>
      <c r="O48" s="8"/>
      <c r="Q48" s="395">
        <v>24</v>
      </c>
      <c r="R48" s="30"/>
      <c r="S48" s="18">
        <f>+(0.25)*Q48*('WP-2 - Labor Analysis'!E48+'WP-2 - Labor Analysis'!G48+'WP-2 - Labor Analysis'!H48+'WP-2 - Labor Analysis'!I48)</f>
        <v>12009.18</v>
      </c>
      <c r="T48" s="30"/>
      <c r="U48" s="18">
        <f>+(0.25)*1.5*Q48*('WP-2 - Labor Analysis'!F48)</f>
        <v>342.63</v>
      </c>
      <c r="V48" s="395">
        <f>+Q48*1.04</f>
        <v>24.96</v>
      </c>
      <c r="W48" s="18">
        <f>+(0.75)*V48*('WP-2 - Labor Analysis'!E48+'WP-2 - Labor Analysis'!G48+'WP-2 - Labor Analysis'!H48+'WP-2 - Labor Analysis'!I48)</f>
        <v>37468.641599999995</v>
      </c>
      <c r="X48" s="18">
        <f>+(0.75)*1.5*V48*('WP-2 - Labor Analysis'!F48)</f>
        <v>1069.0056000000002</v>
      </c>
      <c r="Y48" s="746">
        <v>468.86</v>
      </c>
      <c r="Z48" s="9">
        <f t="shared" si="20"/>
        <v>51358.31719999999</v>
      </c>
      <c r="AA48" s="9">
        <f t="shared" si="21"/>
        <v>3770.4071999999869</v>
      </c>
      <c r="AB48" s="9">
        <f t="shared" si="22"/>
        <v>3928.911265799999</v>
      </c>
      <c r="AC48" s="388">
        <f t="shared" ref="AC48:AC51" si="32">IF(Z48&gt;7000,7000*0.008,Z48*0.008)</f>
        <v>56</v>
      </c>
      <c r="AD48" s="9">
        <f t="shared" si="26"/>
        <v>1540.7495159999996</v>
      </c>
      <c r="AE48" s="9">
        <f t="shared" si="24"/>
        <v>66.765812359999984</v>
      </c>
      <c r="AF48" s="9">
        <f>$AF$7*(M48-'WP-2 - Labor Analysis'!G48-'WP-2 - Labor Analysis'!H48-'WP-2 - Labor Analysis'!I48)</f>
        <v>3748.6835099999998</v>
      </c>
      <c r="AG48" s="9">
        <f>+'WP-2, pg 3 - Benefits Analysis'!S48</f>
        <v>0</v>
      </c>
      <c r="AH48" s="9">
        <f>+'WP-2, pg 3 - Benefits Analysis'!R48</f>
        <v>8309.76</v>
      </c>
      <c r="AI48" s="9">
        <f>SUM(AB48:AH48)</f>
        <v>17650.87010416</v>
      </c>
    </row>
    <row r="49" spans="1:38">
      <c r="A49" s="874" t="s">
        <v>972</v>
      </c>
      <c r="B49" s="18" t="s">
        <v>98</v>
      </c>
      <c r="C49" s="18" t="s">
        <v>105</v>
      </c>
      <c r="D49" s="18" t="s">
        <v>104</v>
      </c>
      <c r="E49" s="18" t="s">
        <v>104</v>
      </c>
      <c r="F49" s="18" t="s">
        <v>104</v>
      </c>
      <c r="G49" s="715"/>
      <c r="H49" s="715"/>
      <c r="I49" s="715"/>
      <c r="J49" s="715"/>
      <c r="K49" s="395"/>
      <c r="M49" s="8"/>
      <c r="N49" s="8"/>
      <c r="O49" s="8">
        <v>840</v>
      </c>
      <c r="Q49" s="395">
        <v>14.5</v>
      </c>
      <c r="R49" s="30"/>
      <c r="S49" s="18">
        <f>+(0.25)*Q49*O49</f>
        <v>3045</v>
      </c>
      <c r="T49" s="30"/>
      <c r="U49" s="18">
        <f>+(0.25)*Q49*1.5*0</f>
        <v>0</v>
      </c>
      <c r="V49" s="395">
        <f t="shared" ref="V49:V51" si="33">+Q49*1.04</f>
        <v>15.08</v>
      </c>
      <c r="W49" s="18">
        <f>+(0.75)*V49*O49</f>
        <v>9500.4</v>
      </c>
      <c r="X49" s="18">
        <f>+(0.75)*V49*1.5*0</f>
        <v>0</v>
      </c>
      <c r="Y49" s="746">
        <v>0</v>
      </c>
      <c r="Z49" s="9">
        <f t="shared" si="20"/>
        <v>12545.4</v>
      </c>
      <c r="AA49" s="9">
        <f t="shared" si="21"/>
        <v>12545.4</v>
      </c>
      <c r="AB49" s="9">
        <f t="shared" si="22"/>
        <v>959.72309999999993</v>
      </c>
      <c r="AC49" s="388">
        <f t="shared" si="32"/>
        <v>56</v>
      </c>
      <c r="AD49" s="9">
        <v>0</v>
      </c>
      <c r="AE49" s="9">
        <f t="shared" si="24"/>
        <v>16.30902</v>
      </c>
      <c r="AF49" s="9">
        <f>810*AF7</f>
        <v>1642.5584999999999</v>
      </c>
      <c r="AG49" s="9">
        <v>0</v>
      </c>
      <c r="AH49" s="9">
        <f>+'WP-2, pg 3 - Benefits Analysis'!R49</f>
        <v>0</v>
      </c>
      <c r="AI49" s="9">
        <f t="shared" ref="AI49:AI51" si="34">SUM(AB49:AH49)</f>
        <v>2674.5906199999999</v>
      </c>
    </row>
    <row r="50" spans="1:38">
      <c r="A50" s="874" t="s">
        <v>973</v>
      </c>
      <c r="B50" s="18" t="s">
        <v>98</v>
      </c>
      <c r="C50" s="18" t="s">
        <v>105</v>
      </c>
      <c r="D50" s="18" t="s">
        <v>100</v>
      </c>
      <c r="G50" s="715"/>
      <c r="H50" s="715"/>
      <c r="I50" s="715"/>
      <c r="J50" s="715"/>
      <c r="K50" s="395"/>
      <c r="M50" s="8"/>
      <c r="N50" s="8"/>
      <c r="O50" s="8">
        <v>2015</v>
      </c>
      <c r="Q50" s="395">
        <v>16</v>
      </c>
      <c r="R50" s="30"/>
      <c r="S50" s="18">
        <f>+(0.25)*Q50*(O50-180)</f>
        <v>7340</v>
      </c>
      <c r="T50" s="30"/>
      <c r="U50" s="18">
        <f>+(0.25)*Q50*1.5*180</f>
        <v>1080</v>
      </c>
      <c r="V50" s="395">
        <f t="shared" si="33"/>
        <v>16.64</v>
      </c>
      <c r="W50" s="18">
        <f>+(0.75)*V50*(O50-180)</f>
        <v>22900.799999999999</v>
      </c>
      <c r="X50" s="18">
        <f>+(0.75)*V50*1.5*180</f>
        <v>3369.6</v>
      </c>
      <c r="Y50" s="746">
        <v>0</v>
      </c>
      <c r="Z50" s="9">
        <f t="shared" si="20"/>
        <v>34690.399999999994</v>
      </c>
      <c r="AA50" s="9">
        <f t="shared" si="21"/>
        <v>34690.399999999994</v>
      </c>
      <c r="AB50" s="9">
        <f t="shared" si="22"/>
        <v>2653.8155999999994</v>
      </c>
      <c r="AC50" s="388">
        <f t="shared" si="32"/>
        <v>56</v>
      </c>
      <c r="AD50" s="9">
        <f>3*(+Z50*0.03)/12</f>
        <v>260.17799999999994</v>
      </c>
      <c r="AE50" s="9">
        <f t="shared" si="24"/>
        <v>45.097519999999989</v>
      </c>
      <c r="AF50" s="9">
        <f>1912*AF7</f>
        <v>3877.2491999999997</v>
      </c>
      <c r="AG50" s="9">
        <v>0</v>
      </c>
      <c r="AH50" s="9">
        <f>+'WP-2, pg 3 - Benefits Analysis'!R50</f>
        <v>8309.76</v>
      </c>
      <c r="AI50" s="9">
        <f t="shared" si="34"/>
        <v>15202.10032</v>
      </c>
    </row>
    <row r="51" spans="1:38">
      <c r="A51" s="874" t="s">
        <v>974</v>
      </c>
      <c r="B51" s="18" t="s">
        <v>98</v>
      </c>
      <c r="C51" s="18" t="s">
        <v>105</v>
      </c>
      <c r="D51" s="18" t="s">
        <v>100</v>
      </c>
      <c r="G51" s="715"/>
      <c r="H51" s="715"/>
      <c r="I51" s="715"/>
      <c r="J51" s="715"/>
      <c r="K51" s="395"/>
      <c r="M51" s="8"/>
      <c r="N51" s="8"/>
      <c r="O51" s="8">
        <v>2197</v>
      </c>
      <c r="Q51" s="395">
        <v>18</v>
      </c>
      <c r="R51" s="30"/>
      <c r="S51" s="18">
        <f>+(0.25)*Q51*(O51-100)</f>
        <v>9436.5</v>
      </c>
      <c r="T51" s="30"/>
      <c r="U51" s="18">
        <f>+(0.25)*Q51*1.5*100</f>
        <v>675</v>
      </c>
      <c r="V51" s="395">
        <f t="shared" si="33"/>
        <v>18.72</v>
      </c>
      <c r="W51" s="18">
        <f>+(0.75)*V51*(O51-100)</f>
        <v>29441.879999999997</v>
      </c>
      <c r="X51" s="18">
        <f>+(0.75)*V51*1.5*100</f>
        <v>2106</v>
      </c>
      <c r="Y51" s="746">
        <v>0</v>
      </c>
      <c r="Z51" s="9">
        <f t="shared" si="20"/>
        <v>41659.379999999997</v>
      </c>
      <c r="AA51" s="9">
        <f t="shared" si="21"/>
        <v>41659.379999999997</v>
      </c>
      <c r="AB51" s="9">
        <f t="shared" si="22"/>
        <v>3186.9425699999997</v>
      </c>
      <c r="AC51" s="388">
        <f t="shared" si="32"/>
        <v>56</v>
      </c>
      <c r="AD51" s="9">
        <f>7*(+Z51*0.03)/12</f>
        <v>729.03914999999995</v>
      </c>
      <c r="AE51" s="9">
        <f t="shared" si="24"/>
        <v>54.157193999999997</v>
      </c>
      <c r="AF51" s="9">
        <f>2093*AF7</f>
        <v>4244.2900499999996</v>
      </c>
      <c r="AG51" s="9">
        <v>0</v>
      </c>
      <c r="AH51" s="9">
        <f>+'WP-2, pg 3 - Benefits Analysis'!R51</f>
        <v>13944.56</v>
      </c>
      <c r="AI51" s="9">
        <f t="shared" si="34"/>
        <v>22214.988963999996</v>
      </c>
    </row>
    <row r="52" spans="1:38">
      <c r="A52" s="31" t="str">
        <f>+'WP-2 - Labor Analysis'!A49</f>
        <v>DRIVERS</v>
      </c>
      <c r="B52" s="970"/>
      <c r="C52" s="970"/>
      <c r="D52" s="970"/>
      <c r="E52" s="970"/>
      <c r="F52" s="970"/>
      <c r="G52" s="715"/>
      <c r="H52" s="715"/>
      <c r="I52" s="715"/>
      <c r="J52" s="715"/>
      <c r="K52" s="396"/>
      <c r="L52" s="970"/>
      <c r="M52" s="390">
        <f>SUM(M38:M48)</f>
        <v>20481.719999999998</v>
      </c>
      <c r="N52" s="390">
        <f>SUM(N38:N48)</f>
        <v>438600.25</v>
      </c>
      <c r="O52" s="20"/>
      <c r="Q52" s="395"/>
      <c r="R52" s="30"/>
      <c r="S52" s="30"/>
      <c r="T52" s="30"/>
      <c r="U52" s="30"/>
      <c r="V52" s="395"/>
      <c r="W52" s="30"/>
      <c r="X52" s="30"/>
      <c r="Y52" s="746"/>
      <c r="Z52" s="390">
        <f>SUM(Z38:Z51)</f>
        <v>506598.25851499999</v>
      </c>
      <c r="AA52" s="390">
        <f t="shared" ref="AA52:AI52" si="35">SUM(AA38:AA51)</f>
        <v>67998.008515000009</v>
      </c>
      <c r="AB52" s="390">
        <f t="shared" si="35"/>
        <v>38754.766776397497</v>
      </c>
      <c r="AC52" s="390">
        <f t="shared" si="35"/>
        <v>672</v>
      </c>
      <c r="AD52" s="390">
        <f t="shared" si="35"/>
        <v>13520.309505450001</v>
      </c>
      <c r="AE52" s="390">
        <f t="shared" si="35"/>
        <v>612.823616743</v>
      </c>
      <c r="AF52" s="882">
        <f t="shared" si="35"/>
        <v>41359.075510499999</v>
      </c>
      <c r="AG52" s="390">
        <f t="shared" si="35"/>
        <v>0</v>
      </c>
      <c r="AH52" s="390">
        <f t="shared" si="35"/>
        <v>106763.45999999999</v>
      </c>
      <c r="AI52" s="390">
        <f t="shared" si="35"/>
        <v>201682.43540909045</v>
      </c>
      <c r="AJ52" s="20"/>
    </row>
    <row r="53" spans="1:38">
      <c r="G53" s="715"/>
      <c r="H53" s="715"/>
      <c r="I53" s="715"/>
      <c r="J53" s="715"/>
      <c r="K53" s="395"/>
      <c r="M53" s="8"/>
      <c r="N53" s="8"/>
      <c r="O53" s="8"/>
      <c r="Q53" s="395"/>
      <c r="R53" s="30"/>
      <c r="S53" s="30"/>
      <c r="T53" s="30"/>
      <c r="U53" s="30"/>
      <c r="V53" s="395"/>
      <c r="W53" s="30"/>
      <c r="X53" s="30"/>
      <c r="Y53" s="746"/>
      <c r="Z53" s="9"/>
      <c r="AA53" s="9"/>
      <c r="AB53" s="9"/>
      <c r="AC53" s="9"/>
      <c r="AD53" s="9"/>
      <c r="AE53" s="9"/>
      <c r="AF53" s="9"/>
      <c r="AG53" s="9"/>
      <c r="AH53" s="9"/>
      <c r="AI53" s="9"/>
    </row>
    <row r="54" spans="1:38">
      <c r="A54" s="19" t="str">
        <f>+'WP-2 - Labor Analysis'!A54</f>
        <v>Ricky L. Gibson</v>
      </c>
      <c r="B54" s="18" t="s">
        <v>99</v>
      </c>
      <c r="C54" s="18" t="s">
        <v>304</v>
      </c>
      <c r="D54" s="18" t="s">
        <v>100</v>
      </c>
      <c r="E54" s="18" t="s">
        <v>104</v>
      </c>
      <c r="F54" s="18" t="s">
        <v>100</v>
      </c>
      <c r="H54" s="715"/>
      <c r="I54" s="715"/>
      <c r="J54" s="715"/>
      <c r="K54" s="395">
        <v>0</v>
      </c>
      <c r="M54" s="8">
        <f>+'WP-2 - Labor Analysis'!X54</f>
        <v>2000</v>
      </c>
      <c r="N54" s="8">
        <f>+'WP-2 - Labor Analysis'!Y54</f>
        <v>86037.14</v>
      </c>
      <c r="O54" s="8"/>
      <c r="Q54" s="395" t="s">
        <v>905</v>
      </c>
      <c r="R54" s="30"/>
      <c r="S54" s="30">
        <f>3*(89500/12)</f>
        <v>22375</v>
      </c>
      <c r="T54" s="30"/>
      <c r="U54" s="30"/>
      <c r="V54" s="395" t="s">
        <v>905</v>
      </c>
      <c r="W54" s="30">
        <f>9*((89500*1.04)/12)</f>
        <v>69810</v>
      </c>
      <c r="X54" s="30"/>
      <c r="Y54" s="746">
        <v>383.33</v>
      </c>
      <c r="Z54" s="9">
        <f t="shared" ref="Z54:Z58" si="36">SUM(S54:U54)+SUM(W54:Y54)</f>
        <v>92568.33</v>
      </c>
      <c r="AA54" s="9">
        <f>Z54-N54</f>
        <v>6531.1900000000023</v>
      </c>
      <c r="AB54" s="9">
        <f t="shared" ref="AB54:AB58" si="37">Z54*0.0765</f>
        <v>7081.477245</v>
      </c>
      <c r="AC54" s="9">
        <f t="shared" ref="AC54:AC58" si="38">IF(Z54&gt;7000,7000*0.008,Z54*0.008)</f>
        <v>56</v>
      </c>
      <c r="AD54" s="9">
        <f>+Z54*0.03</f>
        <v>2777.0499</v>
      </c>
      <c r="AE54" s="9">
        <f t="shared" ref="AE54:AE58" si="39">IF(Z54&gt;$AE$7,$AE$7*$AE$8,+Z54*$AE$8)</f>
        <v>68.509999999999991</v>
      </c>
      <c r="AF54" s="9">
        <f>$AF$7*(M54-'WP-2 - Labor Analysis'!G54-'WP-2 - Labor Analysis'!H54-'WP-2 - Labor Analysis'!I54)</f>
        <v>3755.5781999999999</v>
      </c>
      <c r="AG54" s="9">
        <f>+'WP-2, pg 3 - Benefits Analysis'!S54</f>
        <v>0</v>
      </c>
      <c r="AH54" s="9">
        <f>+'WP-2, pg 3 - Benefits Analysis'!R54</f>
        <v>8959.7999999999993</v>
      </c>
      <c r="AI54" s="9">
        <f>SUM(AB54:AH54)</f>
        <v>22698.415345000001</v>
      </c>
    </row>
    <row r="55" spans="1:38">
      <c r="A55" s="19" t="str">
        <f>+'WP-2 - Labor Analysis'!A55</f>
        <v>Roman G. Felsted</v>
      </c>
      <c r="B55" s="18" t="s">
        <v>98</v>
      </c>
      <c r="C55" s="18" t="s">
        <v>105</v>
      </c>
      <c r="D55" s="18" t="s">
        <v>104</v>
      </c>
      <c r="E55" s="18" t="s">
        <v>104</v>
      </c>
      <c r="F55" s="18" t="s">
        <v>104</v>
      </c>
      <c r="G55" s="715">
        <v>12.8</v>
      </c>
      <c r="H55" s="715">
        <v>13.35</v>
      </c>
      <c r="I55" s="715"/>
      <c r="J55" s="715"/>
      <c r="K55" s="395">
        <v>0</v>
      </c>
      <c r="M55" s="8">
        <f>+'WP-2 - Labor Analysis'!X55</f>
        <v>30.97</v>
      </c>
      <c r="N55" s="8">
        <f>+'WP-2 - Labor Analysis'!Y55</f>
        <v>450.47</v>
      </c>
      <c r="O55" s="8"/>
      <c r="Q55" s="395">
        <v>14</v>
      </c>
      <c r="R55" s="30"/>
      <c r="S55" s="18">
        <f>+(0.25)*Q55*('WP-2 - Labor Analysis'!E55+'WP-2 - Labor Analysis'!G55+'WP-2 - Labor Analysis'!H55+'WP-2 - Labor Analysis'!I55)</f>
        <v>108.395</v>
      </c>
      <c r="T55" s="30"/>
      <c r="U55" s="18">
        <f>+(0.25)*1.5*Q55*('WP-2 - Labor Analysis'!F55)</f>
        <v>0</v>
      </c>
      <c r="V55" s="395">
        <f>+Q55*1.04</f>
        <v>14.56</v>
      </c>
      <c r="W55" s="18">
        <f>+(0.75)*V55*('WP-2 - Labor Analysis'!E55+'WP-2 - Labor Analysis'!G55+'WP-2 - Labor Analysis'!H55+'WP-2 - Labor Analysis'!I55)</f>
        <v>338.19239999999996</v>
      </c>
      <c r="X55" s="18">
        <f>+(0.75)*1.5*V55*('WP-2 - Labor Analysis'!F55)</f>
        <v>0</v>
      </c>
      <c r="Y55" s="746">
        <v>43.32</v>
      </c>
      <c r="Z55" s="9">
        <f t="shared" si="36"/>
        <v>489.90739999999994</v>
      </c>
      <c r="AA55" s="9">
        <f>Z55-N55</f>
        <v>39.437399999999911</v>
      </c>
      <c r="AB55" s="9">
        <f t="shared" si="37"/>
        <v>37.477916099999995</v>
      </c>
      <c r="AC55" s="9">
        <f t="shared" si="38"/>
        <v>3.9192591999999995</v>
      </c>
      <c r="AD55" s="9">
        <f t="shared" ref="AD55:AD56" si="40">+Z55*0.03</f>
        <v>14.697221999999998</v>
      </c>
      <c r="AE55" s="9">
        <f t="shared" si="39"/>
        <v>0.63687961999999987</v>
      </c>
      <c r="AF55" s="9">
        <f>$AF$7*(M55-'WP-2 - Labor Analysis'!G55-'WP-2 - Labor Analysis'!H55-'WP-2 - Labor Analysis'!I55)</f>
        <v>62.802514499999994</v>
      </c>
      <c r="AG55" s="9">
        <f>+'WP-2, pg 3 - Benefits Analysis'!S55</f>
        <v>0</v>
      </c>
      <c r="AH55" s="9">
        <f>+'WP-2, pg 3 - Benefits Analysis'!R55</f>
        <v>0</v>
      </c>
      <c r="AI55" s="9">
        <f>SUM(AB55:AH55)</f>
        <v>119.53379141999999</v>
      </c>
    </row>
    <row r="56" spans="1:38">
      <c r="A56" s="19" t="str">
        <f>+'WP-2 - Labor Analysis'!A56</f>
        <v>Alex B. Pecora</v>
      </c>
      <c r="B56" s="18" t="s">
        <v>98</v>
      </c>
      <c r="C56" s="18" t="s">
        <v>105</v>
      </c>
      <c r="D56" s="18" t="s">
        <v>104</v>
      </c>
      <c r="E56" s="18" t="s">
        <v>104</v>
      </c>
      <c r="F56" s="18" t="s">
        <v>104</v>
      </c>
      <c r="G56" s="715">
        <v>12.7</v>
      </c>
      <c r="H56" s="715">
        <v>13.02</v>
      </c>
      <c r="I56" s="715"/>
      <c r="J56" s="715"/>
      <c r="K56" s="395">
        <v>0</v>
      </c>
      <c r="M56" s="8">
        <f>+'WP-2 - Labor Analysis'!X56</f>
        <v>1408.1499999999999</v>
      </c>
      <c r="N56" s="8">
        <f>+'WP-2 - Labor Analysis'!Y56</f>
        <v>18965.04</v>
      </c>
      <c r="O56" s="8"/>
      <c r="Q56" s="395">
        <v>0</v>
      </c>
      <c r="R56" s="30"/>
      <c r="S56" s="18">
        <f t="shared" ref="S56" si="41">3*(IF(M56&gt;2080,2080*Q56,M56*Q56))/12</f>
        <v>0</v>
      </c>
      <c r="T56" s="30"/>
      <c r="U56" s="18">
        <f t="shared" ref="U56" si="42">3*(IF(M56&gt;2080,(M56-2080)*(Q56*1.5),0))/12</f>
        <v>0</v>
      </c>
      <c r="V56" s="395">
        <f>+Q56*1.04</f>
        <v>0</v>
      </c>
      <c r="W56" s="18">
        <f t="shared" ref="W56" si="43">9*(IF(M56&gt;2080,2080*V56,M56*V56))/12</f>
        <v>0</v>
      </c>
      <c r="X56" s="18">
        <f>+(0.75)*1.5*V56*('WP-2 - Labor Analysis'!F56)</f>
        <v>0</v>
      </c>
      <c r="Y56" s="746">
        <v>0</v>
      </c>
      <c r="Z56" s="9">
        <f t="shared" si="36"/>
        <v>0</v>
      </c>
      <c r="AA56" s="9">
        <f>Z56-N56</f>
        <v>-18965.04</v>
      </c>
      <c r="AB56" s="9">
        <f t="shared" si="37"/>
        <v>0</v>
      </c>
      <c r="AC56" s="9">
        <f t="shared" si="38"/>
        <v>0</v>
      </c>
      <c r="AD56" s="9">
        <f t="shared" si="40"/>
        <v>0</v>
      </c>
      <c r="AE56" s="9">
        <f t="shared" si="39"/>
        <v>0</v>
      </c>
      <c r="AF56" s="9">
        <v>0</v>
      </c>
      <c r="AG56" s="9">
        <f>+'WP-2, pg 3 - Benefits Analysis'!S56</f>
        <v>0</v>
      </c>
      <c r="AH56" s="9">
        <f>+'WP-2, pg 3 - Benefits Analysis'!R56</f>
        <v>0</v>
      </c>
      <c r="AI56" s="9">
        <f>SUM(AB56:AH56)</f>
        <v>0</v>
      </c>
      <c r="AJ56" s="6" t="s">
        <v>979</v>
      </c>
    </row>
    <row r="57" spans="1:38">
      <c r="A57" s="874" t="s">
        <v>970</v>
      </c>
      <c r="B57" s="18" t="s">
        <v>98</v>
      </c>
      <c r="C57" s="18" t="s">
        <v>105</v>
      </c>
      <c r="D57" s="18" t="s">
        <v>100</v>
      </c>
      <c r="E57" s="18" t="s">
        <v>104</v>
      </c>
      <c r="F57" s="18" t="s">
        <v>104</v>
      </c>
      <c r="G57" s="715"/>
      <c r="H57" s="715"/>
      <c r="I57" s="715"/>
      <c r="J57" s="715"/>
      <c r="K57" s="395"/>
      <c r="M57" s="8"/>
      <c r="N57" s="8"/>
      <c r="O57" s="8">
        <v>1081</v>
      </c>
      <c r="Q57" s="395">
        <v>14.5</v>
      </c>
      <c r="R57" s="30"/>
      <c r="S57" s="18">
        <f>+(0.25)*Q57*O57</f>
        <v>3918.625</v>
      </c>
      <c r="T57" s="30"/>
      <c r="U57" s="18">
        <f>+(0.25)*Q57*1.5*0</f>
        <v>0</v>
      </c>
      <c r="V57" s="395">
        <f t="shared" ref="V57:V58" si="44">+Q57*1.04</f>
        <v>15.08</v>
      </c>
      <c r="W57" s="18">
        <f>+(0.75)*V57*O57</f>
        <v>12226.11</v>
      </c>
      <c r="X57" s="18">
        <f>+(0.75)*V57*1.5*0</f>
        <v>0</v>
      </c>
      <c r="Y57" s="746">
        <v>0</v>
      </c>
      <c r="Z57" s="9">
        <f t="shared" si="36"/>
        <v>16144.735000000001</v>
      </c>
      <c r="AA57" s="9">
        <f t="shared" ref="AA57:AA58" si="45">Z57-N57</f>
        <v>16144.735000000001</v>
      </c>
      <c r="AB57" s="9">
        <f t="shared" si="37"/>
        <v>1235.0722275000001</v>
      </c>
      <c r="AC57" s="9">
        <f t="shared" si="38"/>
        <v>56</v>
      </c>
      <c r="AD57" s="9">
        <f>4*(+Z57*0.03)/12</f>
        <v>161.44735</v>
      </c>
      <c r="AE57" s="9">
        <f t="shared" si="39"/>
        <v>20.988155500000001</v>
      </c>
      <c r="AF57" s="9">
        <f>1055*AF7</f>
        <v>2139.38175</v>
      </c>
      <c r="AG57" s="9">
        <v>0</v>
      </c>
      <c r="AH57" s="9">
        <f>+'WP-2, pg 3 - Benefits Analysis'!R57</f>
        <v>0</v>
      </c>
      <c r="AI57" s="9">
        <f t="shared" ref="AI57:AI58" si="46">SUM(AB57:AH57)</f>
        <v>3612.8894829999999</v>
      </c>
    </row>
    <row r="58" spans="1:38">
      <c r="A58" s="874" t="s">
        <v>971</v>
      </c>
      <c r="B58" s="18" t="s">
        <v>98</v>
      </c>
      <c r="C58" s="18" t="s">
        <v>105</v>
      </c>
      <c r="D58" s="18" t="s">
        <v>100</v>
      </c>
      <c r="E58" s="18" t="s">
        <v>104</v>
      </c>
      <c r="F58" s="18" t="s">
        <v>104</v>
      </c>
      <c r="G58" s="715"/>
      <c r="H58" s="715"/>
      <c r="I58" s="715"/>
      <c r="J58" s="715"/>
      <c r="K58" s="395"/>
      <c r="M58" s="8"/>
      <c r="N58" s="8"/>
      <c r="O58" s="8">
        <v>941</v>
      </c>
      <c r="Q58" s="395">
        <v>14.5</v>
      </c>
      <c r="R58" s="30"/>
      <c r="S58" s="18">
        <f>+(0.25)*Q58*(O58-2)</f>
        <v>3403.875</v>
      </c>
      <c r="T58" s="30"/>
      <c r="U58" s="18">
        <f>+(0.25)*Q58*1.5*2</f>
        <v>10.875</v>
      </c>
      <c r="V58" s="395">
        <f t="shared" si="44"/>
        <v>15.08</v>
      </c>
      <c r="W58" s="18">
        <f>+(0.75)*V58*(O58-2)</f>
        <v>10620.09</v>
      </c>
      <c r="X58" s="18">
        <f>+(0.75)*V58*1.5*2</f>
        <v>33.93</v>
      </c>
      <c r="Y58" s="746">
        <v>0</v>
      </c>
      <c r="Z58" s="9">
        <f t="shared" si="36"/>
        <v>14068.77</v>
      </c>
      <c r="AA58" s="9">
        <f t="shared" si="45"/>
        <v>14068.77</v>
      </c>
      <c r="AB58" s="9">
        <f t="shared" si="37"/>
        <v>1076.2609050000001</v>
      </c>
      <c r="AC58" s="9">
        <f t="shared" si="38"/>
        <v>56</v>
      </c>
      <c r="AD58" s="9">
        <f>4*(+Z58*0.03)/12</f>
        <v>140.68770000000001</v>
      </c>
      <c r="AE58" s="9">
        <f t="shared" si="39"/>
        <v>18.289400999999998</v>
      </c>
      <c r="AF58" s="9">
        <f>906*AF7</f>
        <v>1837.2320999999999</v>
      </c>
      <c r="AG58" s="9">
        <v>0</v>
      </c>
      <c r="AH58" s="9">
        <f>+'WP-2, pg 3 - Benefits Analysis'!R58</f>
        <v>0</v>
      </c>
      <c r="AI58" s="9">
        <f t="shared" si="46"/>
        <v>3128.4701059999998</v>
      </c>
    </row>
    <row r="59" spans="1:38" ht="16.5" thickBot="1">
      <c r="A59" s="31" t="str">
        <f>+'WP-2 - Labor Analysis'!A57</f>
        <v>MECHANICS</v>
      </c>
      <c r="B59" s="970"/>
      <c r="C59" s="970"/>
      <c r="D59" s="970"/>
      <c r="E59" s="970"/>
      <c r="F59" s="970"/>
      <c r="G59" s="715"/>
      <c r="H59" s="715"/>
      <c r="I59" s="715"/>
      <c r="J59" s="715"/>
      <c r="K59" s="970"/>
      <c r="L59" s="970"/>
      <c r="M59" s="390">
        <f>SUM(M54:M56)</f>
        <v>3439.12</v>
      </c>
      <c r="N59" s="390">
        <f>SUM(N54:N56)</f>
        <v>105452.65</v>
      </c>
      <c r="O59" s="20"/>
      <c r="Q59" s="395"/>
      <c r="R59" s="30"/>
      <c r="S59" s="30"/>
      <c r="T59" s="30"/>
      <c r="U59" s="30"/>
      <c r="V59" s="30"/>
      <c r="W59" s="30"/>
      <c r="X59" s="30"/>
      <c r="Y59" s="746"/>
      <c r="Z59" s="390">
        <f>SUM(Z54:Z58)</f>
        <v>123271.7424</v>
      </c>
      <c r="AA59" s="390">
        <f t="shared" ref="AA59:AI59" si="47">SUM(AA54:AA58)</f>
        <v>17819.092400000001</v>
      </c>
      <c r="AB59" s="390">
        <f t="shared" si="47"/>
        <v>9430.2882935999987</v>
      </c>
      <c r="AC59" s="390">
        <f t="shared" si="47"/>
        <v>171.9192592</v>
      </c>
      <c r="AD59" s="390">
        <f t="shared" si="47"/>
        <v>3093.8821719999996</v>
      </c>
      <c r="AE59" s="390">
        <f t="shared" si="47"/>
        <v>108.42443612</v>
      </c>
      <c r="AF59" s="882">
        <f t="shared" si="47"/>
        <v>7794.9945644999998</v>
      </c>
      <c r="AG59" s="390">
        <f t="shared" si="47"/>
        <v>0</v>
      </c>
      <c r="AH59" s="390">
        <f t="shared" si="47"/>
        <v>8959.7999999999993</v>
      </c>
      <c r="AI59" s="390">
        <f t="shared" si="47"/>
        <v>29559.30872542</v>
      </c>
      <c r="AJ59" s="20"/>
    </row>
    <row r="60" spans="1:38">
      <c r="A60" s="31" t="s">
        <v>215</v>
      </c>
      <c r="B60" s="970"/>
      <c r="C60" s="970"/>
      <c r="D60" s="970"/>
      <c r="E60" s="970"/>
      <c r="F60" s="970"/>
      <c r="G60" s="715"/>
      <c r="H60" s="715"/>
      <c r="I60" s="715"/>
      <c r="J60" s="715"/>
      <c r="K60" s="970"/>
      <c r="L60" s="970"/>
      <c r="M60" s="20"/>
      <c r="N60" s="20"/>
      <c r="O60" s="20"/>
      <c r="Q60" s="30"/>
      <c r="R60" s="30"/>
      <c r="S60" s="30"/>
      <c r="T60" s="30"/>
      <c r="U60" s="30"/>
      <c r="V60" s="30"/>
      <c r="W60" s="30"/>
      <c r="X60" s="30"/>
      <c r="Y60" s="746"/>
      <c r="Z60" s="9"/>
      <c r="AA60" s="9"/>
      <c r="AB60" s="9"/>
      <c r="AC60" s="9"/>
      <c r="AD60" s="9"/>
      <c r="AE60" s="9"/>
      <c r="AF60" s="9"/>
      <c r="AG60" s="20"/>
      <c r="AH60" s="20"/>
      <c r="AI60" s="20"/>
      <c r="AL60" s="141" t="s">
        <v>119</v>
      </c>
    </row>
    <row r="61" spans="1:38">
      <c r="A61" s="4"/>
      <c r="G61" s="395"/>
      <c r="H61" s="395"/>
      <c r="I61" s="395"/>
      <c r="J61" s="395"/>
      <c r="M61" s="8"/>
      <c r="N61" s="8"/>
      <c r="O61" s="8"/>
      <c r="Q61" s="30"/>
      <c r="R61" s="30"/>
      <c r="S61" s="30"/>
      <c r="T61" s="397"/>
      <c r="U61" s="399"/>
      <c r="V61" s="399"/>
      <c r="W61" s="399"/>
      <c r="X61" s="399"/>
      <c r="Y61" s="746"/>
      <c r="Z61" s="9"/>
      <c r="AA61" s="9"/>
      <c r="AB61" s="9"/>
      <c r="AC61" s="9"/>
      <c r="AD61" s="9"/>
      <c r="AE61" s="9"/>
      <c r="AF61" s="9"/>
      <c r="AG61" s="9"/>
      <c r="AH61" s="9"/>
      <c r="AI61" s="9"/>
      <c r="AL61" s="142" t="s">
        <v>229</v>
      </c>
    </row>
    <row r="62" spans="1:38" ht="16.5" thickBot="1">
      <c r="A62" s="490" t="s">
        <v>260</v>
      </c>
      <c r="G62" s="395"/>
      <c r="H62" s="395"/>
      <c r="I62" s="395"/>
      <c r="J62" s="395"/>
      <c r="M62" s="11">
        <f>M59+M52+M36+M15</f>
        <v>38386.179999999993</v>
      </c>
      <c r="N62" s="11">
        <f>N59+N52+N36+N15</f>
        <v>989285.54</v>
      </c>
      <c r="O62" s="20"/>
      <c r="Q62" s="30"/>
      <c r="R62" s="30"/>
      <c r="S62" s="30"/>
      <c r="T62" s="398"/>
      <c r="U62" s="30"/>
      <c r="V62" s="30"/>
      <c r="W62" s="30"/>
      <c r="X62" s="30"/>
      <c r="Y62" s="9"/>
      <c r="Z62" s="11">
        <f t="shared" ref="Z62:AI62" si="48">Z59+Z52+Z36+Z15</f>
        <v>1148082.931235</v>
      </c>
      <c r="AA62" s="11">
        <f t="shared" si="48"/>
        <v>158797.39123500002</v>
      </c>
      <c r="AB62" s="11">
        <f t="shared" si="48"/>
        <v>86942.991379477491</v>
      </c>
      <c r="AC62" s="11">
        <f t="shared" si="48"/>
        <v>1542.3433903999999</v>
      </c>
      <c r="AD62" s="11">
        <f t="shared" si="48"/>
        <v>30255.033900049995</v>
      </c>
      <c r="AE62" s="11">
        <f t="shared" si="48"/>
        <v>1170.7448282790001</v>
      </c>
      <c r="AF62" s="849">
        <f t="shared" si="48"/>
        <v>50672.100914999995</v>
      </c>
      <c r="AG62" s="11">
        <f t="shared" si="48"/>
        <v>32748.799999999999</v>
      </c>
      <c r="AH62" s="11">
        <f t="shared" si="48"/>
        <v>178230.31999999998</v>
      </c>
      <c r="AI62" s="11">
        <f t="shared" si="48"/>
        <v>381562.33441320644</v>
      </c>
      <c r="AJ62" s="20"/>
      <c r="AL62" s="143">
        <f>+AI62/Z69</f>
        <v>0.33234736274909815</v>
      </c>
    </row>
    <row r="63" spans="1:38" ht="17.25" thickTop="1" thickBot="1">
      <c r="A63" s="6" t="s">
        <v>871</v>
      </c>
      <c r="G63" s="395"/>
      <c r="H63" s="395"/>
      <c r="I63" s="395"/>
      <c r="J63" s="395"/>
      <c r="M63" s="5"/>
      <c r="N63" s="5">
        <f>+N62</f>
        <v>989285.54</v>
      </c>
      <c r="O63" s="5"/>
      <c r="Q63" s="30"/>
      <c r="R63" s="30"/>
      <c r="S63" s="30"/>
      <c r="T63" s="397"/>
      <c r="U63" s="442"/>
      <c r="V63" s="442"/>
      <c r="W63" s="442"/>
      <c r="X63" s="442"/>
      <c r="Y63" s="9" t="s">
        <v>173</v>
      </c>
      <c r="AB63" s="443"/>
      <c r="AC63" s="9"/>
      <c r="AD63" s="9"/>
      <c r="AE63" s="849">
        <f>+AB62+AC62+AE62+AF62</f>
        <v>140328.18051315649</v>
      </c>
      <c r="AF63" s="9"/>
      <c r="AG63" s="9"/>
      <c r="AH63" s="9"/>
      <c r="AI63" s="9"/>
      <c r="AL63" s="144" t="s">
        <v>230</v>
      </c>
    </row>
    <row r="64" spans="1:38" ht="16.5" thickTop="1">
      <c r="A64" s="6" t="s">
        <v>305</v>
      </c>
      <c r="G64" s="395"/>
      <c r="H64" s="395"/>
      <c r="I64" s="395"/>
      <c r="J64" s="395"/>
      <c r="K64" s="67"/>
      <c r="Q64" s="30"/>
      <c r="R64" s="30"/>
      <c r="S64" s="30"/>
      <c r="T64" s="30"/>
      <c r="U64" s="442"/>
      <c r="V64" s="442"/>
      <c r="W64" s="442"/>
      <c r="X64" s="442"/>
      <c r="AB64" s="9"/>
      <c r="AC64" s="20" t="s">
        <v>188</v>
      </c>
      <c r="AD64" s="9">
        <f>+'Sch 4 - 12 Months'!O36-80000</f>
        <v>25561.5</v>
      </c>
      <c r="AE64" s="32">
        <f>+'Sch 1 - Restated Exp'!C50+'Sch 4 - 12 Months'!O60</f>
        <v>116578.88999999998</v>
      </c>
      <c r="AF64" s="9"/>
      <c r="AG64" s="6">
        <f>+'WP-2, pg 3 - Benefits Analysis'!J61+'WP-2, pg 3 - Benefits Analysis'!K61+'WP-2, pg 3 - Benefits Analysis'!I61</f>
        <v>30724.1</v>
      </c>
      <c r="AH64" s="6">
        <f>+'WP-2, pg 3 - Benefits Analysis'!D61+'WP-2, pg 3 - Benefits Analysis'!E61+'WP-2, pg 3 - Benefits Analysis'!F61+'WP-2, pg 3 - Benefits Analysis'!G61+'WP-2, pg 3 - Benefits Analysis'!H61+'WP-2, pg 3 - Benefits Analysis'!N61</f>
        <v>140542.46</v>
      </c>
      <c r="AI64" s="6">
        <f>SUM(AE64:AH64)</f>
        <v>287845.44999999995</v>
      </c>
    </row>
    <row r="65" spans="1:37">
      <c r="A65" s="6" t="s">
        <v>306</v>
      </c>
      <c r="K65" s="67"/>
      <c r="N65" s="3"/>
      <c r="O65" s="3"/>
      <c r="Y65" s="18"/>
      <c r="AC65" s="9"/>
      <c r="AD65" s="20"/>
      <c r="AE65" s="20"/>
      <c r="AF65" s="9"/>
      <c r="AK65" s="443"/>
    </row>
    <row r="66" spans="1:37">
      <c r="T66" s="73"/>
      <c r="U66" s="73"/>
      <c r="V66" s="73"/>
      <c r="W66" s="73"/>
      <c r="X66" s="73"/>
      <c r="AC66" s="73"/>
      <c r="AD66" s="882">
        <f>+AD62-AD64</f>
        <v>4693.5339000499953</v>
      </c>
      <c r="AE66" s="760">
        <f>AB62+AC62+AE62+AF62-AE64</f>
        <v>23749.290513156506</v>
      </c>
      <c r="AF66" s="9"/>
      <c r="AG66" s="390">
        <f>AG62-AG64</f>
        <v>2024.7000000000007</v>
      </c>
      <c r="AH66" s="390">
        <f>AH62-AH64</f>
        <v>37687.859999999986</v>
      </c>
      <c r="AI66" s="850">
        <f>SUM(AE66:AH66)</f>
        <v>63461.850513156489</v>
      </c>
      <c r="AJ66" s="444"/>
    </row>
    <row r="67" spans="1:37" s="18" customFormat="1">
      <c r="N67" s="68"/>
      <c r="O67" s="68"/>
      <c r="T67" s="73"/>
      <c r="U67" s="73"/>
      <c r="V67" s="73"/>
      <c r="W67" s="73"/>
      <c r="X67" s="73"/>
      <c r="Y67" s="6"/>
      <c r="AC67" s="6"/>
      <c r="AD67" s="18" t="s">
        <v>111</v>
      </c>
      <c r="AE67" s="18" t="s">
        <v>111</v>
      </c>
      <c r="AG67" s="18" t="s">
        <v>111</v>
      </c>
      <c r="AH67" s="18" t="s">
        <v>111</v>
      </c>
      <c r="AI67" s="851">
        <f>+AA62</f>
        <v>158797.39123500002</v>
      </c>
    </row>
    <row r="68" spans="1:37" ht="17.25" customHeight="1">
      <c r="A68" s="1031"/>
      <c r="B68" s="1031"/>
      <c r="C68" s="1031"/>
      <c r="D68" s="1031"/>
      <c r="E68" s="1031"/>
      <c r="F68" s="1031"/>
      <c r="G68" s="1031"/>
      <c r="H68" s="1031"/>
      <c r="I68" s="1031"/>
      <c r="J68" s="1031"/>
      <c r="K68" s="1031"/>
      <c r="T68" s="73"/>
      <c r="U68" s="73"/>
      <c r="V68" s="73"/>
      <c r="W68" s="73"/>
      <c r="X68" s="73"/>
      <c r="AI68" s="851">
        <f>+AD66</f>
        <v>4693.5339000499953</v>
      </c>
      <c r="AJ68" s="510"/>
    </row>
    <row r="69" spans="1:37" ht="16.5" thickBot="1">
      <c r="C69" s="148"/>
      <c r="D69" s="876"/>
      <c r="F69" s="877"/>
      <c r="G69" s="67"/>
      <c r="H69" s="67"/>
      <c r="I69" s="67"/>
      <c r="J69" s="67"/>
      <c r="Z69" s="9">
        <f>+Z62</f>
        <v>1148082.931235</v>
      </c>
      <c r="AA69" s="9">
        <f>+AA62</f>
        <v>158797.39123500002</v>
      </c>
      <c r="AB69" s="852">
        <f>+AA69/N63</f>
        <v>0.16051724685574603</v>
      </c>
      <c r="AI69" s="853">
        <f>+AI66+AI67+AI68</f>
        <v>226952.77564820647</v>
      </c>
    </row>
    <row r="70" spans="1:37" ht="16.5" thickTop="1">
      <c r="C70" s="878"/>
      <c r="D70" s="878"/>
      <c r="E70" s="878"/>
      <c r="F70" s="877"/>
      <c r="G70" s="67"/>
      <c r="H70" s="67"/>
      <c r="I70" s="67"/>
      <c r="J70" s="67"/>
      <c r="Z70" s="9">
        <f>+Z62+AI62</f>
        <v>1529645.2656482065</v>
      </c>
      <c r="AA70" s="9"/>
      <c r="AI70" s="18" t="s">
        <v>0</v>
      </c>
    </row>
    <row r="71" spans="1:37">
      <c r="AI71" s="18" t="s">
        <v>308</v>
      </c>
    </row>
    <row r="72" spans="1:37">
      <c r="AI72" s="18" t="s">
        <v>307</v>
      </c>
    </row>
    <row r="73" spans="1:37">
      <c r="AE73" s="879" t="s">
        <v>990</v>
      </c>
      <c r="AF73" s="4"/>
    </row>
    <row r="74" spans="1:37">
      <c r="AE74" s="879" t="s">
        <v>15</v>
      </c>
      <c r="AF74" s="4">
        <f>+AI66</f>
        <v>63461.850513156489</v>
      </c>
      <c r="AI74" s="405"/>
    </row>
    <row r="75" spans="1:37">
      <c r="AE75" s="879" t="s">
        <v>11</v>
      </c>
      <c r="AF75" s="4">
        <f>+AA52</f>
        <v>67998.008515000009</v>
      </c>
    </row>
    <row r="76" spans="1:37">
      <c r="AE76" s="879" t="s">
        <v>13</v>
      </c>
      <c r="AF76" s="4">
        <f>+AA59</f>
        <v>17819.092400000001</v>
      </c>
    </row>
    <row r="77" spans="1:37">
      <c r="AE77" s="879" t="s">
        <v>835</v>
      </c>
      <c r="AF77" s="4">
        <f>+AA36</f>
        <v>45592.189120000003</v>
      </c>
    </row>
    <row r="78" spans="1:37">
      <c r="AE78" s="879" t="s">
        <v>991</v>
      </c>
      <c r="AF78" s="145">
        <f>+AA15</f>
        <v>27388.101199999997</v>
      </c>
    </row>
    <row r="79" spans="1:37">
      <c r="AE79" s="879" t="s">
        <v>500</v>
      </c>
      <c r="AF79" s="880">
        <f>+AD66</f>
        <v>4693.5339000499953</v>
      </c>
    </row>
    <row r="80" spans="1:37">
      <c r="AE80" s="4"/>
      <c r="AF80" s="4">
        <f>SUM(AF74:AF79)</f>
        <v>226952.77564820647</v>
      </c>
    </row>
    <row r="81" spans="31:32">
      <c r="AE81" s="4"/>
      <c r="AF81" s="4">
        <f>+AF80-AI69</f>
        <v>0</v>
      </c>
    </row>
  </sheetData>
  <mergeCells count="12">
    <mergeCell ref="A68:K68"/>
    <mergeCell ref="A1:S1"/>
    <mergeCell ref="A3:S3"/>
    <mergeCell ref="A5:S5"/>
    <mergeCell ref="T1:AK1"/>
    <mergeCell ref="M9:N9"/>
    <mergeCell ref="T3:AK3"/>
    <mergeCell ref="T5:AK5"/>
    <mergeCell ref="M8:N8"/>
    <mergeCell ref="Q6:Y6"/>
    <mergeCell ref="H7:J8"/>
    <mergeCell ref="C6:J6"/>
  </mergeCells>
  <pageMargins left="0.5" right="0.5" top="0.75" bottom="0.5" header="0" footer="0.25"/>
  <pageSetup scale="36" fitToWidth="2" orientation="landscape" horizontalDpi="300" verticalDpi="300" r:id="rId1"/>
  <headerFooter alignWithMargins="0"/>
  <colBreaks count="1" manualBreakCount="1">
    <brk id="16" max="81"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pageSetUpPr fitToPage="1"/>
  </sheetPr>
  <dimension ref="A1:AL76"/>
  <sheetViews>
    <sheetView zoomScale="70" zoomScaleNormal="70" zoomScaleSheetLayoutView="40" workbookViewId="0">
      <selection activeCell="A6" sqref="A6"/>
    </sheetView>
  </sheetViews>
  <sheetFormatPr defaultColWidth="9.77734375" defaultRowHeight="15.75"/>
  <cols>
    <col min="1" max="1" width="30.33203125" style="6" customWidth="1"/>
    <col min="2" max="2" width="9.109375" style="18" bestFit="1" customWidth="1"/>
    <col min="3" max="3" width="8.109375" style="18" bestFit="1" customWidth="1"/>
    <col min="4" max="4" width="14.44140625" style="6" customWidth="1"/>
    <col min="5" max="8" width="9.77734375" style="6"/>
    <col min="9" max="9" width="13.5546875" style="6" bestFit="1" customWidth="1"/>
    <col min="10" max="10" width="14.6640625" style="6" bestFit="1" customWidth="1"/>
    <col min="11" max="13" width="13.21875" style="6" customWidth="1"/>
    <col min="14" max="14" width="16.6640625" style="6" bestFit="1" customWidth="1"/>
    <col min="15" max="18" width="9.77734375" style="6"/>
    <col min="19" max="19" width="10.109375" style="6" customWidth="1"/>
    <col min="20" max="21" width="2.6640625" style="6" customWidth="1"/>
    <col min="22" max="22" width="33.109375" style="6" bestFit="1" customWidth="1"/>
    <col min="23" max="24" width="9.77734375" style="393"/>
    <col min="25" max="27" width="9.77734375" style="6"/>
    <col min="28" max="28" width="15.6640625" style="6" bestFit="1" customWidth="1"/>
    <col min="29" max="16384" width="9.77734375" style="6"/>
  </cols>
  <sheetData>
    <row r="1" spans="1:27" ht="16.5">
      <c r="A1" s="1033" t="s">
        <v>434</v>
      </c>
      <c r="B1" s="1033"/>
      <c r="C1" s="1033"/>
      <c r="D1" s="1033"/>
      <c r="E1" s="1033"/>
      <c r="F1" s="1033"/>
      <c r="G1" s="1033"/>
      <c r="H1" s="1033"/>
      <c r="I1" s="1033"/>
      <c r="J1" s="1033"/>
      <c r="K1" s="1033"/>
      <c r="L1" s="1033"/>
      <c r="M1" s="1033"/>
      <c r="N1" s="1033"/>
      <c r="O1" s="1033"/>
      <c r="P1" s="1033"/>
      <c r="Q1" s="1033"/>
      <c r="R1" s="1033"/>
      <c r="S1" s="1033"/>
      <c r="T1" s="1033"/>
    </row>
    <row r="2" spans="1:27" ht="13.5" customHeight="1">
      <c r="A2" s="65"/>
    </row>
    <row r="3" spans="1:27" ht="16.5">
      <c r="A3" s="1033" t="s">
        <v>265</v>
      </c>
      <c r="B3" s="1033"/>
      <c r="C3" s="1033"/>
      <c r="D3" s="1033"/>
      <c r="E3" s="1033"/>
      <c r="F3" s="1033"/>
      <c r="G3" s="1033"/>
      <c r="H3" s="1033"/>
      <c r="I3" s="1033"/>
      <c r="J3" s="1033"/>
      <c r="K3" s="1033"/>
      <c r="L3" s="1033"/>
      <c r="M3" s="1033"/>
      <c r="N3" s="1033"/>
      <c r="O3" s="1033"/>
      <c r="P3" s="1033"/>
      <c r="Q3" s="1033"/>
      <c r="R3" s="1033"/>
      <c r="S3" s="1033"/>
      <c r="T3" s="1033"/>
    </row>
    <row r="4" spans="1:27">
      <c r="A4" s="497"/>
      <c r="B4" s="497"/>
      <c r="C4" s="497"/>
      <c r="D4" s="497"/>
      <c r="E4" s="748"/>
      <c r="F4" s="748"/>
      <c r="G4" s="749"/>
      <c r="H4" s="749"/>
      <c r="I4" s="749"/>
      <c r="J4" s="749"/>
      <c r="K4" s="749"/>
      <c r="N4" s="497"/>
      <c r="O4" s="497"/>
      <c r="P4" s="781"/>
      <c r="Q4" s="781"/>
      <c r="R4" s="781"/>
      <c r="S4" s="781"/>
      <c r="T4" s="497"/>
    </row>
    <row r="5" spans="1:27">
      <c r="A5" s="1026" t="s">
        <v>1021</v>
      </c>
      <c r="B5" s="1026"/>
      <c r="C5" s="1026"/>
      <c r="D5" s="1026"/>
      <c r="E5" s="1026"/>
      <c r="F5" s="1026"/>
      <c r="G5" s="1026"/>
      <c r="H5" s="1026"/>
      <c r="I5" s="1026"/>
      <c r="J5" s="1026"/>
      <c r="K5" s="1026"/>
      <c r="L5" s="1026"/>
      <c r="M5" s="1026"/>
      <c r="N5" s="1026"/>
      <c r="O5" s="1026"/>
      <c r="P5" s="1026"/>
      <c r="Q5" s="1026"/>
      <c r="R5" s="1026"/>
      <c r="S5" s="1026"/>
      <c r="T5" s="1026"/>
    </row>
    <row r="6" spans="1:27">
      <c r="A6" s="66"/>
      <c r="B6" s="28"/>
      <c r="C6" s="28"/>
      <c r="D6" s="402"/>
      <c r="E6" s="402"/>
      <c r="F6" s="402"/>
      <c r="G6" s="402"/>
      <c r="H6" s="402"/>
      <c r="I6" s="402"/>
      <c r="J6" s="402"/>
      <c r="K6" s="402"/>
      <c r="L6" s="402"/>
      <c r="M6" s="402"/>
      <c r="N6" s="402"/>
      <c r="O6" s="402"/>
    </row>
    <row r="7" spans="1:27">
      <c r="A7" s="66"/>
      <c r="B7" s="28"/>
      <c r="C7" s="28"/>
      <c r="D7" s="1037" t="s">
        <v>189</v>
      </c>
      <c r="E7" s="1037"/>
      <c r="F7" s="1037"/>
      <c r="G7" s="1037"/>
      <c r="H7" s="1037"/>
      <c r="I7" s="1037"/>
      <c r="J7" s="1037"/>
      <c r="K7" s="1037"/>
      <c r="L7" s="1037"/>
      <c r="M7" s="1037"/>
      <c r="N7" s="1037"/>
      <c r="O7" s="1037"/>
      <c r="P7" s="1036" t="s">
        <v>318</v>
      </c>
      <c r="Q7" s="1036"/>
      <c r="R7" s="1036"/>
    </row>
    <row r="8" spans="1:27">
      <c r="A8" s="881" t="s">
        <v>992</v>
      </c>
      <c r="B8" s="28"/>
      <c r="C8" s="28"/>
      <c r="D8" s="1037" t="s">
        <v>850</v>
      </c>
      <c r="E8" s="1037"/>
      <c r="F8" s="1037"/>
      <c r="G8" s="1037"/>
      <c r="H8" s="1037"/>
      <c r="I8" s="1037"/>
      <c r="J8" s="1037"/>
      <c r="K8" s="1037"/>
      <c r="L8" s="1037"/>
      <c r="M8" s="1037"/>
      <c r="N8" s="1037"/>
      <c r="O8" s="1037"/>
      <c r="P8" s="842"/>
      <c r="Q8" s="842"/>
      <c r="R8" s="842"/>
    </row>
    <row r="9" spans="1:27">
      <c r="D9" s="1035" t="s">
        <v>825</v>
      </c>
      <c r="E9" s="1035"/>
      <c r="F9" s="1035"/>
      <c r="G9" s="1035"/>
      <c r="H9" s="1035"/>
      <c r="I9" s="1035"/>
      <c r="J9" s="1035"/>
      <c r="K9" s="1035"/>
      <c r="L9" s="1035"/>
      <c r="M9" s="1035"/>
      <c r="N9" s="1035"/>
      <c r="O9" s="1035"/>
      <c r="P9" s="889"/>
      <c r="Q9" s="890" t="s">
        <v>1006</v>
      </c>
      <c r="R9" s="890"/>
      <c r="S9" s="782" t="s">
        <v>849</v>
      </c>
      <c r="V9" s="405"/>
    </row>
    <row r="10" spans="1:27">
      <c r="A10" s="145"/>
      <c r="B10" s="496" t="s">
        <v>50</v>
      </c>
      <c r="C10" s="496" t="s">
        <v>102</v>
      </c>
      <c r="D10" s="1035">
        <v>43465</v>
      </c>
      <c r="E10" s="1035"/>
      <c r="F10" s="1035"/>
      <c r="G10" s="1035"/>
      <c r="H10" s="1035"/>
      <c r="I10" s="1035"/>
      <c r="J10" s="1035"/>
      <c r="K10" s="1035"/>
      <c r="L10" s="1035"/>
      <c r="M10" s="1035"/>
      <c r="N10" s="1035"/>
      <c r="O10" s="1035"/>
      <c r="P10" s="889">
        <v>43739</v>
      </c>
      <c r="Q10" s="890"/>
      <c r="R10" s="890"/>
      <c r="S10" s="782">
        <v>44196</v>
      </c>
      <c r="W10" s="742"/>
      <c r="X10" s="743"/>
    </row>
    <row r="11" spans="1:27">
      <c r="A11" s="496" t="s">
        <v>1</v>
      </c>
      <c r="B11" s="203" t="s">
        <v>95</v>
      </c>
      <c r="C11" s="203" t="s">
        <v>103</v>
      </c>
      <c r="D11" s="203" t="s">
        <v>859</v>
      </c>
      <c r="E11" s="203" t="s">
        <v>103</v>
      </c>
      <c r="F11" s="203" t="s">
        <v>826</v>
      </c>
      <c r="G11" s="203" t="s">
        <v>827</v>
      </c>
      <c r="H11" s="203" t="s">
        <v>828</v>
      </c>
      <c r="I11" s="203" t="s">
        <v>860</v>
      </c>
      <c r="J11" s="203" t="s">
        <v>861</v>
      </c>
      <c r="K11" s="203" t="s">
        <v>863</v>
      </c>
      <c r="L11" s="203" t="s">
        <v>862</v>
      </c>
      <c r="M11" s="203" t="s">
        <v>873</v>
      </c>
      <c r="N11" s="203" t="s">
        <v>892</v>
      </c>
      <c r="O11" s="203" t="s">
        <v>10</v>
      </c>
      <c r="P11" s="843" t="s">
        <v>961</v>
      </c>
      <c r="Q11" s="203" t="s">
        <v>317</v>
      </c>
      <c r="R11" s="203" t="s">
        <v>10</v>
      </c>
      <c r="S11" s="203" t="s">
        <v>50</v>
      </c>
      <c r="V11" s="9"/>
    </row>
    <row r="12" spans="1:27">
      <c r="A12" s="146" t="str">
        <f>+'WP-2, pg 2 - Labor Increase'!A11</f>
        <v>William N. Felsted</v>
      </c>
      <c r="B12" s="73" t="s">
        <v>100</v>
      </c>
      <c r="C12" s="73" t="s">
        <v>100</v>
      </c>
      <c r="D12" s="9">
        <v>0</v>
      </c>
      <c r="E12" s="9">
        <v>543</v>
      </c>
      <c r="F12" s="9">
        <v>101.4</v>
      </c>
      <c r="G12" s="9">
        <v>2964</v>
      </c>
      <c r="H12" s="9">
        <v>0</v>
      </c>
      <c r="I12" s="9">
        <v>25050</v>
      </c>
      <c r="J12" s="9">
        <v>0</v>
      </c>
      <c r="K12" s="9">
        <v>0</v>
      </c>
      <c r="L12" s="9"/>
      <c r="M12" s="9"/>
      <c r="N12" s="9">
        <v>0</v>
      </c>
      <c r="O12" s="9">
        <f>SUM(D12:N12)</f>
        <v>28658.400000000001</v>
      </c>
      <c r="P12" s="844">
        <v>4256.3999999999996</v>
      </c>
      <c r="Q12" s="388">
        <v>0</v>
      </c>
      <c r="R12" s="388">
        <f>P12+Q12</f>
        <v>4256.3999999999996</v>
      </c>
      <c r="S12" s="9">
        <v>25050</v>
      </c>
      <c r="T12" s="9"/>
      <c r="U12" s="9"/>
      <c r="V12" s="9"/>
      <c r="W12" s="744"/>
      <c r="X12" s="743"/>
      <c r="Y12" s="9"/>
      <c r="Z12" s="9"/>
      <c r="AA12" s="9"/>
    </row>
    <row r="13" spans="1:27">
      <c r="A13" s="19" t="str">
        <f>+'WP-2, pg 2 - Labor Increase'!A12</f>
        <v>Valerie C. Felsted</v>
      </c>
      <c r="B13" s="18" t="s">
        <v>104</v>
      </c>
      <c r="C13" s="18" t="s">
        <v>100</v>
      </c>
      <c r="D13" s="9">
        <v>0</v>
      </c>
      <c r="E13" s="9">
        <v>543</v>
      </c>
      <c r="F13" s="9">
        <v>101.4</v>
      </c>
      <c r="G13" s="9">
        <v>2964</v>
      </c>
      <c r="H13" s="9">
        <v>54</v>
      </c>
      <c r="I13" s="9">
        <v>0</v>
      </c>
      <c r="J13" s="9">
        <v>0</v>
      </c>
      <c r="K13" s="9">
        <v>956</v>
      </c>
      <c r="L13" s="9"/>
      <c r="M13" s="9"/>
      <c r="N13" s="9">
        <v>0</v>
      </c>
      <c r="O13" s="9">
        <f t="shared" ref="O13:O15" si="0">SUM(D13:N13)</f>
        <v>4618.3999999999996</v>
      </c>
      <c r="P13" s="844">
        <f>4256.4-956</f>
        <v>3300.3999999999996</v>
      </c>
      <c r="Q13" s="388">
        <v>0</v>
      </c>
      <c r="R13" s="388">
        <f t="shared" ref="R13:R15" si="1">P13+Q13</f>
        <v>3300.3999999999996</v>
      </c>
      <c r="S13" s="9">
        <v>956</v>
      </c>
      <c r="T13" s="9"/>
      <c r="U13" s="746"/>
      <c r="V13" s="746"/>
      <c r="W13" s="745"/>
      <c r="X13" s="745"/>
      <c r="Y13" s="9"/>
      <c r="Z13" s="9"/>
      <c r="AA13" s="9"/>
    </row>
    <row r="14" spans="1:27">
      <c r="A14" s="146" t="str">
        <f>+'WP-2, pg 2 - Labor Increase'!A13</f>
        <v>Devon L. Felsted</v>
      </c>
      <c r="B14" s="73" t="s">
        <v>100</v>
      </c>
      <c r="C14" s="73" t="s">
        <v>100</v>
      </c>
      <c r="D14" s="9">
        <v>25134.84</v>
      </c>
      <c r="E14" s="9">
        <v>1775.4</v>
      </c>
      <c r="F14" s="9">
        <v>267.12</v>
      </c>
      <c r="G14" s="9">
        <v>0</v>
      </c>
      <c r="H14" s="9">
        <v>0</v>
      </c>
      <c r="I14" s="9">
        <v>0</v>
      </c>
      <c r="J14" s="9">
        <v>4718.1000000000004</v>
      </c>
      <c r="K14" s="9">
        <v>0</v>
      </c>
      <c r="L14" s="9">
        <f>-M14</f>
        <v>1458.6</v>
      </c>
      <c r="M14" s="9">
        <v>-1458.6</v>
      </c>
      <c r="N14" s="9">
        <f>-6001.36</f>
        <v>-6001.36</v>
      </c>
      <c r="O14" s="9">
        <f t="shared" si="0"/>
        <v>25894.1</v>
      </c>
      <c r="P14" s="844">
        <f>33981.84-6742.8</f>
        <v>27239.039999999997</v>
      </c>
      <c r="Q14" s="388">
        <f>-235.27*26</f>
        <v>-6117.02</v>
      </c>
      <c r="R14" s="388">
        <f t="shared" si="1"/>
        <v>21122.019999999997</v>
      </c>
      <c r="S14" s="9">
        <v>6742.8</v>
      </c>
      <c r="T14" s="9"/>
      <c r="U14" s="9"/>
      <c r="V14" s="746"/>
      <c r="W14" s="745"/>
      <c r="X14" s="745"/>
      <c r="Y14" s="9"/>
      <c r="Z14" s="9"/>
      <c r="AA14" s="9"/>
    </row>
    <row r="15" spans="1:27">
      <c r="A15" s="146" t="str">
        <f>+'WP-2, pg 2 - Labor Increase'!A14</f>
        <v>Leslie Olin</v>
      </c>
      <c r="B15" s="73" t="s">
        <v>104</v>
      </c>
      <c r="C15" s="73" t="s">
        <v>100</v>
      </c>
      <c r="D15" s="9">
        <v>7658.28</v>
      </c>
      <c r="E15" s="9">
        <v>1132.2</v>
      </c>
      <c r="F15" s="9">
        <v>101.4</v>
      </c>
      <c r="G15" s="9">
        <v>0</v>
      </c>
      <c r="H15" s="9">
        <v>0</v>
      </c>
      <c r="I15" s="9">
        <v>0</v>
      </c>
      <c r="J15" s="9">
        <v>0</v>
      </c>
      <c r="K15" s="9">
        <v>0</v>
      </c>
      <c r="L15" s="9"/>
      <c r="M15" s="9"/>
      <c r="N15" s="9">
        <v>0</v>
      </c>
      <c r="O15" s="9">
        <f t="shared" si="0"/>
        <v>8891.8799999999992</v>
      </c>
      <c r="P15" s="844">
        <v>8898.9599999999991</v>
      </c>
      <c r="Q15" s="388">
        <v>0</v>
      </c>
      <c r="R15" s="388">
        <f t="shared" si="1"/>
        <v>8898.9599999999991</v>
      </c>
      <c r="S15" s="9">
        <v>0</v>
      </c>
      <c r="T15" s="9"/>
      <c r="U15" s="746"/>
      <c r="V15" s="746"/>
      <c r="W15" s="745"/>
      <c r="X15" s="745"/>
      <c r="Y15" s="9"/>
      <c r="Z15" s="9"/>
      <c r="AA15" s="9"/>
    </row>
    <row r="16" spans="1:27">
      <c r="A16" s="31" t="str">
        <f>'WP-2 - Labor Analysis'!A15</f>
        <v>OFFICERS</v>
      </c>
      <c r="B16" s="495"/>
      <c r="C16" s="495"/>
      <c r="D16" s="390">
        <f t="shared" ref="D16:S16" si="2">SUM(D12:D15)</f>
        <v>32793.120000000003</v>
      </c>
      <c r="E16" s="390">
        <f t="shared" si="2"/>
        <v>3993.6000000000004</v>
      </c>
      <c r="F16" s="390">
        <f t="shared" si="2"/>
        <v>571.32000000000005</v>
      </c>
      <c r="G16" s="390">
        <f t="shared" si="2"/>
        <v>5928</v>
      </c>
      <c r="H16" s="390">
        <f t="shared" si="2"/>
        <v>54</v>
      </c>
      <c r="I16" s="390">
        <f t="shared" si="2"/>
        <v>25050</v>
      </c>
      <c r="J16" s="390">
        <f t="shared" si="2"/>
        <v>4718.1000000000004</v>
      </c>
      <c r="K16" s="390">
        <f t="shared" si="2"/>
        <v>956</v>
      </c>
      <c r="L16" s="390">
        <f t="shared" si="2"/>
        <v>1458.6</v>
      </c>
      <c r="M16" s="390">
        <f t="shared" si="2"/>
        <v>-1458.6</v>
      </c>
      <c r="N16" s="390">
        <f t="shared" si="2"/>
        <v>-6001.36</v>
      </c>
      <c r="O16" s="390">
        <f t="shared" si="2"/>
        <v>68062.78</v>
      </c>
      <c r="P16" s="845">
        <f t="shared" si="2"/>
        <v>43694.799999999996</v>
      </c>
      <c r="Q16" s="846">
        <f t="shared" si="2"/>
        <v>-6117.02</v>
      </c>
      <c r="R16" s="846">
        <f t="shared" si="2"/>
        <v>37577.78</v>
      </c>
      <c r="S16" s="390">
        <f t="shared" si="2"/>
        <v>32748.799999999999</v>
      </c>
      <c r="T16" s="9"/>
      <c r="U16" s="746"/>
      <c r="V16" s="746"/>
      <c r="W16" s="745"/>
      <c r="X16" s="745"/>
      <c r="Y16" s="9"/>
      <c r="Z16" s="9"/>
      <c r="AA16" s="9"/>
    </row>
    <row r="17" spans="1:38">
      <c r="D17" s="9"/>
      <c r="E17" s="9"/>
      <c r="F17" s="9"/>
      <c r="G17" s="9"/>
      <c r="H17" s="9"/>
      <c r="I17" s="9"/>
      <c r="J17" s="9"/>
      <c r="K17" s="9"/>
      <c r="L17" s="9"/>
      <c r="M17" s="9"/>
      <c r="N17" s="9"/>
      <c r="O17" s="9"/>
      <c r="P17" s="844"/>
      <c r="Q17" s="388"/>
      <c r="R17" s="388"/>
      <c r="S17" s="9"/>
      <c r="T17" s="9"/>
      <c r="U17" s="746"/>
      <c r="V17" s="746"/>
      <c r="W17" s="745"/>
      <c r="X17" s="745"/>
      <c r="Y17" s="9"/>
      <c r="Z17" s="9"/>
      <c r="AA17" s="9"/>
    </row>
    <row r="18" spans="1:38">
      <c r="A18" s="19" t="str">
        <f>+'WP-2, pg 2 - Labor Increase'!A18</f>
        <v>Charity Cordova</v>
      </c>
      <c r="B18" s="18" t="s">
        <v>104</v>
      </c>
      <c r="C18" s="18" t="s">
        <v>104</v>
      </c>
      <c r="D18" s="9">
        <v>0</v>
      </c>
      <c r="E18" s="9">
        <v>0</v>
      </c>
      <c r="F18" s="9">
        <v>0</v>
      </c>
      <c r="G18" s="9">
        <v>0</v>
      </c>
      <c r="H18" s="9">
        <v>0</v>
      </c>
      <c r="I18" s="9">
        <v>0</v>
      </c>
      <c r="J18" s="9">
        <v>0</v>
      </c>
      <c r="K18" s="9">
        <v>0</v>
      </c>
      <c r="L18" s="9"/>
      <c r="M18" s="9"/>
      <c r="N18" s="9">
        <v>0</v>
      </c>
      <c r="O18" s="9">
        <f>SUM(D18:N18)</f>
        <v>0</v>
      </c>
      <c r="P18" s="844">
        <v>0</v>
      </c>
      <c r="Q18" s="388">
        <v>0</v>
      </c>
      <c r="R18" s="388">
        <f>P18+Q18</f>
        <v>0</v>
      </c>
      <c r="S18" s="9">
        <v>0</v>
      </c>
      <c r="T18" s="9"/>
      <c r="U18" s="746"/>
      <c r="V18" s="746"/>
      <c r="W18" s="745"/>
      <c r="X18" s="745"/>
      <c r="Y18" s="9"/>
      <c r="Z18" s="9"/>
      <c r="AA18" s="9"/>
    </row>
    <row r="19" spans="1:38">
      <c r="A19" s="19" t="str">
        <f>+'WP-2, pg 2 - Labor Increase'!A19</f>
        <v>Marilyn K. Dahmen</v>
      </c>
      <c r="B19" s="18" t="s">
        <v>104</v>
      </c>
      <c r="C19" s="18" t="s">
        <v>104</v>
      </c>
      <c r="D19" s="9">
        <v>0</v>
      </c>
      <c r="E19" s="9">
        <v>0</v>
      </c>
      <c r="F19" s="9">
        <v>0</v>
      </c>
      <c r="G19" s="9">
        <v>0</v>
      </c>
      <c r="H19" s="9">
        <v>0</v>
      </c>
      <c r="I19" s="9">
        <v>0</v>
      </c>
      <c r="J19" s="9">
        <v>0</v>
      </c>
      <c r="K19" s="9">
        <v>0</v>
      </c>
      <c r="L19" s="9"/>
      <c r="M19" s="9"/>
      <c r="N19" s="9">
        <v>0</v>
      </c>
      <c r="O19" s="9">
        <f t="shared" ref="O19:O31" si="3">SUM(D19:N19)</f>
        <v>0</v>
      </c>
      <c r="P19" s="844">
        <v>0</v>
      </c>
      <c r="Q19" s="388">
        <v>0</v>
      </c>
      <c r="R19" s="388">
        <f t="shared" ref="R19:R35" si="4">P19+Q19</f>
        <v>0</v>
      </c>
      <c r="S19" s="9">
        <v>0</v>
      </c>
      <c r="T19" s="9"/>
      <c r="U19" s="746"/>
      <c r="V19" s="746"/>
      <c r="W19" s="745"/>
      <c r="X19" s="745"/>
      <c r="Y19" s="9"/>
      <c r="Z19" s="9"/>
      <c r="AA19" s="9"/>
    </row>
    <row r="20" spans="1:38">
      <c r="A20" s="19" t="str">
        <f>+'WP-2, pg 2 - Labor Increase'!A20</f>
        <v>Judith M. Druffel</v>
      </c>
      <c r="B20" s="18" t="s">
        <v>104</v>
      </c>
      <c r="C20" s="18" t="s">
        <v>100</v>
      </c>
      <c r="D20" s="9">
        <v>7658.28</v>
      </c>
      <c r="E20" s="9">
        <v>543</v>
      </c>
      <c r="F20" s="9">
        <v>101.4</v>
      </c>
      <c r="G20" s="9">
        <v>0</v>
      </c>
      <c r="H20" s="9">
        <v>0</v>
      </c>
      <c r="I20" s="9">
        <v>0</v>
      </c>
      <c r="J20" s="9">
        <v>0</v>
      </c>
      <c r="K20" s="9">
        <v>0</v>
      </c>
      <c r="L20" s="9"/>
      <c r="M20" s="9"/>
      <c r="N20" s="9">
        <v>0</v>
      </c>
      <c r="O20" s="9">
        <f t="shared" si="3"/>
        <v>8302.6799999999985</v>
      </c>
      <c r="P20" s="844">
        <v>8309.76</v>
      </c>
      <c r="Q20" s="388">
        <v>0</v>
      </c>
      <c r="R20" s="388">
        <f t="shared" si="4"/>
        <v>8309.76</v>
      </c>
      <c r="S20" s="9">
        <v>0</v>
      </c>
      <c r="T20" s="9"/>
      <c r="U20" s="746"/>
      <c r="V20" s="746"/>
      <c r="W20" s="745"/>
      <c r="X20" s="745"/>
      <c r="Y20" s="9"/>
      <c r="Z20" s="9"/>
      <c r="AA20" s="9"/>
    </row>
    <row r="21" spans="1:38">
      <c r="A21" s="19" t="str">
        <f>+'WP-2, pg 2 - Labor Increase'!A21</f>
        <v>Sierra A. Robinson</v>
      </c>
      <c r="B21" s="18" t="s">
        <v>104</v>
      </c>
      <c r="C21" s="18" t="s">
        <v>104</v>
      </c>
      <c r="D21" s="9">
        <v>0</v>
      </c>
      <c r="E21" s="9">
        <v>0</v>
      </c>
      <c r="F21" s="9">
        <v>0</v>
      </c>
      <c r="G21" s="9">
        <v>0</v>
      </c>
      <c r="H21" s="9">
        <v>0</v>
      </c>
      <c r="I21" s="9">
        <v>0</v>
      </c>
      <c r="J21" s="9">
        <v>0</v>
      </c>
      <c r="K21" s="9">
        <v>0</v>
      </c>
      <c r="L21" s="9"/>
      <c r="M21" s="9"/>
      <c r="N21" s="9">
        <v>0</v>
      </c>
      <c r="O21" s="9">
        <f t="shared" si="3"/>
        <v>0</v>
      </c>
      <c r="P21" s="844">
        <v>0</v>
      </c>
      <c r="Q21" s="388">
        <v>0</v>
      </c>
      <c r="R21" s="388">
        <f t="shared" si="4"/>
        <v>0</v>
      </c>
      <c r="S21" s="9">
        <v>0</v>
      </c>
      <c r="T21" s="9"/>
      <c r="U21" s="746"/>
      <c r="V21" s="746"/>
      <c r="W21" s="745"/>
      <c r="X21" s="745"/>
      <c r="Y21" s="9"/>
      <c r="Z21" s="9"/>
      <c r="AA21" s="9"/>
    </row>
    <row r="22" spans="1:38">
      <c r="A22" s="19" t="str">
        <f>+'WP-2, pg 2 - Labor Increase'!A22</f>
        <v>Annabelle M. Felsted</v>
      </c>
      <c r="B22" s="18" t="s">
        <v>104</v>
      </c>
      <c r="C22" s="18" t="s">
        <v>104</v>
      </c>
      <c r="D22" s="9">
        <v>0</v>
      </c>
      <c r="E22" s="9">
        <v>0</v>
      </c>
      <c r="F22" s="9">
        <v>0</v>
      </c>
      <c r="G22" s="9">
        <v>0</v>
      </c>
      <c r="H22" s="9">
        <v>0</v>
      </c>
      <c r="I22" s="9">
        <v>0</v>
      </c>
      <c r="J22" s="9">
        <v>0</v>
      </c>
      <c r="K22" s="9">
        <v>0</v>
      </c>
      <c r="L22" s="9"/>
      <c r="M22" s="9"/>
      <c r="N22" s="9">
        <v>0</v>
      </c>
      <c r="O22" s="9">
        <f t="shared" si="3"/>
        <v>0</v>
      </c>
      <c r="P22" s="844">
        <v>0</v>
      </c>
      <c r="Q22" s="388">
        <v>0</v>
      </c>
      <c r="R22" s="388">
        <f t="shared" si="4"/>
        <v>0</v>
      </c>
      <c r="S22" s="9">
        <v>0</v>
      </c>
      <c r="T22" s="9"/>
      <c r="U22" s="746"/>
      <c r="V22" s="746"/>
      <c r="W22" s="745"/>
      <c r="X22" s="745"/>
      <c r="Y22" s="9"/>
      <c r="Z22" s="9"/>
      <c r="AA22" s="9"/>
    </row>
    <row r="23" spans="1:38">
      <c r="A23" s="19" t="str">
        <f>+'WP-2, pg 2 - Labor Increase'!A23</f>
        <v>Joseph N. Harris</v>
      </c>
      <c r="B23" s="18" t="s">
        <v>104</v>
      </c>
      <c r="C23" s="18" t="s">
        <v>104</v>
      </c>
      <c r="D23" s="9">
        <v>0</v>
      </c>
      <c r="E23" s="9">
        <v>0</v>
      </c>
      <c r="F23" s="9">
        <v>0</v>
      </c>
      <c r="G23" s="9">
        <v>0</v>
      </c>
      <c r="H23" s="9">
        <v>0</v>
      </c>
      <c r="I23" s="9">
        <v>0</v>
      </c>
      <c r="J23" s="9">
        <v>0</v>
      </c>
      <c r="K23" s="9">
        <v>0</v>
      </c>
      <c r="L23" s="9"/>
      <c r="M23" s="9"/>
      <c r="N23" s="9">
        <v>0</v>
      </c>
      <c r="O23" s="9">
        <f t="shared" si="3"/>
        <v>0</v>
      </c>
      <c r="P23" s="844">
        <v>0</v>
      </c>
      <c r="Q23" s="388">
        <v>0</v>
      </c>
      <c r="R23" s="388">
        <f t="shared" si="4"/>
        <v>0</v>
      </c>
      <c r="S23" s="9">
        <v>0</v>
      </c>
      <c r="T23" s="514"/>
      <c r="U23" s="746"/>
      <c r="V23" s="746"/>
      <c r="W23" s="745"/>
      <c r="X23" s="745"/>
      <c r="Y23" s="9"/>
      <c r="Z23" s="9"/>
      <c r="AA23" s="9"/>
      <c r="AL23" s="6">
        <f>+'WP-2, pg 3 - Benefits Analysis'!S226</f>
        <v>0</v>
      </c>
    </row>
    <row r="24" spans="1:38">
      <c r="A24" s="19" t="str">
        <f>+'WP-2, pg 2 - Labor Increase'!A24</f>
        <v>Ivy R. Woltering</v>
      </c>
      <c r="B24" s="18" t="s">
        <v>104</v>
      </c>
      <c r="C24" s="18" t="s">
        <v>104</v>
      </c>
      <c r="D24" s="9">
        <v>0</v>
      </c>
      <c r="E24" s="9">
        <v>0</v>
      </c>
      <c r="F24" s="9">
        <v>0</v>
      </c>
      <c r="G24" s="9">
        <v>0</v>
      </c>
      <c r="H24" s="9">
        <v>0</v>
      </c>
      <c r="I24" s="9">
        <v>0</v>
      </c>
      <c r="J24" s="9">
        <v>0</v>
      </c>
      <c r="K24" s="9">
        <v>0</v>
      </c>
      <c r="L24" s="9"/>
      <c r="M24" s="9"/>
      <c r="N24" s="9">
        <v>0</v>
      </c>
      <c r="O24" s="9">
        <f t="shared" si="3"/>
        <v>0</v>
      </c>
      <c r="P24" s="844">
        <v>0</v>
      </c>
      <c r="Q24" s="388">
        <v>0</v>
      </c>
      <c r="R24" s="388">
        <f t="shared" si="4"/>
        <v>0</v>
      </c>
      <c r="S24" s="9">
        <v>0</v>
      </c>
      <c r="T24" s="9"/>
      <c r="U24" s="746"/>
      <c r="V24" s="746"/>
      <c r="W24" s="745"/>
      <c r="X24" s="745"/>
      <c r="Y24" s="9"/>
      <c r="Z24" s="9"/>
      <c r="AA24" s="9"/>
    </row>
    <row r="25" spans="1:38">
      <c r="A25" s="19" t="str">
        <f>+'WP-2, pg 2 - Labor Increase'!A25</f>
        <v>Daphne D. Felsted</v>
      </c>
      <c r="B25" s="18" t="s">
        <v>104</v>
      </c>
      <c r="C25" s="18" t="s">
        <v>104</v>
      </c>
      <c r="D25" s="9">
        <v>0</v>
      </c>
      <c r="E25" s="9">
        <v>0</v>
      </c>
      <c r="F25" s="9">
        <v>0</v>
      </c>
      <c r="G25" s="9">
        <v>0</v>
      </c>
      <c r="H25" s="9">
        <v>0</v>
      </c>
      <c r="I25" s="9">
        <v>0</v>
      </c>
      <c r="J25" s="9">
        <v>0</v>
      </c>
      <c r="K25" s="9">
        <v>0</v>
      </c>
      <c r="L25" s="9"/>
      <c r="M25" s="9"/>
      <c r="N25" s="9">
        <v>0</v>
      </c>
      <c r="O25" s="9">
        <f t="shared" si="3"/>
        <v>0</v>
      </c>
      <c r="P25" s="844">
        <v>0</v>
      </c>
      <c r="Q25" s="388">
        <v>0</v>
      </c>
      <c r="R25" s="388">
        <f t="shared" si="4"/>
        <v>0</v>
      </c>
      <c r="S25" s="9">
        <v>0</v>
      </c>
      <c r="T25" s="9"/>
      <c r="U25" s="746"/>
      <c r="V25" s="746"/>
      <c r="W25" s="745"/>
      <c r="X25" s="745"/>
      <c r="Y25" s="9"/>
      <c r="Z25" s="9"/>
      <c r="AA25" s="9"/>
    </row>
    <row r="26" spans="1:38">
      <c r="A26" s="19" t="str">
        <f>+'WP-2, pg 2 - Labor Increase'!A26</f>
        <v>Kierah E. Thurgood</v>
      </c>
      <c r="B26" s="18" t="s">
        <v>104</v>
      </c>
      <c r="C26" s="18" t="s">
        <v>104</v>
      </c>
      <c r="D26" s="9">
        <v>0</v>
      </c>
      <c r="E26" s="9">
        <v>0</v>
      </c>
      <c r="F26" s="9">
        <v>0</v>
      </c>
      <c r="G26" s="9">
        <v>0</v>
      </c>
      <c r="H26" s="9">
        <v>0</v>
      </c>
      <c r="I26" s="9">
        <v>0</v>
      </c>
      <c r="J26" s="9">
        <v>0</v>
      </c>
      <c r="K26" s="9">
        <v>0</v>
      </c>
      <c r="L26" s="9"/>
      <c r="M26" s="9"/>
      <c r="N26" s="9">
        <v>0</v>
      </c>
      <c r="O26" s="9">
        <f t="shared" si="3"/>
        <v>0</v>
      </c>
      <c r="P26" s="844">
        <v>0</v>
      </c>
      <c r="Q26" s="388">
        <v>0</v>
      </c>
      <c r="R26" s="388">
        <f t="shared" si="4"/>
        <v>0</v>
      </c>
      <c r="S26" s="9">
        <v>0</v>
      </c>
      <c r="T26" s="9"/>
      <c r="U26" s="746"/>
      <c r="V26" s="746"/>
      <c r="W26" s="745"/>
      <c r="X26" s="745"/>
      <c r="Y26" s="9"/>
      <c r="Z26" s="9"/>
      <c r="AA26" s="9"/>
    </row>
    <row r="27" spans="1:38">
      <c r="A27" s="19" t="str">
        <f>+'WP-2, pg 2 - Labor Increase'!A27</f>
        <v>Merrilie Davidson</v>
      </c>
      <c r="B27" s="18" t="s">
        <v>104</v>
      </c>
      <c r="C27" s="18" t="s">
        <v>104</v>
      </c>
      <c r="D27" s="9">
        <v>0</v>
      </c>
      <c r="E27" s="9">
        <v>0</v>
      </c>
      <c r="F27" s="9">
        <v>0</v>
      </c>
      <c r="G27" s="9">
        <v>0</v>
      </c>
      <c r="H27" s="9">
        <v>0</v>
      </c>
      <c r="I27" s="9">
        <v>0</v>
      </c>
      <c r="J27" s="9">
        <v>0</v>
      </c>
      <c r="K27" s="9">
        <v>0</v>
      </c>
      <c r="L27" s="9"/>
      <c r="M27" s="9"/>
      <c r="N27" s="9">
        <v>0</v>
      </c>
      <c r="O27" s="9">
        <f t="shared" si="3"/>
        <v>0</v>
      </c>
      <c r="P27" s="844">
        <v>0</v>
      </c>
      <c r="Q27" s="388">
        <v>0</v>
      </c>
      <c r="R27" s="388">
        <f t="shared" si="4"/>
        <v>0</v>
      </c>
      <c r="S27" s="9">
        <v>0</v>
      </c>
      <c r="T27" s="9"/>
      <c r="U27" s="746"/>
      <c r="V27" s="746"/>
      <c r="W27" s="745"/>
      <c r="X27" s="745"/>
      <c r="Y27" s="9"/>
      <c r="Z27" s="9"/>
      <c r="AA27" s="9"/>
    </row>
    <row r="28" spans="1:38">
      <c r="A28" s="19" t="str">
        <f>+'WP-2, pg 2 - Labor Increase'!A28</f>
        <v>Hannah E. Livingston</v>
      </c>
      <c r="B28" s="18" t="s">
        <v>104</v>
      </c>
      <c r="C28" s="18" t="s">
        <v>104</v>
      </c>
      <c r="D28" s="9">
        <v>0</v>
      </c>
      <c r="E28" s="9">
        <v>0</v>
      </c>
      <c r="F28" s="9">
        <v>0</v>
      </c>
      <c r="G28" s="9">
        <v>0</v>
      </c>
      <c r="H28" s="9">
        <v>0</v>
      </c>
      <c r="I28" s="9">
        <v>0</v>
      </c>
      <c r="J28" s="9">
        <v>0</v>
      </c>
      <c r="K28" s="9">
        <v>0</v>
      </c>
      <c r="L28" s="9"/>
      <c r="M28" s="9"/>
      <c r="N28" s="9">
        <v>0</v>
      </c>
      <c r="O28" s="9">
        <f t="shared" si="3"/>
        <v>0</v>
      </c>
      <c r="P28" s="844">
        <v>0</v>
      </c>
      <c r="Q28" s="388">
        <v>0</v>
      </c>
      <c r="R28" s="388">
        <f t="shared" si="4"/>
        <v>0</v>
      </c>
      <c r="S28" s="9">
        <v>0</v>
      </c>
      <c r="T28" s="9"/>
      <c r="U28" s="746"/>
      <c r="V28" s="746"/>
      <c r="W28" s="745"/>
      <c r="X28" s="745"/>
      <c r="Y28" s="9"/>
      <c r="Z28" s="9"/>
      <c r="AA28" s="9"/>
    </row>
    <row r="29" spans="1:38">
      <c r="A29" s="19" t="str">
        <f>+'WP-2, pg 2 - Labor Increase'!A29</f>
        <v>Brooke Robinson</v>
      </c>
      <c r="B29" s="18" t="s">
        <v>104</v>
      </c>
      <c r="C29" s="18" t="s">
        <v>104</v>
      </c>
      <c r="D29" s="9">
        <v>0</v>
      </c>
      <c r="E29" s="9">
        <v>0</v>
      </c>
      <c r="F29" s="9">
        <v>0</v>
      </c>
      <c r="G29" s="9">
        <v>0</v>
      </c>
      <c r="H29" s="9">
        <v>0</v>
      </c>
      <c r="I29" s="9">
        <v>0</v>
      </c>
      <c r="J29" s="9">
        <v>0</v>
      </c>
      <c r="K29" s="9">
        <v>0</v>
      </c>
      <c r="L29" s="9"/>
      <c r="M29" s="9"/>
      <c r="N29" s="9">
        <v>0</v>
      </c>
      <c r="O29" s="9">
        <f t="shared" si="3"/>
        <v>0</v>
      </c>
      <c r="P29" s="844">
        <v>0</v>
      </c>
      <c r="Q29" s="388">
        <v>0</v>
      </c>
      <c r="R29" s="388">
        <f t="shared" si="4"/>
        <v>0</v>
      </c>
      <c r="S29" s="9">
        <v>0</v>
      </c>
      <c r="T29" s="9"/>
      <c r="U29" s="746"/>
      <c r="V29" s="746"/>
      <c r="W29" s="745"/>
      <c r="X29" s="745"/>
      <c r="Y29" s="9"/>
      <c r="Z29" s="9"/>
      <c r="AA29" s="9"/>
    </row>
    <row r="30" spans="1:38">
      <c r="A30" s="19" t="str">
        <f>+'WP-2, pg 2 - Labor Increase'!A30</f>
        <v>Janis L. DeBolt</v>
      </c>
      <c r="B30" s="18" t="s">
        <v>104</v>
      </c>
      <c r="C30" s="18" t="s">
        <v>100</v>
      </c>
      <c r="D30" s="9">
        <v>7658.28</v>
      </c>
      <c r="E30" s="9">
        <v>543</v>
      </c>
      <c r="F30" s="9">
        <v>101.4</v>
      </c>
      <c r="G30" s="9">
        <v>0</v>
      </c>
      <c r="H30" s="9">
        <v>0</v>
      </c>
      <c r="I30" s="9">
        <v>0</v>
      </c>
      <c r="J30" s="9">
        <v>0</v>
      </c>
      <c r="K30" s="9">
        <v>0</v>
      </c>
      <c r="L30" s="9"/>
      <c r="M30" s="9"/>
      <c r="N30" s="9">
        <v>0</v>
      </c>
      <c r="O30" s="9">
        <f t="shared" si="3"/>
        <v>8302.6799999999985</v>
      </c>
      <c r="P30" s="844">
        <v>8309.76</v>
      </c>
      <c r="Q30" s="388">
        <v>0</v>
      </c>
      <c r="R30" s="388">
        <f t="shared" si="4"/>
        <v>8309.76</v>
      </c>
      <c r="S30" s="9">
        <v>0</v>
      </c>
      <c r="T30" s="9"/>
      <c r="U30" s="746"/>
      <c r="V30" s="746"/>
      <c r="W30" s="745"/>
      <c r="X30" s="745"/>
      <c r="Y30" s="9"/>
      <c r="Z30" s="9"/>
      <c r="AA30" s="9"/>
    </row>
    <row r="31" spans="1:38">
      <c r="A31" s="19" t="str">
        <f>+'WP-2, pg 2 - Labor Increase'!A31</f>
        <v>Hayley Nickels</v>
      </c>
      <c r="B31" s="18" t="s">
        <v>104</v>
      </c>
      <c r="C31" s="18" t="s">
        <v>104</v>
      </c>
      <c r="D31" s="9">
        <v>0</v>
      </c>
      <c r="E31" s="9">
        <v>0</v>
      </c>
      <c r="F31" s="9">
        <v>0</v>
      </c>
      <c r="G31" s="9">
        <v>0</v>
      </c>
      <c r="H31" s="9">
        <v>0</v>
      </c>
      <c r="I31" s="9">
        <v>0</v>
      </c>
      <c r="J31" s="9">
        <v>0</v>
      </c>
      <c r="K31" s="9">
        <v>0</v>
      </c>
      <c r="L31" s="9"/>
      <c r="M31" s="9"/>
      <c r="N31" s="9">
        <v>0</v>
      </c>
      <c r="O31" s="9">
        <f t="shared" si="3"/>
        <v>0</v>
      </c>
      <c r="P31" s="844">
        <v>0</v>
      </c>
      <c r="Q31" s="388">
        <v>0</v>
      </c>
      <c r="R31" s="388">
        <f t="shared" si="4"/>
        <v>0</v>
      </c>
      <c r="S31" s="9">
        <v>0</v>
      </c>
      <c r="T31" s="9"/>
      <c r="U31" s="746"/>
      <c r="V31" s="746"/>
      <c r="W31" s="745"/>
      <c r="X31" s="745"/>
      <c r="Y31" s="9"/>
      <c r="Z31" s="9"/>
      <c r="AA31" s="9"/>
    </row>
    <row r="32" spans="1:38">
      <c r="A32" s="874" t="s">
        <v>975</v>
      </c>
      <c r="B32" s="18" t="s">
        <v>104</v>
      </c>
      <c r="C32" s="18" t="s">
        <v>104</v>
      </c>
      <c r="D32" s="9"/>
      <c r="E32" s="9"/>
      <c r="F32" s="9"/>
      <c r="G32" s="9"/>
      <c r="H32" s="9"/>
      <c r="I32" s="9"/>
      <c r="J32" s="9"/>
      <c r="K32" s="9"/>
      <c r="L32" s="9"/>
      <c r="M32" s="9"/>
      <c r="N32" s="9"/>
      <c r="O32" s="9"/>
      <c r="P32" s="844">
        <v>0</v>
      </c>
      <c r="Q32" s="388">
        <v>0</v>
      </c>
      <c r="R32" s="388">
        <f t="shared" si="4"/>
        <v>0</v>
      </c>
      <c r="S32" s="9">
        <v>0</v>
      </c>
      <c r="T32" s="9"/>
      <c r="U32" s="746"/>
      <c r="V32" s="746"/>
      <c r="W32" s="745"/>
      <c r="X32" s="745"/>
      <c r="Y32" s="9"/>
      <c r="Z32" s="9"/>
      <c r="AA32" s="9"/>
    </row>
    <row r="33" spans="1:27">
      <c r="A33" s="874" t="s">
        <v>976</v>
      </c>
      <c r="B33" s="18" t="s">
        <v>104</v>
      </c>
      <c r="C33" s="18" t="s">
        <v>104</v>
      </c>
      <c r="D33" s="9"/>
      <c r="E33" s="9"/>
      <c r="F33" s="9"/>
      <c r="G33" s="9"/>
      <c r="H33" s="9"/>
      <c r="I33" s="9"/>
      <c r="J33" s="9"/>
      <c r="K33" s="9"/>
      <c r="L33" s="9"/>
      <c r="M33" s="9"/>
      <c r="N33" s="9"/>
      <c r="O33" s="9"/>
      <c r="P33" s="844">
        <v>0</v>
      </c>
      <c r="Q33" s="388">
        <v>0</v>
      </c>
      <c r="R33" s="388">
        <f t="shared" si="4"/>
        <v>0</v>
      </c>
      <c r="S33" s="9">
        <v>0</v>
      </c>
      <c r="T33" s="9"/>
      <c r="U33" s="746"/>
      <c r="V33" s="746"/>
      <c r="W33" s="745"/>
      <c r="X33" s="745"/>
      <c r="Y33" s="9"/>
      <c r="Z33" s="9"/>
      <c r="AA33" s="9"/>
    </row>
    <row r="34" spans="1:27">
      <c r="A34" s="874" t="s">
        <v>977</v>
      </c>
      <c r="B34" s="18" t="s">
        <v>104</v>
      </c>
      <c r="C34" s="18" t="s">
        <v>104</v>
      </c>
      <c r="D34" s="9"/>
      <c r="E34" s="9"/>
      <c r="F34" s="9"/>
      <c r="G34" s="9"/>
      <c r="H34" s="9"/>
      <c r="I34" s="9"/>
      <c r="J34" s="9"/>
      <c r="K34" s="9"/>
      <c r="L34" s="9"/>
      <c r="M34" s="9"/>
      <c r="N34" s="9"/>
      <c r="O34" s="9"/>
      <c r="P34" s="844">
        <v>0</v>
      </c>
      <c r="Q34" s="388">
        <v>0</v>
      </c>
      <c r="R34" s="388">
        <f t="shared" si="4"/>
        <v>0</v>
      </c>
      <c r="S34" s="9">
        <v>0</v>
      </c>
      <c r="T34" s="9"/>
      <c r="U34" s="746"/>
      <c r="V34" s="746"/>
      <c r="W34" s="745"/>
      <c r="X34" s="745"/>
      <c r="Y34" s="9"/>
      <c r="Z34" s="9"/>
      <c r="AA34" s="9"/>
    </row>
    <row r="35" spans="1:27">
      <c r="A35" s="874" t="s">
        <v>978</v>
      </c>
      <c r="B35" s="18" t="s">
        <v>104</v>
      </c>
      <c r="C35" s="18" t="s">
        <v>100</v>
      </c>
      <c r="D35" s="9"/>
      <c r="E35" s="9"/>
      <c r="F35" s="9"/>
      <c r="G35" s="9"/>
      <c r="H35" s="9"/>
      <c r="I35" s="9"/>
      <c r="J35" s="9"/>
      <c r="K35" s="9"/>
      <c r="L35" s="9"/>
      <c r="M35" s="9"/>
      <c r="N35" s="9"/>
      <c r="O35" s="9"/>
      <c r="P35" s="844">
        <v>8309.76</v>
      </c>
      <c r="Q35" s="388">
        <v>0</v>
      </c>
      <c r="R35" s="388">
        <f t="shared" si="4"/>
        <v>8309.76</v>
      </c>
      <c r="S35" s="9">
        <v>0</v>
      </c>
      <c r="T35" s="9"/>
      <c r="U35" s="746"/>
      <c r="V35" s="746"/>
      <c r="W35" s="745"/>
      <c r="X35" s="745"/>
      <c r="Y35" s="9"/>
      <c r="Z35" s="9"/>
      <c r="AA35" s="9"/>
    </row>
    <row r="36" spans="1:27">
      <c r="A36" s="31" t="str">
        <f>+'WP-2, pg 2 - Labor Increase'!A36</f>
        <v>OFFICE/ADMIN</v>
      </c>
      <c r="B36" s="495"/>
      <c r="C36" s="495"/>
      <c r="D36" s="390">
        <f>SUM(D18:D31)</f>
        <v>15316.56</v>
      </c>
      <c r="E36" s="390">
        <f>SUM(E18:E31)</f>
        <v>1086</v>
      </c>
      <c r="F36" s="390">
        <f t="shared" ref="F36:N36" si="5">SUM(F18:F31)</f>
        <v>202.8</v>
      </c>
      <c r="G36" s="390">
        <f t="shared" si="5"/>
        <v>0</v>
      </c>
      <c r="H36" s="390">
        <f t="shared" si="5"/>
        <v>0</v>
      </c>
      <c r="I36" s="390">
        <f t="shared" si="5"/>
        <v>0</v>
      </c>
      <c r="J36" s="390">
        <f t="shared" si="5"/>
        <v>0</v>
      </c>
      <c r="K36" s="390">
        <f t="shared" ref="K36" si="6">SUM(K18:K31)</f>
        <v>0</v>
      </c>
      <c r="L36" s="390">
        <f t="shared" ref="L36:M36" si="7">SUM(L18:L31)</f>
        <v>0</v>
      </c>
      <c r="M36" s="390">
        <f t="shared" si="7"/>
        <v>0</v>
      </c>
      <c r="N36" s="390">
        <f t="shared" si="5"/>
        <v>0</v>
      </c>
      <c r="O36" s="390">
        <f>SUM(O18:O31)</f>
        <v>16605.359999999997</v>
      </c>
      <c r="P36" s="845">
        <f>SUM(P18:P35)</f>
        <v>24929.279999999999</v>
      </c>
      <c r="Q36" s="760">
        <f t="shared" ref="Q36:S36" si="8">SUM(Q18:Q35)</f>
        <v>0</v>
      </c>
      <c r="R36" s="760">
        <f t="shared" si="8"/>
        <v>24929.279999999999</v>
      </c>
      <c r="S36" s="760">
        <f t="shared" si="8"/>
        <v>0</v>
      </c>
      <c r="T36" s="9"/>
      <c r="U36" s="746"/>
      <c r="V36" s="746"/>
      <c r="W36" s="745"/>
      <c r="X36" s="745"/>
      <c r="Y36" s="9"/>
      <c r="Z36" s="9"/>
      <c r="AA36" s="9"/>
    </row>
    <row r="37" spans="1:27">
      <c r="D37" s="9"/>
      <c r="E37" s="9"/>
      <c r="F37" s="9"/>
      <c r="G37" s="9"/>
      <c r="H37" s="9"/>
      <c r="I37" s="9"/>
      <c r="J37" s="9"/>
      <c r="K37" s="9"/>
      <c r="L37" s="9"/>
      <c r="M37" s="9"/>
      <c r="N37" s="9"/>
      <c r="O37" s="9"/>
      <c r="P37" s="844"/>
      <c r="Q37" s="388"/>
      <c r="R37" s="388"/>
      <c r="S37" s="9"/>
      <c r="T37" s="9"/>
      <c r="U37" s="746"/>
      <c r="V37" s="746"/>
      <c r="W37" s="745"/>
      <c r="X37" s="745"/>
      <c r="Y37" s="9"/>
      <c r="Z37" s="9"/>
      <c r="AA37" s="9"/>
    </row>
    <row r="38" spans="1:27">
      <c r="A38" s="19" t="str">
        <f>+'WP-2, pg 2 - Labor Increase'!A38</f>
        <v>Michael R. Held</v>
      </c>
      <c r="B38" s="18" t="s">
        <v>104</v>
      </c>
      <c r="C38" s="18" t="s">
        <v>100</v>
      </c>
      <c r="D38" s="9">
        <v>7658.28</v>
      </c>
      <c r="E38" s="9">
        <v>1132.2</v>
      </c>
      <c r="F38" s="9">
        <v>152.1</v>
      </c>
      <c r="G38" s="9">
        <v>0</v>
      </c>
      <c r="H38" s="9">
        <v>0</v>
      </c>
      <c r="I38" s="9">
        <v>0</v>
      </c>
      <c r="J38" s="9">
        <v>0</v>
      </c>
      <c r="K38" s="9">
        <v>0</v>
      </c>
      <c r="L38" s="9"/>
      <c r="M38" s="9"/>
      <c r="N38" s="9">
        <v>0</v>
      </c>
      <c r="O38" s="9">
        <f>SUM(D38:N38)</f>
        <v>8942.58</v>
      </c>
      <c r="P38" s="844">
        <v>8898.9599999999991</v>
      </c>
      <c r="Q38" s="388">
        <v>0</v>
      </c>
      <c r="R38" s="388">
        <f t="shared" ref="R38:R51" si="9">P38+Q38</f>
        <v>8898.9599999999991</v>
      </c>
      <c r="S38" s="9">
        <v>0</v>
      </c>
      <c r="T38" s="9"/>
      <c r="U38" s="746"/>
      <c r="V38" s="746"/>
      <c r="W38" s="745"/>
      <c r="X38" s="745"/>
      <c r="Y38" s="9"/>
      <c r="Z38" s="9"/>
      <c r="AA38" s="9"/>
    </row>
    <row r="39" spans="1:27">
      <c r="A39" s="19" t="str">
        <f>+'WP-2, pg 2 - Labor Increase'!A39</f>
        <v>Dane . Felsted</v>
      </c>
      <c r="B39" s="18" t="s">
        <v>104</v>
      </c>
      <c r="C39" s="18" t="s">
        <v>104</v>
      </c>
      <c r="D39" s="9">
        <v>0</v>
      </c>
      <c r="E39" s="9">
        <v>0</v>
      </c>
      <c r="F39" s="9">
        <v>0</v>
      </c>
      <c r="G39" s="9">
        <v>0</v>
      </c>
      <c r="H39" s="9">
        <v>0</v>
      </c>
      <c r="I39" s="9">
        <v>0</v>
      </c>
      <c r="J39" s="9">
        <v>0</v>
      </c>
      <c r="K39" s="9">
        <v>0</v>
      </c>
      <c r="L39" s="9"/>
      <c r="M39" s="9"/>
      <c r="N39" s="9">
        <v>0</v>
      </c>
      <c r="O39" s="9">
        <f t="shared" ref="O39:O51" si="10">SUM(D39:N39)</f>
        <v>0</v>
      </c>
      <c r="P39" s="844">
        <v>0</v>
      </c>
      <c r="Q39" s="388">
        <v>0</v>
      </c>
      <c r="R39" s="388">
        <f t="shared" si="9"/>
        <v>0</v>
      </c>
      <c r="S39" s="9">
        <v>0</v>
      </c>
      <c r="T39" s="9"/>
      <c r="U39" s="746"/>
      <c r="V39" s="746"/>
      <c r="W39" s="745"/>
      <c r="X39" s="745"/>
      <c r="Y39" s="9"/>
      <c r="Z39" s="9"/>
      <c r="AA39" s="9"/>
    </row>
    <row r="40" spans="1:27">
      <c r="A40" s="19" t="str">
        <f>+'WP-2, pg 2 - Labor Increase'!A40</f>
        <v>Scot L. Askham</v>
      </c>
      <c r="B40" s="18" t="s">
        <v>104</v>
      </c>
      <c r="C40" s="18" t="s">
        <v>100</v>
      </c>
      <c r="D40" s="9">
        <v>0</v>
      </c>
      <c r="E40" s="9">
        <v>1132.2</v>
      </c>
      <c r="F40" s="9">
        <v>0</v>
      </c>
      <c r="G40" s="9">
        <v>0</v>
      </c>
      <c r="H40" s="9">
        <v>0</v>
      </c>
      <c r="I40" s="9">
        <v>0</v>
      </c>
      <c r="J40" s="9">
        <v>0</v>
      </c>
      <c r="K40" s="9">
        <v>0</v>
      </c>
      <c r="L40" s="9">
        <f>-M40</f>
        <v>1101.3600000000001</v>
      </c>
      <c r="M40" s="9">
        <f>-539.76-561.6</f>
        <v>-1101.3600000000001</v>
      </c>
      <c r="N40" s="9">
        <v>0</v>
      </c>
      <c r="O40" s="9">
        <f t="shared" si="10"/>
        <v>1132.2000000000003</v>
      </c>
      <c r="P40" s="844">
        <v>8797.56</v>
      </c>
      <c r="Q40" s="388">
        <v>0</v>
      </c>
      <c r="R40" s="388">
        <f t="shared" si="9"/>
        <v>8797.56</v>
      </c>
      <c r="S40" s="9">
        <v>0</v>
      </c>
      <c r="T40" s="9"/>
      <c r="U40" s="746"/>
      <c r="V40" s="746"/>
      <c r="W40" s="745"/>
      <c r="X40" s="745"/>
      <c r="Y40" s="9"/>
      <c r="Z40" s="9"/>
      <c r="AA40" s="9"/>
    </row>
    <row r="41" spans="1:27">
      <c r="A41" s="19" t="str">
        <f>+'WP-2, pg 2 - Labor Increase'!A41</f>
        <v>Isaac T. Anderson</v>
      </c>
      <c r="B41" s="18" t="s">
        <v>104</v>
      </c>
      <c r="C41" s="18" t="s">
        <v>100</v>
      </c>
      <c r="D41" s="9">
        <v>7658.28</v>
      </c>
      <c r="E41" s="9">
        <v>543</v>
      </c>
      <c r="F41" s="9">
        <v>101.4</v>
      </c>
      <c r="G41" s="9">
        <v>0</v>
      </c>
      <c r="H41" s="9">
        <v>0</v>
      </c>
      <c r="I41" s="9">
        <v>0</v>
      </c>
      <c r="J41" s="9">
        <v>0</v>
      </c>
      <c r="K41" s="9">
        <v>0</v>
      </c>
      <c r="L41" s="9">
        <f>-M41</f>
        <v>973.44</v>
      </c>
      <c r="M41" s="9">
        <f>-411.84-561.6</f>
        <v>-973.44</v>
      </c>
      <c r="N41" s="9">
        <v>0</v>
      </c>
      <c r="O41" s="9">
        <f t="shared" si="10"/>
        <v>8302.6799999999985</v>
      </c>
      <c r="P41" s="844">
        <v>0</v>
      </c>
      <c r="Q41" s="388">
        <v>0</v>
      </c>
      <c r="R41" s="388">
        <f t="shared" si="9"/>
        <v>0</v>
      </c>
      <c r="S41" s="9">
        <v>0</v>
      </c>
      <c r="T41" s="9"/>
      <c r="U41" s="746"/>
      <c r="V41" s="746"/>
      <c r="W41" s="745"/>
      <c r="X41" s="745"/>
      <c r="Y41" s="9"/>
      <c r="Z41" s="9"/>
      <c r="AA41" s="9"/>
    </row>
    <row r="42" spans="1:27">
      <c r="A42" s="19" t="str">
        <f>+'WP-2, pg 2 - Labor Increase'!A42</f>
        <v>Jason T. Martin</v>
      </c>
      <c r="B42" s="18" t="s">
        <v>104</v>
      </c>
      <c r="C42" s="18" t="s">
        <v>100</v>
      </c>
      <c r="D42" s="9">
        <v>0</v>
      </c>
      <c r="E42" s="9">
        <v>543</v>
      </c>
      <c r="F42" s="9">
        <v>0</v>
      </c>
      <c r="G42" s="9">
        <v>0</v>
      </c>
      <c r="H42" s="9">
        <v>0</v>
      </c>
      <c r="I42" s="9">
        <v>0</v>
      </c>
      <c r="J42" s="9">
        <v>0</v>
      </c>
      <c r="K42" s="9">
        <v>0</v>
      </c>
      <c r="L42" s="9"/>
      <c r="M42" s="9"/>
      <c r="N42" s="9">
        <v>0</v>
      </c>
      <c r="O42" s="9">
        <f t="shared" si="10"/>
        <v>543</v>
      </c>
      <c r="P42" s="844">
        <v>0</v>
      </c>
      <c r="Q42" s="388">
        <v>0</v>
      </c>
      <c r="R42" s="388">
        <f t="shared" si="9"/>
        <v>0</v>
      </c>
      <c r="S42" s="9">
        <v>0</v>
      </c>
      <c r="T42" s="9"/>
      <c r="U42" s="746"/>
      <c r="V42" s="746"/>
      <c r="W42" s="745"/>
      <c r="X42" s="745"/>
      <c r="Y42" s="9"/>
      <c r="Z42" s="9"/>
      <c r="AA42" s="9"/>
    </row>
    <row r="43" spans="1:27">
      <c r="A43" s="19" t="str">
        <f>+'WP-2, pg 2 - Labor Increase'!A43</f>
        <v>James D. Thompson</v>
      </c>
      <c r="B43" s="18" t="s">
        <v>104</v>
      </c>
      <c r="C43" s="18" t="s">
        <v>100</v>
      </c>
      <c r="D43" s="9">
        <v>7658.28</v>
      </c>
      <c r="E43" s="9">
        <v>1132.2</v>
      </c>
      <c r="F43" s="9">
        <v>197.2</v>
      </c>
      <c r="G43" s="9">
        <v>0</v>
      </c>
      <c r="H43" s="9">
        <v>0</v>
      </c>
      <c r="I43" s="9">
        <v>0</v>
      </c>
      <c r="J43" s="9">
        <v>0</v>
      </c>
      <c r="K43" s="9">
        <v>0</v>
      </c>
      <c r="L43" s="9">
        <f>-M43</f>
        <v>588.12</v>
      </c>
      <c r="M43" s="9">
        <v>-588.12</v>
      </c>
      <c r="N43" s="9">
        <v>0</v>
      </c>
      <c r="O43" s="9">
        <f t="shared" si="10"/>
        <v>8987.68</v>
      </c>
      <c r="P43" s="844">
        <v>8959.7999999999993</v>
      </c>
      <c r="Q43" s="388">
        <v>0</v>
      </c>
      <c r="R43" s="388">
        <f t="shared" si="9"/>
        <v>8959.7999999999993</v>
      </c>
      <c r="S43" s="9">
        <v>0</v>
      </c>
      <c r="T43" s="9"/>
      <c r="U43" s="746"/>
      <c r="V43" s="746"/>
      <c r="W43" s="745"/>
      <c r="X43" s="745"/>
      <c r="Y43" s="9"/>
      <c r="Z43" s="9"/>
      <c r="AA43" s="9"/>
    </row>
    <row r="44" spans="1:27">
      <c r="A44" s="19" t="str">
        <f>+'WP-2, pg 2 - Labor Increase'!A44</f>
        <v>Eric R. Gibson</v>
      </c>
      <c r="B44" s="18" t="s">
        <v>104</v>
      </c>
      <c r="C44" s="18" t="s">
        <v>100</v>
      </c>
      <c r="D44" s="9">
        <v>15316.56</v>
      </c>
      <c r="E44" s="9">
        <v>1132.2</v>
      </c>
      <c r="F44" s="9">
        <v>162.24</v>
      </c>
      <c r="G44" s="9">
        <v>0</v>
      </c>
      <c r="H44" s="9">
        <v>0</v>
      </c>
      <c r="I44" s="9">
        <v>0</v>
      </c>
      <c r="J44" s="9">
        <v>0</v>
      </c>
      <c r="K44" s="9">
        <v>0</v>
      </c>
      <c r="L44" s="9">
        <f>-M44</f>
        <v>973.44</v>
      </c>
      <c r="M44" s="9">
        <f>-411.84-561.6</f>
        <v>-973.44</v>
      </c>
      <c r="N44" s="9">
        <v>-2577.88</v>
      </c>
      <c r="O44" s="9">
        <f t="shared" si="10"/>
        <v>14033.119999999999</v>
      </c>
      <c r="P44" s="844">
        <v>16625.16</v>
      </c>
      <c r="Q44" s="388">
        <f>-103.1*26</f>
        <v>-2680.6</v>
      </c>
      <c r="R44" s="388">
        <f t="shared" si="9"/>
        <v>13944.56</v>
      </c>
      <c r="S44" s="9">
        <v>0</v>
      </c>
      <c r="T44" s="9"/>
      <c r="U44" s="746"/>
      <c r="V44" s="746"/>
      <c r="W44" s="745"/>
      <c r="X44" s="745"/>
      <c r="Y44" s="9"/>
      <c r="Z44" s="9"/>
      <c r="AA44" s="9"/>
    </row>
    <row r="45" spans="1:27">
      <c r="A45" s="19" t="str">
        <f>+'WP-2, pg 2 - Labor Increase'!A45</f>
        <v>Sean M. DeWald</v>
      </c>
      <c r="B45" s="18" t="s">
        <v>104</v>
      </c>
      <c r="C45" s="18" t="s">
        <v>104</v>
      </c>
      <c r="D45" s="9">
        <v>0</v>
      </c>
      <c r="E45" s="9">
        <v>0</v>
      </c>
      <c r="F45" s="9">
        <v>0</v>
      </c>
      <c r="G45" s="9">
        <v>0</v>
      </c>
      <c r="H45" s="9">
        <v>0</v>
      </c>
      <c r="I45" s="9">
        <v>0</v>
      </c>
      <c r="J45" s="9">
        <v>0</v>
      </c>
      <c r="K45" s="9">
        <v>0</v>
      </c>
      <c r="L45" s="9"/>
      <c r="M45" s="9"/>
      <c r="N45" s="9">
        <v>0</v>
      </c>
      <c r="O45" s="9">
        <f t="shared" si="10"/>
        <v>0</v>
      </c>
      <c r="P45" s="844">
        <v>8309.76</v>
      </c>
      <c r="Q45" s="388">
        <v>0</v>
      </c>
      <c r="R45" s="388">
        <f t="shared" si="9"/>
        <v>8309.76</v>
      </c>
      <c r="S45" s="9">
        <v>0</v>
      </c>
      <c r="T45" s="9"/>
      <c r="U45" s="746"/>
      <c r="V45" s="746"/>
      <c r="W45" s="745"/>
      <c r="X45" s="745"/>
      <c r="Y45" s="9"/>
      <c r="Z45" s="9"/>
      <c r="AA45" s="9"/>
    </row>
    <row r="46" spans="1:27">
      <c r="A46" s="19" t="str">
        <f>+'WP-2, pg 2 - Labor Increase'!A46</f>
        <v>Bryan D. Johnson</v>
      </c>
      <c r="B46" s="18" t="s">
        <v>104</v>
      </c>
      <c r="C46" s="18" t="s">
        <v>100</v>
      </c>
      <c r="D46" s="9">
        <v>7658.28</v>
      </c>
      <c r="E46" s="9">
        <v>543</v>
      </c>
      <c r="F46" s="9">
        <v>101.4</v>
      </c>
      <c r="G46" s="9">
        <v>0</v>
      </c>
      <c r="H46" s="9">
        <v>0</v>
      </c>
      <c r="I46" s="9">
        <v>0</v>
      </c>
      <c r="J46" s="9">
        <v>0</v>
      </c>
      <c r="K46" s="9">
        <v>0</v>
      </c>
      <c r="L46" s="9">
        <f>-M46</f>
        <v>411.84</v>
      </c>
      <c r="M46" s="9">
        <v>-411.84</v>
      </c>
      <c r="N46" s="9">
        <v>0</v>
      </c>
      <c r="O46" s="9">
        <f t="shared" si="10"/>
        <v>8302.6799999999985</v>
      </c>
      <c r="P46" s="844">
        <v>8309.76</v>
      </c>
      <c r="Q46" s="388">
        <v>0</v>
      </c>
      <c r="R46" s="388">
        <f t="shared" si="9"/>
        <v>8309.76</v>
      </c>
      <c r="S46" s="9">
        <v>0</v>
      </c>
      <c r="T46" s="9"/>
      <c r="U46" s="746"/>
      <c r="V46" s="746"/>
      <c r="W46" s="745"/>
      <c r="X46" s="745"/>
      <c r="Y46" s="9"/>
      <c r="Z46" s="9"/>
      <c r="AA46" s="9"/>
    </row>
    <row r="47" spans="1:27">
      <c r="A47" s="19" t="str">
        <f>+'WP-2, pg 2 - Labor Increase'!A47</f>
        <v>Justin S. Holt</v>
      </c>
      <c r="B47" s="18" t="s">
        <v>104</v>
      </c>
      <c r="C47" s="18" t="s">
        <v>100</v>
      </c>
      <c r="D47" s="9">
        <v>21862.080000000002</v>
      </c>
      <c r="E47" s="9">
        <v>1775.4</v>
      </c>
      <c r="F47" s="9">
        <v>267.12</v>
      </c>
      <c r="G47" s="9">
        <v>0</v>
      </c>
      <c r="H47" s="9">
        <v>0</v>
      </c>
      <c r="I47" s="9">
        <v>0</v>
      </c>
      <c r="J47" s="9">
        <v>0</v>
      </c>
      <c r="K47" s="9">
        <v>0</v>
      </c>
      <c r="L47" s="9"/>
      <c r="M47" s="9"/>
      <c r="N47" s="9">
        <v>-4805.5200000000004</v>
      </c>
      <c r="O47" s="9">
        <f t="shared" si="10"/>
        <v>19099.080000000002</v>
      </c>
      <c r="P47" s="844">
        <v>23950.44</v>
      </c>
      <c r="Q47" s="388">
        <f>-191.21*26</f>
        <v>-4971.46</v>
      </c>
      <c r="R47" s="388">
        <f t="shared" si="9"/>
        <v>18978.98</v>
      </c>
      <c r="S47" s="9">
        <v>0</v>
      </c>
      <c r="T47" s="9"/>
      <c r="U47" s="746"/>
      <c r="V47" s="746"/>
      <c r="W47" s="745"/>
      <c r="X47" s="745"/>
      <c r="Y47" s="9"/>
      <c r="Z47" s="9"/>
      <c r="AA47" s="9"/>
    </row>
    <row r="48" spans="1:27">
      <c r="A48" s="19" t="str">
        <f>+'WP-2, pg 2 - Labor Increase'!A48</f>
        <v>Tim A. Holt</v>
      </c>
      <c r="B48" s="18" t="s">
        <v>104</v>
      </c>
      <c r="C48" s="18" t="s">
        <v>100</v>
      </c>
      <c r="D48" s="9">
        <v>7658.28</v>
      </c>
      <c r="E48" s="9">
        <v>543</v>
      </c>
      <c r="F48" s="9">
        <v>101.4</v>
      </c>
      <c r="G48" s="9">
        <v>0</v>
      </c>
      <c r="H48" s="9">
        <v>0</v>
      </c>
      <c r="I48" s="9">
        <v>0</v>
      </c>
      <c r="J48" s="9">
        <v>0</v>
      </c>
      <c r="K48" s="9">
        <v>0</v>
      </c>
      <c r="L48" s="9"/>
      <c r="M48" s="9"/>
      <c r="N48" s="9">
        <v>0</v>
      </c>
      <c r="O48" s="9">
        <f t="shared" si="10"/>
        <v>8302.6799999999985</v>
      </c>
      <c r="P48" s="844">
        <v>8309.76</v>
      </c>
      <c r="Q48" s="388">
        <v>0</v>
      </c>
      <c r="R48" s="388">
        <f t="shared" si="9"/>
        <v>8309.76</v>
      </c>
      <c r="S48" s="9">
        <v>0</v>
      </c>
      <c r="T48" s="9"/>
      <c r="U48" s="746"/>
      <c r="V48" s="746"/>
      <c r="W48" s="745"/>
      <c r="X48" s="745"/>
      <c r="Y48" s="9"/>
      <c r="Z48" s="9"/>
      <c r="AA48" s="9"/>
    </row>
    <row r="49" spans="1:29">
      <c r="A49" s="874" t="s">
        <v>972</v>
      </c>
      <c r="B49" s="18" t="s">
        <v>104</v>
      </c>
      <c r="C49" s="18" t="s">
        <v>100</v>
      </c>
      <c r="D49" s="9"/>
      <c r="E49" s="9"/>
      <c r="F49" s="9"/>
      <c r="G49" s="9"/>
      <c r="H49" s="9"/>
      <c r="I49" s="9"/>
      <c r="J49" s="9"/>
      <c r="K49" s="9"/>
      <c r="L49" s="9"/>
      <c r="M49" s="9"/>
      <c r="N49" s="9"/>
      <c r="O49" s="9"/>
      <c r="P49" s="844">
        <v>0</v>
      </c>
      <c r="Q49" s="388">
        <v>0</v>
      </c>
      <c r="R49" s="388">
        <f t="shared" si="9"/>
        <v>0</v>
      </c>
      <c r="S49" s="9">
        <v>0</v>
      </c>
      <c r="T49" s="9"/>
      <c r="U49" s="746"/>
      <c r="V49" s="746"/>
      <c r="W49" s="745"/>
      <c r="X49" s="745"/>
      <c r="Y49" s="9"/>
      <c r="Z49" s="9"/>
      <c r="AA49" s="9"/>
    </row>
    <row r="50" spans="1:29">
      <c r="A50" s="874" t="s">
        <v>973</v>
      </c>
      <c r="B50" s="18" t="s">
        <v>104</v>
      </c>
      <c r="C50" s="18" t="s">
        <v>100</v>
      </c>
      <c r="D50" s="9"/>
      <c r="E50" s="9"/>
      <c r="F50" s="9"/>
      <c r="G50" s="9"/>
      <c r="H50" s="9"/>
      <c r="I50" s="9"/>
      <c r="J50" s="9"/>
      <c r="K50" s="9"/>
      <c r="L50" s="9"/>
      <c r="M50" s="9"/>
      <c r="N50" s="9"/>
      <c r="O50" s="9"/>
      <c r="P50" s="844">
        <v>8309.76</v>
      </c>
      <c r="Q50" s="388">
        <v>0</v>
      </c>
      <c r="R50" s="388">
        <f t="shared" si="9"/>
        <v>8309.76</v>
      </c>
      <c r="S50" s="9">
        <v>0</v>
      </c>
      <c r="T50" s="9"/>
      <c r="U50" s="746"/>
      <c r="V50" s="746"/>
      <c r="W50" s="745"/>
      <c r="X50" s="745"/>
      <c r="Y50" s="9"/>
      <c r="Z50" s="9"/>
      <c r="AA50" s="9"/>
    </row>
    <row r="51" spans="1:29">
      <c r="A51" s="874" t="s">
        <v>974</v>
      </c>
      <c r="B51" s="18" t="s">
        <v>104</v>
      </c>
      <c r="C51" s="18" t="s">
        <v>100</v>
      </c>
      <c r="D51" s="9">
        <v>0</v>
      </c>
      <c r="E51" s="9">
        <v>0</v>
      </c>
      <c r="F51" s="9">
        <v>0</v>
      </c>
      <c r="G51" s="9">
        <v>0</v>
      </c>
      <c r="H51" s="9">
        <v>0</v>
      </c>
      <c r="I51" s="9">
        <v>0</v>
      </c>
      <c r="J51" s="9">
        <v>0</v>
      </c>
      <c r="K51" s="9">
        <v>0</v>
      </c>
      <c r="L51" s="9">
        <v>0</v>
      </c>
      <c r="M51" s="9">
        <v>0</v>
      </c>
      <c r="N51" s="9">
        <v>0</v>
      </c>
      <c r="O51" s="9">
        <f t="shared" si="10"/>
        <v>0</v>
      </c>
      <c r="P51" s="844">
        <v>16625.16</v>
      </c>
      <c r="Q51" s="388">
        <f>-103.1*26</f>
        <v>-2680.6</v>
      </c>
      <c r="R51" s="388">
        <f t="shared" si="9"/>
        <v>13944.56</v>
      </c>
      <c r="S51" s="9">
        <v>0</v>
      </c>
      <c r="T51" s="9"/>
      <c r="U51" s="746"/>
      <c r="V51" s="746"/>
      <c r="W51" s="745"/>
      <c r="X51" s="745"/>
      <c r="Y51" s="9"/>
      <c r="Z51" s="9"/>
      <c r="AA51" s="9"/>
    </row>
    <row r="52" spans="1:29">
      <c r="A52" s="31" t="str">
        <f>+'WP-2, pg 2 - Labor Increase'!A52</f>
        <v>DRIVERS</v>
      </c>
      <c r="B52" s="495"/>
      <c r="C52" s="495"/>
      <c r="D52" s="390">
        <f t="shared" ref="D52:O52" si="11">SUM(D38:D48)</f>
        <v>75470.040000000008</v>
      </c>
      <c r="E52" s="390">
        <f t="shared" si="11"/>
        <v>8476.2000000000007</v>
      </c>
      <c r="F52" s="390">
        <f t="shared" si="11"/>
        <v>1082.8600000000001</v>
      </c>
      <c r="G52" s="390">
        <f>SUM(G38:G51)</f>
        <v>0</v>
      </c>
      <c r="H52" s="390">
        <f>SUM(H38:H51)</f>
        <v>0</v>
      </c>
      <c r="I52" s="390">
        <f>SUM(I38:I51)</f>
        <v>0</v>
      </c>
      <c r="J52" s="390">
        <f>SUM(J38:J51)</f>
        <v>0</v>
      </c>
      <c r="K52" s="390">
        <f>SUM(K38:K51)</f>
        <v>0</v>
      </c>
      <c r="L52" s="390">
        <f t="shared" si="11"/>
        <v>4048.2000000000003</v>
      </c>
      <c r="M52" s="390">
        <f t="shared" si="11"/>
        <v>-4048.2000000000003</v>
      </c>
      <c r="N52" s="390">
        <f>SUM(N38:N51)</f>
        <v>-7383.4000000000005</v>
      </c>
      <c r="O52" s="390">
        <f t="shared" si="11"/>
        <v>77645.699999999983</v>
      </c>
      <c r="P52" s="845">
        <f>SUM(P38:P51)</f>
        <v>117096.12</v>
      </c>
      <c r="Q52" s="760">
        <f t="shared" ref="Q52:R52" si="12">SUM(Q38:Q51)</f>
        <v>-10332.66</v>
      </c>
      <c r="R52" s="760">
        <f t="shared" si="12"/>
        <v>106763.45999999999</v>
      </c>
      <c r="S52" s="390">
        <f>SUM(S38:S51)</f>
        <v>0</v>
      </c>
      <c r="T52" s="9"/>
      <c r="U52" s="746"/>
      <c r="V52" s="746"/>
      <c r="W52" s="745"/>
      <c r="X52" s="745"/>
      <c r="Y52" s="9"/>
      <c r="Z52" s="9"/>
      <c r="AA52" s="9"/>
    </row>
    <row r="53" spans="1:29">
      <c r="D53" s="9"/>
      <c r="E53" s="9"/>
      <c r="F53" s="9"/>
      <c r="G53" s="9"/>
      <c r="H53" s="9"/>
      <c r="I53" s="9"/>
      <c r="J53" s="9"/>
      <c r="K53" s="9"/>
      <c r="L53" s="9"/>
      <c r="M53" s="9"/>
      <c r="N53" s="9"/>
      <c r="O53" s="9"/>
      <c r="P53" s="844"/>
      <c r="Q53" s="388"/>
      <c r="R53" s="388"/>
      <c r="S53" s="9"/>
      <c r="T53" s="9"/>
      <c r="U53" s="746"/>
      <c r="V53" s="746"/>
      <c r="W53" s="745"/>
      <c r="X53" s="745"/>
      <c r="Y53" s="9"/>
      <c r="Z53" s="9"/>
      <c r="AA53" s="9"/>
    </row>
    <row r="54" spans="1:29">
      <c r="A54" s="19" t="str">
        <f>+'WP-2, pg 2 - Labor Increase'!A54</f>
        <v>Ricky L. Gibson</v>
      </c>
      <c r="B54" s="18" t="s">
        <v>104</v>
      </c>
      <c r="C54" s="18" t="s">
        <v>100</v>
      </c>
      <c r="D54" s="9">
        <v>7658.28</v>
      </c>
      <c r="E54" s="9">
        <v>1132.2</v>
      </c>
      <c r="F54" s="9">
        <v>162.24</v>
      </c>
      <c r="G54" s="9">
        <v>0</v>
      </c>
      <c r="H54" s="9">
        <v>0</v>
      </c>
      <c r="I54" s="9">
        <v>0</v>
      </c>
      <c r="J54" s="9">
        <v>0</v>
      </c>
      <c r="K54" s="9">
        <v>0</v>
      </c>
      <c r="L54" s="9">
        <f>-M54</f>
        <v>774.02</v>
      </c>
      <c r="M54" s="9">
        <v>-774.02</v>
      </c>
      <c r="N54" s="9">
        <v>0</v>
      </c>
      <c r="O54" s="9">
        <f>SUM(D54:N54)</f>
        <v>8952.7199999999993</v>
      </c>
      <c r="P54" s="844">
        <v>8959.7999999999993</v>
      </c>
      <c r="Q54" s="388">
        <v>0</v>
      </c>
      <c r="R54" s="388">
        <f t="shared" ref="R54:R58" si="13">P54+Q54</f>
        <v>8959.7999999999993</v>
      </c>
      <c r="S54" s="9">
        <v>0</v>
      </c>
      <c r="T54" s="9"/>
      <c r="U54" s="746"/>
      <c r="V54" s="746"/>
      <c r="W54" s="745"/>
      <c r="X54" s="745"/>
      <c r="Y54" s="9"/>
      <c r="Z54" s="9"/>
      <c r="AA54" s="9"/>
    </row>
    <row r="55" spans="1:29">
      <c r="A55" s="19" t="str">
        <f>+'WP-2, pg 2 - Labor Increase'!A55</f>
        <v>Roman G. Felsted</v>
      </c>
      <c r="B55" s="18" t="s">
        <v>104</v>
      </c>
      <c r="C55" s="18" t="s">
        <v>104</v>
      </c>
      <c r="D55" s="9">
        <v>0</v>
      </c>
      <c r="E55" s="9">
        <v>0</v>
      </c>
      <c r="F55" s="9">
        <v>0</v>
      </c>
      <c r="G55" s="9">
        <v>0</v>
      </c>
      <c r="H55" s="9">
        <v>0</v>
      </c>
      <c r="I55" s="9">
        <v>0</v>
      </c>
      <c r="J55" s="9">
        <v>0</v>
      </c>
      <c r="K55" s="9">
        <v>0</v>
      </c>
      <c r="L55" s="9"/>
      <c r="M55" s="9"/>
      <c r="N55" s="9">
        <v>0</v>
      </c>
      <c r="O55" s="9">
        <f t="shared" ref="O55:O56" si="14">SUM(D55:N55)</f>
        <v>0</v>
      </c>
      <c r="P55" s="844">
        <v>0</v>
      </c>
      <c r="Q55" s="388">
        <v>0</v>
      </c>
      <c r="R55" s="388">
        <f t="shared" si="13"/>
        <v>0</v>
      </c>
      <c r="S55" s="9">
        <v>0</v>
      </c>
      <c r="T55" s="9"/>
      <c r="U55" s="746"/>
      <c r="V55" s="746"/>
      <c r="W55" s="745"/>
      <c r="X55" s="745"/>
      <c r="Y55" s="9"/>
      <c r="Z55" s="9"/>
      <c r="AA55" s="9"/>
    </row>
    <row r="56" spans="1:29">
      <c r="A56" s="19" t="str">
        <f>+'WP-2, pg 2 - Labor Increase'!A56</f>
        <v>Alex B. Pecora</v>
      </c>
      <c r="B56" s="18" t="s">
        <v>104</v>
      </c>
      <c r="C56" s="18" t="s">
        <v>104</v>
      </c>
      <c r="D56" s="9">
        <v>0</v>
      </c>
      <c r="E56" s="9">
        <v>0</v>
      </c>
      <c r="F56" s="9">
        <v>0</v>
      </c>
      <c r="G56" s="9">
        <v>0</v>
      </c>
      <c r="H56" s="9">
        <v>0</v>
      </c>
      <c r="I56" s="9">
        <v>0</v>
      </c>
      <c r="J56" s="9">
        <v>0</v>
      </c>
      <c r="K56" s="9">
        <v>0</v>
      </c>
      <c r="L56" s="9"/>
      <c r="M56" s="9"/>
      <c r="N56" s="9">
        <v>0</v>
      </c>
      <c r="O56" s="9">
        <f t="shared" si="14"/>
        <v>0</v>
      </c>
      <c r="P56" s="844">
        <v>0</v>
      </c>
      <c r="Q56" s="388">
        <v>0</v>
      </c>
      <c r="R56" s="388">
        <f t="shared" si="13"/>
        <v>0</v>
      </c>
      <c r="S56" s="9">
        <v>0</v>
      </c>
      <c r="T56" s="9"/>
      <c r="U56" s="746"/>
      <c r="V56" s="746"/>
      <c r="W56" s="745"/>
      <c r="X56" s="745"/>
      <c r="Y56" s="9"/>
      <c r="Z56" s="9"/>
      <c r="AA56" s="9"/>
    </row>
    <row r="57" spans="1:29">
      <c r="A57" s="874" t="s">
        <v>970</v>
      </c>
      <c r="B57" s="18" t="s">
        <v>104</v>
      </c>
      <c r="C57" s="18" t="s">
        <v>104</v>
      </c>
      <c r="D57" s="9"/>
      <c r="E57" s="9"/>
      <c r="F57" s="9"/>
      <c r="G57" s="9"/>
      <c r="H57" s="9"/>
      <c r="I57" s="9"/>
      <c r="J57" s="9"/>
      <c r="K57" s="9"/>
      <c r="L57" s="9"/>
      <c r="M57" s="9"/>
      <c r="N57" s="9"/>
      <c r="O57" s="9"/>
      <c r="P57" s="844">
        <v>0</v>
      </c>
      <c r="Q57" s="388">
        <v>0</v>
      </c>
      <c r="R57" s="388">
        <f t="shared" si="13"/>
        <v>0</v>
      </c>
      <c r="S57" s="9">
        <v>0</v>
      </c>
      <c r="T57" s="9"/>
      <c r="U57" s="746"/>
      <c r="V57" s="746"/>
      <c r="W57" s="745"/>
      <c r="X57" s="745"/>
      <c r="Y57" s="9"/>
      <c r="Z57" s="9"/>
      <c r="AA57" s="9"/>
    </row>
    <row r="58" spans="1:29">
      <c r="A58" s="874" t="s">
        <v>971</v>
      </c>
      <c r="B58" s="18" t="s">
        <v>104</v>
      </c>
      <c r="C58" s="18" t="s">
        <v>104</v>
      </c>
      <c r="D58" s="9"/>
      <c r="E58" s="9"/>
      <c r="F58" s="9"/>
      <c r="G58" s="9"/>
      <c r="H58" s="9"/>
      <c r="I58" s="9"/>
      <c r="J58" s="9"/>
      <c r="K58" s="9"/>
      <c r="L58" s="9"/>
      <c r="M58" s="9"/>
      <c r="N58" s="9"/>
      <c r="O58" s="9"/>
      <c r="P58" s="844">
        <v>0</v>
      </c>
      <c r="Q58" s="388">
        <v>0</v>
      </c>
      <c r="R58" s="388">
        <f t="shared" si="13"/>
        <v>0</v>
      </c>
      <c r="S58" s="9">
        <v>0</v>
      </c>
      <c r="T58" s="9"/>
      <c r="U58" s="746"/>
      <c r="V58" s="746"/>
      <c r="W58" s="745"/>
      <c r="X58" s="745"/>
      <c r="Y58" s="9"/>
      <c r="Z58" s="9"/>
      <c r="AA58" s="9"/>
    </row>
    <row r="59" spans="1:29">
      <c r="A59" s="31" t="str">
        <f>'WP-2 - Labor Analysis'!A57</f>
        <v>MECHANICS</v>
      </c>
      <c r="B59" s="495"/>
      <c r="C59" s="495"/>
      <c r="D59" s="390">
        <f t="shared" ref="D59:O59" si="15">SUM(D54:D56)</f>
        <v>7658.28</v>
      </c>
      <c r="E59" s="390">
        <f t="shared" si="15"/>
        <v>1132.2</v>
      </c>
      <c r="F59" s="390">
        <f t="shared" si="15"/>
        <v>162.24</v>
      </c>
      <c r="G59" s="390">
        <f t="shared" si="15"/>
        <v>0</v>
      </c>
      <c r="H59" s="390">
        <f t="shared" si="15"/>
        <v>0</v>
      </c>
      <c r="I59" s="390">
        <f t="shared" si="15"/>
        <v>0</v>
      </c>
      <c r="J59" s="390">
        <f t="shared" si="15"/>
        <v>0</v>
      </c>
      <c r="K59" s="390">
        <f t="shared" si="15"/>
        <v>0</v>
      </c>
      <c r="L59" s="390">
        <f t="shared" si="15"/>
        <v>774.02</v>
      </c>
      <c r="M59" s="390">
        <f t="shared" si="15"/>
        <v>-774.02</v>
      </c>
      <c r="N59" s="390">
        <f t="shared" si="15"/>
        <v>0</v>
      </c>
      <c r="O59" s="390">
        <f t="shared" si="15"/>
        <v>8952.7199999999993</v>
      </c>
      <c r="P59" s="845">
        <f>SUM(P54:P58)</f>
        <v>8959.7999999999993</v>
      </c>
      <c r="Q59" s="760">
        <f t="shared" ref="Q59:S59" si="16">SUM(Q54:Q58)</f>
        <v>0</v>
      </c>
      <c r="R59" s="760">
        <f t="shared" si="16"/>
        <v>8959.7999999999993</v>
      </c>
      <c r="S59" s="760">
        <f t="shared" si="16"/>
        <v>0</v>
      </c>
      <c r="T59" s="9"/>
      <c r="U59" s="746"/>
      <c r="V59" s="746"/>
      <c r="W59" s="745"/>
      <c r="X59" s="745"/>
      <c r="Y59" s="9"/>
      <c r="Z59" s="9"/>
      <c r="AA59" s="9"/>
    </row>
    <row r="60" spans="1:29">
      <c r="D60" s="9"/>
      <c r="E60" s="9"/>
      <c r="F60" s="9"/>
      <c r="G60" s="9"/>
      <c r="H60" s="9"/>
      <c r="I60" s="9"/>
      <c r="J60" s="9"/>
      <c r="K60" s="9"/>
      <c r="L60" s="9"/>
      <c r="M60" s="9"/>
      <c r="N60" s="9"/>
      <c r="O60" s="9"/>
      <c r="P60" s="844"/>
      <c r="Q60" s="388"/>
      <c r="R60" s="388"/>
      <c r="S60" s="9"/>
      <c r="T60" s="9"/>
      <c r="U60" s="746"/>
      <c r="V60" s="746"/>
      <c r="W60" s="745"/>
      <c r="X60" s="745"/>
      <c r="Y60" s="9"/>
      <c r="Z60" s="9"/>
      <c r="AA60" s="9"/>
    </row>
    <row r="61" spans="1:29" ht="16.5" thickBot="1">
      <c r="A61" s="18"/>
      <c r="D61" s="11">
        <f>+D59+D52+D36+D16</f>
        <v>131238</v>
      </c>
      <c r="E61" s="11">
        <f t="shared" ref="E61:M61" si="17">+E59+E52+E36+E16</f>
        <v>14688.000000000002</v>
      </c>
      <c r="F61" s="11">
        <f t="shared" si="17"/>
        <v>2019.2200000000003</v>
      </c>
      <c r="G61" s="11">
        <f t="shared" si="17"/>
        <v>5928</v>
      </c>
      <c r="H61" s="11">
        <f t="shared" si="17"/>
        <v>54</v>
      </c>
      <c r="I61" s="11">
        <f t="shared" si="17"/>
        <v>25050</v>
      </c>
      <c r="J61" s="11">
        <f t="shared" si="17"/>
        <v>4718.1000000000004</v>
      </c>
      <c r="K61" s="11">
        <f t="shared" si="17"/>
        <v>956</v>
      </c>
      <c r="L61" s="11">
        <f t="shared" si="17"/>
        <v>6280.82</v>
      </c>
      <c r="M61" s="11">
        <f t="shared" si="17"/>
        <v>-6280.82</v>
      </c>
      <c r="N61" s="11">
        <f t="shared" ref="N61:S61" si="18">+N59+N52+N36+N16</f>
        <v>-13384.76</v>
      </c>
      <c r="O61" s="11">
        <f t="shared" si="18"/>
        <v>171266.56</v>
      </c>
      <c r="P61" s="11">
        <f t="shared" si="18"/>
        <v>194680</v>
      </c>
      <c r="Q61" s="11">
        <f t="shared" si="18"/>
        <v>-16449.68</v>
      </c>
      <c r="R61" s="11">
        <f t="shared" si="18"/>
        <v>178230.31999999998</v>
      </c>
      <c r="S61" s="11">
        <f t="shared" si="18"/>
        <v>32748.799999999999</v>
      </c>
      <c r="T61" s="9"/>
      <c r="U61" s="746"/>
      <c r="V61" s="746"/>
      <c r="W61" s="746"/>
      <c r="X61" s="746"/>
      <c r="Y61" s="746"/>
      <c r="Z61" s="746"/>
      <c r="AA61" s="746"/>
      <c r="AB61" s="746"/>
      <c r="AC61" s="746"/>
    </row>
    <row r="62" spans="1:29" ht="16.5" thickTop="1">
      <c r="D62" s="60"/>
      <c r="E62" s="60"/>
      <c r="F62" s="60"/>
      <c r="G62" s="60"/>
      <c r="H62" s="60"/>
      <c r="I62" s="60"/>
      <c r="J62" s="60"/>
      <c r="K62" s="60"/>
      <c r="L62" s="60"/>
      <c r="M62" s="60"/>
      <c r="N62" s="60"/>
      <c r="O62" s="60"/>
      <c r="P62" s="60"/>
      <c r="Q62" s="60"/>
      <c r="R62" s="60"/>
      <c r="S62" s="9"/>
      <c r="T62" s="9"/>
      <c r="U62" s="746"/>
      <c r="V62" s="746"/>
      <c r="W62" s="745"/>
      <c r="X62" s="745"/>
      <c r="Y62" s="9"/>
      <c r="Z62" s="9"/>
      <c r="AA62" s="9"/>
    </row>
    <row r="63" spans="1:29">
      <c r="A63" s="446"/>
      <c r="B63" s="446"/>
      <c r="C63" s="446"/>
      <c r="P63" s="73"/>
      <c r="Q63" s="73"/>
      <c r="R63" s="847"/>
      <c r="S63" s="405"/>
      <c r="V63" s="405"/>
      <c r="W63" s="745"/>
      <c r="X63" s="745"/>
    </row>
    <row r="64" spans="1:29">
      <c r="A64" s="446"/>
      <c r="B64" s="446"/>
      <c r="C64" s="446"/>
      <c r="P64" s="848"/>
      <c r="Q64" s="848"/>
      <c r="R64" s="3"/>
      <c r="U64" s="393"/>
      <c r="V64" s="393"/>
      <c r="W64" s="745"/>
      <c r="X64" s="745"/>
    </row>
    <row r="65" spans="3:24">
      <c r="P65" s="848"/>
      <c r="Q65" s="848"/>
      <c r="R65" s="3"/>
      <c r="U65" s="393"/>
      <c r="V65" s="393"/>
      <c r="W65" s="745"/>
      <c r="X65" s="745"/>
    </row>
    <row r="66" spans="3:24">
      <c r="P66" s="848"/>
      <c r="Q66" s="848"/>
      <c r="R66" s="3"/>
      <c r="U66" s="393"/>
      <c r="V66" s="393"/>
      <c r="W66" s="745"/>
      <c r="X66" s="745"/>
    </row>
    <row r="67" spans="3:24">
      <c r="C67" s="18" t="s">
        <v>1022</v>
      </c>
      <c r="D67" s="6">
        <f>+D61+E61+F61+G61+H61+I61+J61+K61</f>
        <v>184651.32</v>
      </c>
      <c r="P67" s="848"/>
      <c r="Q67" s="848"/>
      <c r="R67" s="3"/>
      <c r="U67" s="393"/>
      <c r="V67" s="393"/>
      <c r="W67" s="745"/>
      <c r="X67" s="745"/>
    </row>
    <row r="68" spans="3:24">
      <c r="C68" s="18" t="s">
        <v>1023</v>
      </c>
      <c r="D68" s="6">
        <f>+N61</f>
        <v>-13384.76</v>
      </c>
      <c r="P68" s="848"/>
      <c r="Q68" s="848"/>
      <c r="R68" s="3"/>
      <c r="U68" s="393"/>
      <c r="V68" s="393"/>
      <c r="W68" s="745"/>
      <c r="X68" s="745"/>
    </row>
    <row r="69" spans="3:24">
      <c r="C69" s="18" t="s">
        <v>1024</v>
      </c>
      <c r="D69" s="6">
        <f>+D67+D68</f>
        <v>171266.56</v>
      </c>
    </row>
    <row r="70" spans="3:24">
      <c r="C70" s="68" t="s">
        <v>1025</v>
      </c>
    </row>
    <row r="71" spans="3:24">
      <c r="C71" s="68" t="s">
        <v>960</v>
      </c>
      <c r="D71" s="6">
        <v>-10936.5</v>
      </c>
    </row>
    <row r="72" spans="3:24">
      <c r="C72" s="68" t="s">
        <v>958</v>
      </c>
      <c r="D72" s="6">
        <v>-109.99</v>
      </c>
    </row>
    <row r="73" spans="3:24">
      <c r="C73" s="68" t="s">
        <v>958</v>
      </c>
      <c r="D73" s="841">
        <v>-35</v>
      </c>
    </row>
    <row r="74" spans="3:24">
      <c r="C74" s="68"/>
      <c r="D74" s="6">
        <f>SUM(D69:D73)</f>
        <v>160185.07</v>
      </c>
    </row>
    <row r="75" spans="3:24">
      <c r="C75" s="68" t="s">
        <v>959</v>
      </c>
      <c r="D75" s="841">
        <f>+'IS-PBC'!O66+'IS-PBC'!O68+'IS-PBC'!O71</f>
        <v>160155.77000000002</v>
      </c>
    </row>
    <row r="76" spans="3:24">
      <c r="C76" s="68" t="s">
        <v>893</v>
      </c>
      <c r="D76" s="6">
        <f>+D74-D75</f>
        <v>29.299999999988358</v>
      </c>
    </row>
  </sheetData>
  <mergeCells count="8">
    <mergeCell ref="D9:O9"/>
    <mergeCell ref="D10:O10"/>
    <mergeCell ref="A1:T1"/>
    <mergeCell ref="A3:T3"/>
    <mergeCell ref="A5:T5"/>
    <mergeCell ref="P7:R7"/>
    <mergeCell ref="D7:O7"/>
    <mergeCell ref="D8:O8"/>
  </mergeCells>
  <printOptions horizontalCentered="1"/>
  <pageMargins left="0.5" right="0.5" top="0.75" bottom="0.5" header="0" footer="0.25"/>
  <pageSetup scale="43"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1"/>
  <sheetViews>
    <sheetView topLeftCell="A2" zoomScaleNormal="100" workbookViewId="0">
      <selection activeCell="K30" sqref="K30"/>
    </sheetView>
  </sheetViews>
  <sheetFormatPr defaultColWidth="10.77734375" defaultRowHeight="15.75"/>
  <cols>
    <col min="1" max="1" width="21.77734375" style="14" customWidth="1"/>
    <col min="2" max="2" width="8" style="14" customWidth="1"/>
    <col min="3" max="3" width="13.33203125" style="14" customWidth="1"/>
    <col min="4" max="4" width="2.77734375" style="176" customWidth="1"/>
    <col min="5" max="5" width="13.33203125" style="14" customWidth="1"/>
    <col min="6" max="6" width="2.77734375" style="176" customWidth="1"/>
    <col min="7" max="7" width="13.33203125" style="14" customWidth="1"/>
    <col min="8" max="8" width="2.77734375" style="176" customWidth="1"/>
    <col min="9" max="9" width="13.33203125" style="14" customWidth="1"/>
    <col min="10" max="10" width="3" style="14" customWidth="1"/>
    <col min="11" max="16384" width="10.77734375" style="14"/>
  </cols>
  <sheetData>
    <row r="1" spans="1:13" ht="16.5" customHeight="1">
      <c r="A1" s="1038" t="str">
        <f>+'WP-2, pg 3 - Benefits Analysis'!A1:T1</f>
        <v>Pullman Disposal Services, Inc.</v>
      </c>
      <c r="B1" s="1038"/>
      <c r="C1" s="1038"/>
      <c r="D1" s="1038"/>
      <c r="E1" s="1038"/>
      <c r="F1" s="1038"/>
      <c r="G1" s="1038"/>
      <c r="H1" s="1038"/>
      <c r="I1" s="1038"/>
      <c r="J1" s="1038"/>
      <c r="K1" s="1038"/>
      <c r="L1" s="1038"/>
      <c r="M1" s="1038"/>
    </row>
    <row r="2" spans="1:13" ht="13.5" customHeight="1">
      <c r="A2" s="27"/>
      <c r="B2" s="27"/>
      <c r="I2" s="15"/>
    </row>
    <row r="3" spans="1:13" ht="16.5" customHeight="1">
      <c r="A3" s="1038" t="s">
        <v>266</v>
      </c>
      <c r="B3" s="1038"/>
      <c r="C3" s="1038"/>
      <c r="D3" s="1038"/>
      <c r="E3" s="1038"/>
      <c r="F3" s="1038"/>
      <c r="G3" s="1038"/>
      <c r="H3" s="1038"/>
      <c r="I3" s="1038"/>
      <c r="J3" s="1038"/>
      <c r="K3" s="1038"/>
      <c r="L3" s="1038"/>
      <c r="M3" s="1038"/>
    </row>
    <row r="4" spans="1:13">
      <c r="A4" s="37"/>
      <c r="B4" s="37"/>
      <c r="C4" s="37"/>
      <c r="D4" s="177"/>
      <c r="E4" s="37"/>
      <c r="F4" s="177"/>
      <c r="G4" s="37"/>
      <c r="H4" s="177"/>
      <c r="I4" s="37"/>
    </row>
    <row r="5" spans="1:13">
      <c r="A5" s="1038" t="str">
        <f>+'WP-2, pg 3 - Benefits Analysis'!A5:T5</f>
        <v>In Support of Tariff 18 effective January 1, 2020</v>
      </c>
      <c r="B5" s="1038"/>
      <c r="C5" s="1038"/>
      <c r="D5" s="1038"/>
      <c r="E5" s="1038"/>
      <c r="F5" s="1038"/>
      <c r="G5" s="1038"/>
      <c r="H5" s="1038"/>
      <c r="I5" s="1038"/>
      <c r="J5" s="1038"/>
      <c r="K5" s="1038"/>
      <c r="L5" s="1038"/>
      <c r="M5" s="1038"/>
    </row>
    <row r="6" spans="1:13">
      <c r="A6" s="25"/>
      <c r="B6" s="25"/>
      <c r="I6" s="15"/>
    </row>
    <row r="7" spans="1:13">
      <c r="A7" s="25"/>
      <c r="B7" s="25"/>
      <c r="I7" s="15"/>
    </row>
    <row r="8" spans="1:13" ht="15" customHeight="1">
      <c r="A8" s="25"/>
      <c r="B8" s="25"/>
      <c r="C8" s="54" t="s">
        <v>156</v>
      </c>
      <c r="D8" s="181"/>
      <c r="E8" s="181" t="s">
        <v>594</v>
      </c>
      <c r="F8" s="181"/>
      <c r="G8" s="54" t="s">
        <v>597</v>
      </c>
      <c r="H8" s="181"/>
      <c r="I8" s="131"/>
      <c r="J8" s="182"/>
      <c r="K8" s="54"/>
      <c r="L8" s="181"/>
      <c r="M8" s="132"/>
    </row>
    <row r="9" spans="1:13" ht="15" customHeight="1">
      <c r="C9" s="54" t="s">
        <v>157</v>
      </c>
      <c r="D9" s="181"/>
      <c r="E9" s="181" t="s">
        <v>595</v>
      </c>
      <c r="F9" s="181"/>
      <c r="G9" s="181" t="s">
        <v>598</v>
      </c>
      <c r="H9" s="181"/>
      <c r="I9" s="54" t="s">
        <v>592</v>
      </c>
      <c r="J9" s="181"/>
      <c r="K9" s="181"/>
      <c r="L9" s="132"/>
    </row>
    <row r="10" spans="1:13" ht="15" customHeight="1">
      <c r="C10" s="184" t="s">
        <v>92</v>
      </c>
      <c r="D10" s="181"/>
      <c r="E10" s="202" t="s">
        <v>596</v>
      </c>
      <c r="F10" s="181"/>
      <c r="G10" s="202" t="s">
        <v>599</v>
      </c>
      <c r="H10" s="181"/>
      <c r="I10" s="184" t="s">
        <v>593</v>
      </c>
      <c r="J10" s="181"/>
      <c r="K10" s="183" t="s">
        <v>0</v>
      </c>
      <c r="L10" s="183"/>
    </row>
    <row r="11" spans="1:13" ht="15" customHeight="1">
      <c r="C11" s="184"/>
      <c r="D11" s="181"/>
      <c r="E11" s="181"/>
      <c r="F11" s="181"/>
      <c r="G11" s="181"/>
      <c r="H11" s="181"/>
      <c r="I11" s="184"/>
      <c r="J11" s="181"/>
      <c r="K11" s="181"/>
      <c r="L11" s="183"/>
    </row>
    <row r="12" spans="1:13" ht="15" customHeight="1">
      <c r="A12" s="133" t="s">
        <v>83</v>
      </c>
      <c r="B12" s="133"/>
      <c r="C12" s="185">
        <v>970</v>
      </c>
      <c r="D12" s="178"/>
      <c r="E12" s="178"/>
      <c r="F12" s="178"/>
      <c r="G12" s="178"/>
      <c r="H12" s="178"/>
      <c r="I12" s="185"/>
      <c r="J12" s="178"/>
      <c r="K12" s="185">
        <f t="shared" ref="K12:K23" si="0">SUM(C12:J12)</f>
        <v>970</v>
      </c>
      <c r="L12" s="176"/>
    </row>
    <row r="13" spans="1:13" ht="15" customHeight="1">
      <c r="A13" s="133" t="s">
        <v>84</v>
      </c>
      <c r="B13" s="133"/>
      <c r="C13" s="21">
        <v>910</v>
      </c>
      <c r="D13" s="178"/>
      <c r="E13" s="178"/>
      <c r="F13" s="178"/>
      <c r="G13" s="178"/>
      <c r="H13" s="178"/>
      <c r="I13" s="21"/>
      <c r="J13" s="178"/>
      <c r="K13" s="21">
        <f t="shared" si="0"/>
        <v>910</v>
      </c>
      <c r="L13" s="176"/>
    </row>
    <row r="14" spans="1:13" ht="15" customHeight="1">
      <c r="A14" s="133" t="s">
        <v>85</v>
      </c>
      <c r="B14" s="133"/>
      <c r="C14" s="21">
        <v>910</v>
      </c>
      <c r="D14" s="178"/>
      <c r="E14" s="178"/>
      <c r="F14" s="178"/>
      <c r="G14" s="178"/>
      <c r="H14" s="178"/>
      <c r="I14" s="21"/>
      <c r="J14" s="178"/>
      <c r="K14" s="21">
        <f t="shared" si="0"/>
        <v>910</v>
      </c>
      <c r="L14" s="176"/>
    </row>
    <row r="15" spans="1:13" ht="15" customHeight="1">
      <c r="A15" s="133" t="s">
        <v>86</v>
      </c>
      <c r="B15" s="133"/>
      <c r="C15" s="21">
        <v>910</v>
      </c>
      <c r="D15" s="178"/>
      <c r="E15" s="178"/>
      <c r="F15" s="178"/>
      <c r="G15" s="178"/>
      <c r="H15" s="178"/>
      <c r="I15" s="21"/>
      <c r="J15" s="178"/>
      <c r="K15" s="21">
        <f t="shared" si="0"/>
        <v>910</v>
      </c>
      <c r="L15" s="176"/>
    </row>
    <row r="16" spans="1:13" ht="15" customHeight="1">
      <c r="A16" s="133" t="s">
        <v>87</v>
      </c>
      <c r="B16" s="133"/>
      <c r="C16" s="21">
        <v>910</v>
      </c>
      <c r="D16" s="178"/>
      <c r="E16" s="178"/>
      <c r="F16" s="178"/>
      <c r="G16" s="178"/>
      <c r="H16" s="178"/>
      <c r="I16" s="21"/>
      <c r="J16" s="178"/>
      <c r="K16" s="21">
        <f t="shared" si="0"/>
        <v>910</v>
      </c>
      <c r="L16" s="176"/>
    </row>
    <row r="17" spans="1:15" ht="15" customHeight="1">
      <c r="A17" s="133" t="s">
        <v>88</v>
      </c>
      <c r="B17" s="133"/>
      <c r="C17" s="21">
        <v>910</v>
      </c>
      <c r="D17" s="178"/>
      <c r="E17" s="178"/>
      <c r="F17" s="178"/>
      <c r="G17" s="178"/>
      <c r="H17" s="178"/>
      <c r="I17" s="21"/>
      <c r="J17" s="178"/>
      <c r="K17" s="21">
        <f t="shared" si="0"/>
        <v>910</v>
      </c>
      <c r="L17" s="176"/>
    </row>
    <row r="18" spans="1:15" ht="15" customHeight="1">
      <c r="A18" s="133" t="s">
        <v>89</v>
      </c>
      <c r="B18" s="133"/>
      <c r="C18" s="21">
        <v>910</v>
      </c>
      <c r="D18" s="178" t="s">
        <v>1007</v>
      </c>
      <c r="E18" s="178"/>
      <c r="F18" s="178"/>
      <c r="G18" s="178"/>
      <c r="H18" s="178"/>
      <c r="I18" s="21"/>
      <c r="J18" s="178"/>
      <c r="K18" s="21">
        <f t="shared" si="0"/>
        <v>910</v>
      </c>
      <c r="L18" s="176"/>
    </row>
    <row r="19" spans="1:15" ht="15" customHeight="1">
      <c r="A19" s="133" t="s">
        <v>90</v>
      </c>
      <c r="B19" s="133"/>
      <c r="C19" s="21">
        <v>910</v>
      </c>
      <c r="D19" s="178"/>
      <c r="E19" s="178"/>
      <c r="F19" s="178"/>
      <c r="G19" s="178"/>
      <c r="H19" s="178"/>
      <c r="I19" s="21"/>
      <c r="J19" s="178"/>
      <c r="K19" s="21">
        <f t="shared" si="0"/>
        <v>910</v>
      </c>
      <c r="L19" s="176"/>
    </row>
    <row r="20" spans="1:15" ht="15" customHeight="1">
      <c r="A20" s="133" t="s">
        <v>82</v>
      </c>
      <c r="B20" s="133"/>
      <c r="C20" s="21">
        <v>910</v>
      </c>
      <c r="D20" s="178"/>
      <c r="E20" s="178"/>
      <c r="F20" s="178"/>
      <c r="G20" s="178"/>
      <c r="H20" s="178"/>
      <c r="I20" s="21">
        <v>120</v>
      </c>
      <c r="J20" s="178"/>
      <c r="K20" s="21">
        <f t="shared" si="0"/>
        <v>1030</v>
      </c>
      <c r="L20" s="176"/>
    </row>
    <row r="21" spans="1:15" ht="15" customHeight="1">
      <c r="A21" s="133" t="s">
        <v>81</v>
      </c>
      <c r="B21" s="133"/>
      <c r="C21" s="21">
        <v>910</v>
      </c>
      <c r="D21" s="178"/>
      <c r="E21" s="178"/>
      <c r="F21" s="178"/>
      <c r="G21" s="178">
        <v>60</v>
      </c>
      <c r="H21" s="178"/>
      <c r="I21" s="21"/>
      <c r="J21" s="178"/>
      <c r="K21" s="21">
        <f t="shared" si="0"/>
        <v>970</v>
      </c>
      <c r="L21" s="176"/>
    </row>
    <row r="22" spans="1:15" ht="15" customHeight="1">
      <c r="A22" s="133" t="s">
        <v>80</v>
      </c>
      <c r="B22" s="133"/>
      <c r="C22" s="21">
        <v>910</v>
      </c>
      <c r="D22" s="178"/>
      <c r="E22" s="178">
        <v>541</v>
      </c>
      <c r="F22" s="178"/>
      <c r="G22" s="178"/>
      <c r="H22" s="178"/>
      <c r="I22" s="21"/>
      <c r="J22" s="178"/>
      <c r="K22" s="21">
        <f t="shared" si="0"/>
        <v>1451</v>
      </c>
      <c r="L22" s="176"/>
    </row>
    <row r="23" spans="1:15" ht="15" customHeight="1">
      <c r="A23" s="133" t="s">
        <v>79</v>
      </c>
      <c r="B23" s="133"/>
      <c r="C23" s="55">
        <v>910</v>
      </c>
      <c r="D23" s="178"/>
      <c r="E23" s="724"/>
      <c r="F23" s="178"/>
      <c r="G23" s="724"/>
      <c r="H23" s="178"/>
      <c r="I23" s="55"/>
      <c r="J23" s="178"/>
      <c r="K23" s="55">
        <f t="shared" si="0"/>
        <v>910</v>
      </c>
      <c r="L23" s="176"/>
    </row>
    <row r="24" spans="1:15" ht="15" customHeight="1">
      <c r="C24" s="21"/>
      <c r="D24" s="178"/>
      <c r="E24" s="178"/>
      <c r="F24" s="178"/>
      <c r="G24" s="178"/>
      <c r="H24" s="178"/>
      <c r="I24" s="21"/>
      <c r="J24" s="178"/>
      <c r="K24" s="21"/>
      <c r="L24" s="176"/>
    </row>
    <row r="25" spans="1:15" ht="15" customHeight="1" thickBot="1">
      <c r="C25" s="186">
        <f>SUM(C12:C23)</f>
        <v>10980</v>
      </c>
      <c r="D25" s="722"/>
      <c r="E25" s="186">
        <f t="shared" ref="E25:G25" si="1">SUM(E12:E23)</f>
        <v>541</v>
      </c>
      <c r="F25" s="722"/>
      <c r="G25" s="186">
        <f t="shared" si="1"/>
        <v>60</v>
      </c>
      <c r="H25" s="179"/>
      <c r="I25" s="186">
        <f>SUM(I12:I23)</f>
        <v>120</v>
      </c>
      <c r="J25" s="179"/>
      <c r="K25" s="722">
        <f>SUM(K12:K23)</f>
        <v>11701</v>
      </c>
    </row>
    <row r="26" spans="1:15" ht="15" customHeight="1" thickTop="1">
      <c r="C26" s="21"/>
      <c r="D26" s="178"/>
      <c r="E26" s="178"/>
      <c r="F26" s="178"/>
      <c r="G26" s="178"/>
      <c r="H26" s="178"/>
      <c r="I26" s="506"/>
      <c r="J26" s="180"/>
      <c r="K26" s="891">
        <f>+C29-C18</f>
        <v>1410</v>
      </c>
      <c r="L26" s="21"/>
    </row>
    <row r="27" spans="1:15" ht="15" customHeight="1" thickBot="1">
      <c r="A27" s="14" t="s">
        <v>222</v>
      </c>
      <c r="C27" s="777">
        <f>C25*0.15</f>
        <v>1647</v>
      </c>
      <c r="D27" s="178"/>
      <c r="E27" s="178"/>
      <c r="F27" s="178"/>
      <c r="G27" s="178"/>
      <c r="H27" s="178"/>
      <c r="I27" s="21"/>
      <c r="J27" s="178"/>
      <c r="K27" s="725">
        <f>+K25+K26</f>
        <v>13111</v>
      </c>
      <c r="L27" s="176" t="s">
        <v>897</v>
      </c>
      <c r="M27" s="21"/>
    </row>
    <row r="28" spans="1:15" ht="15" customHeight="1" thickTop="1">
      <c r="C28" s="506"/>
      <c r="D28" s="180"/>
      <c r="E28" s="180"/>
      <c r="F28" s="180"/>
      <c r="G28" s="180"/>
      <c r="H28" s="180"/>
      <c r="I28" s="506"/>
      <c r="J28" s="711" t="s">
        <v>222</v>
      </c>
      <c r="K28" s="185">
        <f>-C27</f>
        <v>-1647</v>
      </c>
      <c r="L28" s="14" t="s">
        <v>898</v>
      </c>
      <c r="O28" s="15"/>
    </row>
    <row r="29" spans="1:15" ht="15" customHeight="1">
      <c r="B29" s="14" t="s">
        <v>1007</v>
      </c>
      <c r="C29" s="494">
        <v>2320</v>
      </c>
      <c r="D29" s="180"/>
      <c r="E29" s="180" t="s">
        <v>1008</v>
      </c>
      <c r="F29" s="180"/>
      <c r="G29" s="180"/>
      <c r="H29" s="180"/>
      <c r="I29" s="723"/>
      <c r="J29" s="723"/>
      <c r="K29" s="21"/>
    </row>
    <row r="30" spans="1:15" ht="15" customHeight="1" thickBot="1">
      <c r="C30" s="21"/>
      <c r="D30" s="178"/>
      <c r="E30" s="178"/>
      <c r="F30" s="178"/>
      <c r="G30" s="178"/>
      <c r="H30" s="178"/>
      <c r="I30" s="507"/>
      <c r="J30" s="508" t="s">
        <v>600</v>
      </c>
      <c r="K30" s="725">
        <f>+K27+K28</f>
        <v>11464</v>
      </c>
    </row>
    <row r="31" spans="1:15" ht="15" customHeight="1" thickTop="1">
      <c r="C31" s="21"/>
      <c r="D31" s="178"/>
      <c r="E31" s="178"/>
      <c r="F31" s="178"/>
      <c r="G31" s="178"/>
      <c r="H31" s="178"/>
      <c r="I31" s="133"/>
      <c r="J31" s="178"/>
      <c r="K31" s="21"/>
    </row>
    <row r="32" spans="1:15" ht="15" customHeight="1">
      <c r="E32" s="176"/>
      <c r="G32" s="176"/>
      <c r="I32" s="176"/>
      <c r="J32" s="509"/>
      <c r="K32" s="726"/>
    </row>
    <row r="33" spans="5:12" ht="15" customHeight="1">
      <c r="E33" s="176"/>
      <c r="G33" s="176"/>
      <c r="J33" s="176"/>
      <c r="K33" s="386"/>
      <c r="L33" s="176"/>
    </row>
    <row r="34" spans="5:12" ht="15" customHeight="1">
      <c r="G34" s="176"/>
      <c r="J34" s="176"/>
    </row>
    <row r="35" spans="5:12" ht="15" customHeight="1">
      <c r="G35" s="176"/>
      <c r="J35" s="176"/>
    </row>
    <row r="36" spans="5:12" ht="15" customHeight="1">
      <c r="G36" s="176"/>
      <c r="J36" s="176"/>
    </row>
    <row r="37" spans="5:12" ht="15" customHeight="1">
      <c r="G37" s="176"/>
      <c r="J37" s="176"/>
    </row>
    <row r="38" spans="5:12" ht="15" customHeight="1"/>
    <row r="39" spans="5:12" ht="15" customHeight="1"/>
    <row r="40" spans="5:12" ht="15" customHeight="1"/>
    <row r="41" spans="5:12" ht="15" customHeight="1"/>
    <row r="42" spans="5:12" ht="15" customHeight="1"/>
    <row r="43" spans="5:12" ht="15" customHeight="1"/>
    <row r="44" spans="5:12" ht="15" customHeight="1"/>
    <row r="45" spans="5:12" ht="15" customHeight="1"/>
    <row r="46" spans="5:12" ht="15" customHeight="1"/>
    <row r="47" spans="5:12" ht="15" customHeight="1"/>
    <row r="48" spans="5:12" ht="15" customHeight="1"/>
    <row r="49" ht="15" customHeight="1"/>
    <row r="50" ht="15" customHeight="1"/>
    <row r="51" ht="15" customHeight="1"/>
  </sheetData>
  <mergeCells count="3">
    <mergeCell ref="A5:M5"/>
    <mergeCell ref="A3:M3"/>
    <mergeCell ref="A1:M1"/>
  </mergeCells>
  <printOptions horizontalCentered="1"/>
  <pageMargins left="0.5" right="0.5" top="0.75" bottom="0.5" header="0" footer="0.25"/>
  <pageSetup scale="70" orientation="portrait" horizontalDpi="300" verticalDpi="300" r:id="rId1"/>
  <headerFooter alignWithMargins="0">
    <oddFooter xml:space="preserve">&amp;L&amp;9
</oddFooter>
  </headerFooter>
  <colBreaks count="1" manualBreakCount="1">
    <brk id="12" max="3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8"/>
  <sheetViews>
    <sheetView zoomScaleNormal="100" workbookViewId="0">
      <selection activeCell="F12" sqref="F12"/>
    </sheetView>
  </sheetViews>
  <sheetFormatPr defaultColWidth="9.77734375" defaultRowHeight="15.75"/>
  <cols>
    <col min="1" max="1" width="5.44140625" style="12" customWidth="1"/>
    <col min="2" max="2" width="10.77734375" style="12" customWidth="1"/>
    <col min="3" max="3" width="9.77734375" style="12" customWidth="1"/>
    <col min="4" max="5" width="11.33203125" style="12" customWidth="1"/>
    <col min="6" max="6" width="10.109375" style="12" customWidth="1"/>
    <col min="7" max="8" width="10.33203125" style="12" customWidth="1"/>
    <col min="9" max="16384" width="9.77734375" style="12"/>
  </cols>
  <sheetData>
    <row r="1" spans="1:8" ht="16.5" customHeight="1">
      <c r="A1" s="1039" t="str">
        <f>+'WP-4 - Dues &amp; Sub'!A1:I1</f>
        <v>Pullman Disposal Services, Inc.</v>
      </c>
      <c r="B1" s="1039"/>
      <c r="C1" s="1039"/>
      <c r="D1" s="1039"/>
      <c r="E1" s="1039"/>
      <c r="F1" s="1039"/>
      <c r="G1" s="1039"/>
      <c r="H1" s="1039"/>
    </row>
    <row r="2" spans="1:8" ht="13.5" customHeight="1">
      <c r="A2" s="24"/>
    </row>
    <row r="3" spans="1:8" ht="16.5" customHeight="1">
      <c r="A3" s="1040" t="s">
        <v>267</v>
      </c>
      <c r="B3" s="1040"/>
      <c r="C3" s="1040"/>
      <c r="D3" s="1040"/>
      <c r="E3" s="1040"/>
      <c r="F3" s="1040"/>
      <c r="G3" s="1040"/>
      <c r="H3" s="1040"/>
    </row>
    <row r="4" spans="1:8">
      <c r="A4" s="13"/>
      <c r="B4" s="13"/>
      <c r="C4" s="13"/>
      <c r="D4" s="13"/>
      <c r="E4" s="13"/>
      <c r="F4" s="13"/>
      <c r="G4" s="13"/>
      <c r="H4" s="13"/>
    </row>
    <row r="5" spans="1:8">
      <c r="A5" s="1026" t="str">
        <f>'WP-4 - Dues &amp; Sub'!$A$5</f>
        <v>In Support of Tariff 18 effective January 1, 2020</v>
      </c>
      <c r="B5" s="1026"/>
      <c r="C5" s="1026"/>
      <c r="D5" s="1026"/>
      <c r="E5" s="1026"/>
      <c r="F5" s="1026"/>
      <c r="G5" s="1026"/>
      <c r="H5" s="1026"/>
    </row>
    <row r="7" spans="1:8" ht="15" customHeight="1">
      <c r="A7" s="205"/>
      <c r="B7" s="205"/>
      <c r="C7" s="205"/>
      <c r="D7" s="205"/>
      <c r="E7" s="205"/>
      <c r="F7" s="205"/>
      <c r="G7" s="206" t="s">
        <v>121</v>
      </c>
      <c r="H7" s="205"/>
    </row>
    <row r="8" spans="1:8" ht="15" customHeight="1">
      <c r="A8" s="205"/>
      <c r="B8" s="205"/>
      <c r="C8" s="205"/>
      <c r="D8" s="207">
        <v>43100</v>
      </c>
      <c r="E8" s="207">
        <v>43465</v>
      </c>
      <c r="F8" s="208" t="s">
        <v>164</v>
      </c>
      <c r="G8" s="208" t="s">
        <v>122</v>
      </c>
      <c r="H8" s="209" t="s">
        <v>53</v>
      </c>
    </row>
    <row r="9" spans="1:8" ht="15" customHeight="1">
      <c r="B9" s="12" t="s">
        <v>123</v>
      </c>
      <c r="D9" s="187">
        <v>1010331.58</v>
      </c>
      <c r="E9" s="187">
        <v>868938.26</v>
      </c>
      <c r="F9" s="187">
        <f>(+D9+E9)/2</f>
        <v>939634.91999999993</v>
      </c>
      <c r="G9" s="187">
        <f>E9</f>
        <v>868938.26</v>
      </c>
      <c r="H9" s="385">
        <f>G9/(+$G$9+$G$10)</f>
        <v>0.41513502767501526</v>
      </c>
    </row>
    <row r="10" spans="1:8" ht="15" customHeight="1">
      <c r="B10" s="12" t="s">
        <v>124</v>
      </c>
      <c r="D10" s="22"/>
      <c r="E10" s="22"/>
      <c r="F10" s="22"/>
      <c r="G10" s="23">
        <v>1224207.83</v>
      </c>
      <c r="H10" s="385">
        <f>G10/(+$G$9+$G$10)</f>
        <v>0.58486497232498469</v>
      </c>
    </row>
    <row r="11" spans="1:8" ht="15" customHeight="1">
      <c r="B11" s="12" t="s">
        <v>125</v>
      </c>
      <c r="D11" s="22" t="s">
        <v>126</v>
      </c>
      <c r="E11" s="22"/>
      <c r="F11" s="23">
        <f>-Operations!C104</f>
        <v>31179.31</v>
      </c>
      <c r="G11" s="22"/>
    </row>
    <row r="12" spans="1:8" ht="15" customHeight="1">
      <c r="B12" s="12" t="s">
        <v>127</v>
      </c>
      <c r="F12" s="385">
        <f>+F11/F9</f>
        <v>3.3182366189626077E-2</v>
      </c>
      <c r="G12" s="709"/>
    </row>
    <row r="13" spans="1:8" ht="15" customHeight="1">
      <c r="G13" s="70"/>
    </row>
    <row r="14" spans="1:8" ht="15" customHeight="1"/>
    <row r="15" spans="1:8" ht="15" customHeight="1">
      <c r="B15" s="12" t="s">
        <v>1009</v>
      </c>
      <c r="D15" s="897">
        <v>43727</v>
      </c>
      <c r="F15" s="898">
        <v>0.05</v>
      </c>
    </row>
    <row r="16" spans="1:8" ht="15" customHeight="1">
      <c r="B16" s="12" t="s">
        <v>1010</v>
      </c>
      <c r="F16" s="899">
        <v>0.02</v>
      </c>
    </row>
    <row r="17" spans="2:6" ht="15" customHeight="1">
      <c r="B17" s="12" t="s">
        <v>1011</v>
      </c>
      <c r="F17" s="898">
        <f>SUM(F15:F16)</f>
        <v>7.0000000000000007E-2</v>
      </c>
    </row>
    <row r="18" spans="2:6" ht="15" customHeight="1"/>
    <row r="19" spans="2:6" ht="15" customHeight="1"/>
    <row r="20" spans="2:6" ht="15" customHeight="1"/>
    <row r="21" spans="2:6" ht="15" customHeight="1"/>
    <row r="22" spans="2:6" ht="15" customHeight="1"/>
    <row r="23" spans="2:6" ht="15" customHeight="1"/>
    <row r="24" spans="2:6" ht="15" customHeight="1"/>
    <row r="25" spans="2:6" ht="15" customHeight="1"/>
    <row r="26" spans="2:6" ht="15" customHeight="1"/>
    <row r="27" spans="2:6" ht="15" customHeight="1"/>
    <row r="28" spans="2:6" ht="15" customHeight="1"/>
    <row r="29" spans="2:6" ht="15" customHeight="1"/>
    <row r="30" spans="2:6" ht="15" customHeight="1"/>
    <row r="31" spans="2:6" ht="15" customHeight="1"/>
    <row r="32" spans="2:6" ht="15" customHeight="1"/>
    <row r="33" ht="15" customHeight="1"/>
    <row r="34" ht="15" customHeight="1"/>
    <row r="35" ht="15" customHeight="1"/>
    <row r="36" ht="15" customHeight="1"/>
    <row r="37" ht="15" customHeight="1"/>
    <row r="38" ht="15" customHeight="1"/>
  </sheetData>
  <mergeCells count="3">
    <mergeCell ref="A1:H1"/>
    <mergeCell ref="A3:H3"/>
    <mergeCell ref="A5:H5"/>
  </mergeCells>
  <printOptions horizontalCentered="1"/>
  <pageMargins left="0.5" right="0.5" top="0.75" bottom="0.5" header="0" footer="0.2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T113"/>
  <sheetViews>
    <sheetView showGridLines="0" showOutlineSymbols="0" topLeftCell="A19" zoomScale="120" zoomScaleNormal="120" workbookViewId="0">
      <selection activeCell="J20" sqref="J20"/>
    </sheetView>
  </sheetViews>
  <sheetFormatPr defaultColWidth="13" defaultRowHeight="15"/>
  <cols>
    <col min="1" max="1" width="3.77734375" style="525" customWidth="1"/>
    <col min="2" max="2" width="26.109375" style="684" bestFit="1" customWidth="1"/>
    <col min="3" max="3" width="16.5546875" style="684" customWidth="1"/>
    <col min="4" max="4" width="16.5546875" style="684" hidden="1" customWidth="1"/>
    <col min="5" max="5" width="5.6640625" style="684" customWidth="1"/>
    <col min="6" max="6" width="4.44140625" style="525" customWidth="1"/>
    <col min="7" max="7" width="6.6640625" style="525" customWidth="1"/>
    <col min="8" max="8" width="11.6640625" style="525" customWidth="1"/>
    <col min="9" max="9" width="13.77734375" style="525" customWidth="1"/>
    <col min="10" max="10" width="10.33203125" style="525" customWidth="1"/>
    <col min="11" max="11" width="11.77734375" style="525" bestFit="1" customWidth="1"/>
    <col min="12" max="13" width="14.33203125" style="525" customWidth="1"/>
    <col min="14" max="14" width="4.77734375" style="525" customWidth="1"/>
    <col min="15" max="15" width="4.88671875" style="684" customWidth="1"/>
    <col min="16" max="16" width="31.44140625" style="684" customWidth="1"/>
    <col min="17" max="17" width="13" style="526"/>
    <col min="18" max="18" width="10.77734375" style="530" customWidth="1"/>
    <col min="19" max="19" width="13" style="525"/>
    <col min="20" max="20" width="10.44140625" style="525" customWidth="1"/>
    <col min="21" max="21" width="12.21875" style="525" customWidth="1"/>
    <col min="22" max="22" width="13" style="525"/>
    <col min="23" max="24" width="13.77734375" style="525" customWidth="1"/>
    <col min="25" max="25" width="12.44140625" style="525" customWidth="1"/>
    <col min="26" max="26" width="13" style="525"/>
    <col min="27" max="27" width="12.33203125" style="525" customWidth="1"/>
    <col min="28" max="29" width="13" style="525"/>
    <col min="30" max="30" width="12.77734375" style="525" customWidth="1"/>
    <col min="31" max="31" width="13.44140625" style="525" customWidth="1"/>
    <col min="32" max="32" width="16.109375" style="525" customWidth="1"/>
    <col min="33" max="33" width="14.109375" style="525" customWidth="1"/>
    <col min="34" max="34" width="12.77734375" style="525" customWidth="1"/>
    <col min="35" max="35" width="13" style="525"/>
    <col min="36" max="36" width="10.77734375" style="525" customWidth="1"/>
    <col min="37" max="37" width="12.77734375" style="525" customWidth="1"/>
    <col min="38" max="49" width="11.77734375" style="525" customWidth="1"/>
    <col min="50" max="16384" width="13" style="525"/>
  </cols>
  <sheetData>
    <row r="1" spans="1:35" s="521" customFormat="1" ht="15.75" thickBot="1">
      <c r="A1" s="516"/>
      <c r="B1" s="517"/>
      <c r="C1" s="517"/>
      <c r="D1" s="517"/>
      <c r="E1" s="517"/>
      <c r="F1" s="517"/>
      <c r="G1" s="517"/>
      <c r="H1" s="517"/>
      <c r="I1" s="518"/>
      <c r="J1" s="518"/>
      <c r="K1" s="518"/>
      <c r="L1" s="518"/>
      <c r="M1" s="518"/>
      <c r="N1" s="518"/>
      <c r="O1" s="517"/>
      <c r="P1" s="517"/>
      <c r="Q1" s="519"/>
      <c r="R1" s="520"/>
    </row>
    <row r="2" spans="1:35" ht="19.5" thickBot="1">
      <c r="A2" s="516"/>
      <c r="B2" s="988" t="s">
        <v>320</v>
      </c>
      <c r="C2" s="988"/>
      <c r="D2" s="516"/>
      <c r="E2" s="516"/>
      <c r="F2" s="522" t="s">
        <v>321</v>
      </c>
      <c r="G2" s="523"/>
      <c r="H2" s="523"/>
      <c r="I2" s="524" t="s">
        <v>322</v>
      </c>
      <c r="J2" s="523"/>
      <c r="K2" s="523"/>
      <c r="L2" s="523"/>
      <c r="M2" s="522" t="s">
        <v>321</v>
      </c>
      <c r="O2" s="516"/>
      <c r="P2" s="516"/>
      <c r="R2" s="708" t="s">
        <v>323</v>
      </c>
      <c r="S2" s="707"/>
      <c r="T2" s="706"/>
      <c r="AF2" s="985" t="s">
        <v>324</v>
      </c>
      <c r="AG2" s="986"/>
      <c r="AH2" s="986"/>
      <c r="AI2" s="987"/>
    </row>
    <row r="3" spans="1:35" ht="15.75">
      <c r="A3" s="516"/>
      <c r="B3" s="516"/>
      <c r="C3" s="516"/>
      <c r="D3" s="516"/>
      <c r="E3" s="516"/>
      <c r="F3" s="527"/>
      <c r="G3" s="528"/>
      <c r="K3" s="529" t="s">
        <v>325</v>
      </c>
      <c r="M3" s="529" t="s">
        <v>326</v>
      </c>
      <c r="O3" s="516"/>
      <c r="P3" s="516"/>
      <c r="R3" s="525"/>
      <c r="T3" s="525" t="s">
        <v>327</v>
      </c>
      <c r="V3" s="530" t="s">
        <v>327</v>
      </c>
      <c r="W3" s="530" t="s">
        <v>327</v>
      </c>
      <c r="X3" s="530" t="s">
        <v>327</v>
      </c>
      <c r="Y3" s="530" t="s">
        <v>328</v>
      </c>
      <c r="Z3" s="530" t="s">
        <v>328</v>
      </c>
      <c r="AA3" s="530" t="s">
        <v>328</v>
      </c>
      <c r="AB3" s="530" t="s">
        <v>328</v>
      </c>
      <c r="AC3" s="530" t="s">
        <v>328</v>
      </c>
      <c r="AD3" s="530" t="s">
        <v>328</v>
      </c>
      <c r="AE3" s="530" t="s">
        <v>329</v>
      </c>
      <c r="AF3" s="530" t="s">
        <v>231</v>
      </c>
      <c r="AG3" s="530" t="s">
        <v>330</v>
      </c>
      <c r="AH3" s="530"/>
    </row>
    <row r="4" spans="1:35" ht="19.5" thickBot="1">
      <c r="A4" s="516"/>
      <c r="B4" s="531" t="s">
        <v>331</v>
      </c>
      <c r="C4" s="705"/>
      <c r="D4" s="532"/>
      <c r="E4" s="516"/>
      <c r="F4" s="533"/>
      <c r="G4" s="528"/>
      <c r="H4" s="534" t="s">
        <v>332</v>
      </c>
      <c r="I4" s="534" t="s">
        <v>333</v>
      </c>
      <c r="J4" s="534" t="s">
        <v>334</v>
      </c>
      <c r="K4" s="534" t="s">
        <v>335</v>
      </c>
      <c r="L4" s="534" t="s">
        <v>336</v>
      </c>
      <c r="M4" s="534" t="s">
        <v>337</v>
      </c>
      <c r="O4" s="535"/>
      <c r="P4" s="516"/>
      <c r="R4" s="525"/>
      <c r="T4" s="530" t="s">
        <v>338</v>
      </c>
      <c r="V4" s="530" t="s">
        <v>339</v>
      </c>
      <c r="W4" s="530" t="s">
        <v>340</v>
      </c>
      <c r="X4" s="530" t="s">
        <v>341</v>
      </c>
      <c r="Y4" s="530" t="s">
        <v>342</v>
      </c>
      <c r="Z4" s="530" t="s">
        <v>342</v>
      </c>
      <c r="AA4" s="530" t="s">
        <v>342</v>
      </c>
      <c r="AB4" s="530" t="s">
        <v>340</v>
      </c>
      <c r="AC4" s="530" t="s">
        <v>338</v>
      </c>
      <c r="AD4" s="530" t="s">
        <v>338</v>
      </c>
      <c r="AE4" s="530" t="s">
        <v>343</v>
      </c>
      <c r="AF4" s="530" t="s">
        <v>344</v>
      </c>
      <c r="AG4" s="530" t="s">
        <v>345</v>
      </c>
      <c r="AH4" s="530" t="s">
        <v>346</v>
      </c>
      <c r="AI4" s="530" t="s">
        <v>347</v>
      </c>
    </row>
    <row r="5" spans="1:35" ht="15.75">
      <c r="A5" s="516"/>
      <c r="B5" s="536" t="s">
        <v>348</v>
      </c>
      <c r="C5" s="537">
        <f>+Operations!J27</f>
        <v>4620572.3024528306</v>
      </c>
      <c r="D5" s="532"/>
      <c r="E5" s="516"/>
      <c r="F5" s="538" t="s">
        <v>349</v>
      </c>
      <c r="G5" s="539"/>
      <c r="H5" s="539"/>
      <c r="I5" s="534" t="s">
        <v>350</v>
      </c>
      <c r="J5" s="534" t="s">
        <v>231</v>
      </c>
      <c r="K5" s="540" t="s">
        <v>37</v>
      </c>
      <c r="L5" s="540" t="s">
        <v>351</v>
      </c>
      <c r="M5" s="540" t="s">
        <v>231</v>
      </c>
      <c r="O5" s="541"/>
      <c r="P5" s="516"/>
      <c r="R5" s="542"/>
      <c r="T5" s="530" t="s">
        <v>352</v>
      </c>
      <c r="U5" s="530" t="s">
        <v>353</v>
      </c>
      <c r="V5" s="530" t="s">
        <v>354</v>
      </c>
      <c r="W5" s="530" t="s">
        <v>355</v>
      </c>
      <c r="X5" s="530" t="s">
        <v>356</v>
      </c>
      <c r="Y5" s="530" t="s">
        <v>124</v>
      </c>
      <c r="Z5" s="530" t="s">
        <v>357</v>
      </c>
      <c r="AA5" s="530" t="s">
        <v>128</v>
      </c>
      <c r="AB5" s="530" t="s">
        <v>358</v>
      </c>
      <c r="AC5" s="530" t="s">
        <v>352</v>
      </c>
      <c r="AD5" s="530" t="s">
        <v>359</v>
      </c>
      <c r="AE5" s="530" t="s">
        <v>93</v>
      </c>
      <c r="AF5" s="530" t="s">
        <v>360</v>
      </c>
      <c r="AG5" s="530" t="s">
        <v>360</v>
      </c>
      <c r="AH5" s="530" t="s">
        <v>93</v>
      </c>
      <c r="AI5" s="530" t="s">
        <v>329</v>
      </c>
    </row>
    <row r="6" spans="1:35" ht="15.75">
      <c r="A6" s="516"/>
      <c r="B6" s="536" t="s">
        <v>361</v>
      </c>
      <c r="C6" s="704">
        <f>+Operations!J95</f>
        <v>4682253.19867157</v>
      </c>
      <c r="D6" s="532"/>
      <c r="E6" s="516"/>
      <c r="F6" s="543" t="s">
        <v>362</v>
      </c>
      <c r="G6" s="539"/>
      <c r="H6" s="539"/>
      <c r="I6" s="544"/>
      <c r="J6" s="545" t="s">
        <v>246</v>
      </c>
      <c r="K6" s="546"/>
      <c r="L6" s="545" t="s">
        <v>363</v>
      </c>
      <c r="M6" s="545" t="s">
        <v>364</v>
      </c>
      <c r="O6" s="541"/>
      <c r="P6" s="516"/>
      <c r="R6" s="699">
        <v>1</v>
      </c>
      <c r="S6" s="698">
        <f>Revenue/Investment*100</f>
        <v>309.00274823911712</v>
      </c>
      <c r="T6" s="697">
        <f>EXP(y_inter1-(slope*LN(+S6)))</f>
        <v>6.0670985273295823</v>
      </c>
      <c r="U6" s="696">
        <f>(+S6*T6/100)/100</f>
        <v>0.18747501187823409</v>
      </c>
      <c r="V6" s="696">
        <f>regDebt_weighted</f>
        <v>3.5860000000000003E-2</v>
      </c>
      <c r="W6" s="696">
        <f>+U6-V6</f>
        <v>0.15161501187823409</v>
      </c>
      <c r="X6" s="696">
        <f>+((W6*(1-0.34))-Pfd_weighted)/Equity_percent</f>
        <v>0.27289508092917003</v>
      </c>
      <c r="Y6" s="696">
        <f>X6*equityP</f>
        <v>0.16373704855750201</v>
      </c>
      <c r="Z6" s="696">
        <f>+Y6/(1-taxrate)</f>
        <v>0.20726208678164812</v>
      </c>
      <c r="AA6" s="696">
        <f>debtP*Debt_Rate</f>
        <v>1.3272946475850431E-2</v>
      </c>
      <c r="AB6" s="696">
        <f>AA6+Z6</f>
        <v>0.22053503325749854</v>
      </c>
      <c r="AC6" s="696">
        <f>AB6/(S6/100)</f>
        <v>7.1369926162223263E-2</v>
      </c>
      <c r="AD6" s="696">
        <f>1-AC6</f>
        <v>0.92863007383777674</v>
      </c>
      <c r="AE6" s="693">
        <f>expenses/(AD6)</f>
        <v>5042108.080046433</v>
      </c>
      <c r="AF6" s="695">
        <f>+AE6-Revenue</f>
        <v>421535.77759360243</v>
      </c>
      <c r="AG6" s="694">
        <f ca="1">+AF6/$J$49</f>
        <v>461693.37989359186</v>
      </c>
      <c r="AH6" s="694">
        <f ca="1">+AG6*$J$47</f>
        <v>9810.2919927683215</v>
      </c>
      <c r="AI6" s="693">
        <f ca="1">ROUND(+AH6+AE6,5)</f>
        <v>5051918.3720399998</v>
      </c>
    </row>
    <row r="7" spans="1:35" ht="15.75">
      <c r="A7" s="516"/>
      <c r="B7" s="536" t="s">
        <v>171</v>
      </c>
      <c r="C7" s="704">
        <f>+'WP-1 - Summary Depr'!R21</f>
        <v>1495317.5428968258</v>
      </c>
      <c r="D7" s="532"/>
      <c r="E7" s="516"/>
      <c r="F7" s="703">
        <v>1</v>
      </c>
      <c r="G7" s="539"/>
      <c r="H7" s="547" t="s">
        <v>348</v>
      </c>
      <c r="I7" s="548">
        <f>IF(A65=TRUE,C5,0)</f>
        <v>4620572.3024528306</v>
      </c>
      <c r="J7" s="548">
        <f ca="1">(+$I8/($R51))-I7</f>
        <v>391741.77844592184</v>
      </c>
      <c r="K7" s="548">
        <f ca="1">+I7+J7</f>
        <v>5012314.0808987524</v>
      </c>
      <c r="L7" s="548">
        <f ca="1">((+J7/J49*K35)-J7)</f>
        <v>9116.9040366152185</v>
      </c>
      <c r="M7" s="548">
        <f ca="1">IFERROR(+K7+L7,0.00001)</f>
        <v>5021430.9849353675</v>
      </c>
      <c r="O7" s="541"/>
      <c r="P7" s="516"/>
      <c r="R7" s="549">
        <v>2</v>
      </c>
      <c r="S7" s="550">
        <f>Revenue/Investment*100</f>
        <v>309.00274823911712</v>
      </c>
      <c r="T7" s="551">
        <f>EXP(y_inter1-(slope*LN(+S7)))</f>
        <v>6.0670985273295823</v>
      </c>
      <c r="U7" s="552">
        <f>(+S7*T7/100)/100</f>
        <v>0.18747501187823409</v>
      </c>
      <c r="V7" s="552">
        <f>regDebt_weighted</f>
        <v>3.5860000000000003E-2</v>
      </c>
      <c r="W7" s="552">
        <f>+U7-V7</f>
        <v>0.15161501187823409</v>
      </c>
      <c r="X7" s="552">
        <f>+((W7*(1-0.34))-Pfd_weighted)/Equity_percent</f>
        <v>0.27289508092917003</v>
      </c>
      <c r="Y7" s="552">
        <f>X7*equityP</f>
        <v>0.16373704855750201</v>
      </c>
      <c r="Z7" s="552">
        <f>+Y7/(1-taxrate)</f>
        <v>0.20726208678164812</v>
      </c>
      <c r="AA7" s="552">
        <f>debtP*Debt_Rate</f>
        <v>1.3272946475850431E-2</v>
      </c>
      <c r="AB7" s="552">
        <f>AA7+Z7</f>
        <v>0.22053503325749854</v>
      </c>
      <c r="AC7" s="552">
        <f>AB7/(S7/100)</f>
        <v>7.1369926162223263E-2</v>
      </c>
      <c r="AD7" s="552">
        <f>1-AC7</f>
        <v>0.92863007383777674</v>
      </c>
      <c r="AE7" s="553">
        <f>expenses/(AD7)</f>
        <v>5042108.080046433</v>
      </c>
      <c r="AF7" s="554">
        <f>+AE7-Revenue</f>
        <v>421535.77759360243</v>
      </c>
      <c r="AG7" s="555">
        <f ca="1">+AF7/$J$49</f>
        <v>461693.37989359186</v>
      </c>
      <c r="AH7" s="555">
        <f ca="1">+AG7*$J$47</f>
        <v>9810.2919927683215</v>
      </c>
      <c r="AI7" s="553">
        <f ca="1">ROUND(+AH7+AE7,5)</f>
        <v>5051918.3720399998</v>
      </c>
    </row>
    <row r="8" spans="1:35" ht="15.75">
      <c r="A8" s="516"/>
      <c r="B8" s="536" t="s">
        <v>365</v>
      </c>
      <c r="C8" s="702">
        <v>0.4</v>
      </c>
      <c r="D8" s="532"/>
      <c r="E8" s="516"/>
      <c r="F8" s="556">
        <f t="shared" ref="F8:F49" si="0">+F7+1</f>
        <v>2</v>
      </c>
      <c r="G8" s="539"/>
      <c r="H8" s="547" t="s">
        <v>361</v>
      </c>
      <c r="I8" s="548">
        <f>IF(A65=TRUE,C6,0)</f>
        <v>4682253.19867157</v>
      </c>
      <c r="J8" s="528"/>
      <c r="K8" s="548">
        <f>+I8</f>
        <v>4682253.19867157</v>
      </c>
      <c r="L8" s="548">
        <f ca="1">+L7</f>
        <v>9116.9040366152185</v>
      </c>
      <c r="M8" s="548">
        <f ca="1">IFERROR(+K8+L8,0.00001)</f>
        <v>4691370.1027081851</v>
      </c>
      <c r="O8" s="541"/>
      <c r="P8" s="516"/>
      <c r="R8" s="557">
        <v>3</v>
      </c>
      <c r="S8" s="550">
        <f>Revenue/Investment*100</f>
        <v>309.00274823911712</v>
      </c>
      <c r="T8" s="551">
        <f>EXP(y_inter1-(slope*LN(+S8)))</f>
        <v>6.0670985273295823</v>
      </c>
      <c r="U8" s="552">
        <f>(+S8*T8/100)/100</f>
        <v>0.18747501187823409</v>
      </c>
      <c r="V8" s="552">
        <f>regDebt_weighted</f>
        <v>3.5860000000000003E-2</v>
      </c>
      <c r="W8" s="552">
        <f>+U8-V8</f>
        <v>0.15161501187823409</v>
      </c>
      <c r="X8" s="552">
        <f>+((W8*(1-0.34))-Pfd_weighted)/Equity_percent</f>
        <v>0.27289508092917003</v>
      </c>
      <c r="Y8" s="552">
        <f>X8*equityP</f>
        <v>0.16373704855750201</v>
      </c>
      <c r="Z8" s="552">
        <f>+Y8/(1-taxrate)</f>
        <v>0.20726208678164812</v>
      </c>
      <c r="AA8" s="552">
        <f>debtP*Debt_Rate</f>
        <v>1.3272946475850431E-2</v>
      </c>
      <c r="AB8" s="552">
        <f>AA8+Z8</f>
        <v>0.22053503325749854</v>
      </c>
      <c r="AC8" s="552">
        <f>AB8/(S8/100)</f>
        <v>7.1369926162223263E-2</v>
      </c>
      <c r="AD8" s="552">
        <f>1-AC8</f>
        <v>0.92863007383777674</v>
      </c>
      <c r="AE8" s="553">
        <f>expenses/(AD8)</f>
        <v>5042108.080046433</v>
      </c>
      <c r="AF8" s="554">
        <f>+AE8-Revenue</f>
        <v>421535.77759360243</v>
      </c>
      <c r="AG8" s="555">
        <f ca="1">+AF8/$J$49</f>
        <v>461693.37989359186</v>
      </c>
      <c r="AH8" s="555">
        <f ca="1">+AG8*$J$47</f>
        <v>9810.2919927683215</v>
      </c>
      <c r="AI8" s="553">
        <f ca="1">ROUND(+AH8+AE8,5)</f>
        <v>5051918.3720399998</v>
      </c>
    </row>
    <row r="9" spans="1:35" ht="15.75">
      <c r="A9" s="516"/>
      <c r="B9" s="536" t="s">
        <v>366</v>
      </c>
      <c r="C9" s="967">
        <f>+'WP-5 - Capital Structure'!F12</f>
        <v>3.3182366189626077E-2</v>
      </c>
      <c r="D9" s="532"/>
      <c r="E9" s="516"/>
      <c r="F9" s="556">
        <f t="shared" si="0"/>
        <v>3</v>
      </c>
      <c r="G9" s="539"/>
      <c r="H9" s="547" t="s">
        <v>367</v>
      </c>
      <c r="I9" s="701">
        <f>+I7-I8</f>
        <v>-61680.89621873945</v>
      </c>
      <c r="J9" s="528"/>
      <c r="K9" s="701">
        <f ca="1">+K7-K8</f>
        <v>330060.88222718239</v>
      </c>
      <c r="L9" s="539"/>
      <c r="M9" s="700">
        <f ca="1">+M7-M8</f>
        <v>330060.88222718239</v>
      </c>
      <c r="O9" s="541"/>
      <c r="P9" s="516"/>
      <c r="R9" s="558">
        <v>4</v>
      </c>
      <c r="S9" s="550">
        <f>Revenue/Investment*100</f>
        <v>309.00274823911712</v>
      </c>
      <c r="T9" s="551">
        <f>EXP(y_inter1-(slope*LN(+S9)))</f>
        <v>6.0670985273295823</v>
      </c>
      <c r="U9" s="552">
        <f>(+S9*T9/100)/100</f>
        <v>0.18747501187823409</v>
      </c>
      <c r="V9" s="552">
        <f>regDebt_weighted</f>
        <v>3.5860000000000003E-2</v>
      </c>
      <c r="W9" s="552">
        <f>+U9-V9</f>
        <v>0.15161501187823409</v>
      </c>
      <c r="X9" s="552">
        <f>+((W9*(1-0.34))-Pfd_weighted)/Equity_percent</f>
        <v>0.27289508092917003</v>
      </c>
      <c r="Y9" s="552">
        <f>X9*equityP</f>
        <v>0.16373704855750201</v>
      </c>
      <c r="Z9" s="552">
        <f>+Y9/(1-taxrate)</f>
        <v>0.20726208678164812</v>
      </c>
      <c r="AA9" s="552">
        <f>debtP*Debt_Rate</f>
        <v>1.3272946475850431E-2</v>
      </c>
      <c r="AB9" s="552">
        <f>AA9+Z9</f>
        <v>0.22053503325749854</v>
      </c>
      <c r="AC9" s="552">
        <f>AB9/(S9/100)</f>
        <v>7.1369926162223263E-2</v>
      </c>
      <c r="AD9" s="552">
        <f>1-AC9</f>
        <v>0.92863007383777674</v>
      </c>
      <c r="AE9" s="553">
        <f>expenses/(AD9)</f>
        <v>5042108.080046433</v>
      </c>
      <c r="AF9" s="554">
        <f>+AE9-Revenue</f>
        <v>421535.77759360243</v>
      </c>
      <c r="AG9" s="555">
        <f ca="1">+AF9/$J$49</f>
        <v>461693.37989359186</v>
      </c>
      <c r="AH9" s="555">
        <f ca="1">+AG9*$J$47</f>
        <v>9810.2919927683215</v>
      </c>
      <c r="AI9" s="553">
        <f ca="1">ROUND(+AH9+AE9,5)</f>
        <v>5051918.3720399998</v>
      </c>
    </row>
    <row r="10" spans="1:35" ht="15.75">
      <c r="A10" s="516"/>
      <c r="B10" s="559" t="s">
        <v>368</v>
      </c>
      <c r="C10" s="702">
        <v>0.21</v>
      </c>
      <c r="D10" s="532"/>
      <c r="E10" s="516"/>
      <c r="F10" s="556">
        <f t="shared" si="0"/>
        <v>4</v>
      </c>
      <c r="G10" s="539"/>
      <c r="H10" s="539"/>
      <c r="I10" s="528"/>
      <c r="J10" s="528"/>
      <c r="K10" s="548"/>
      <c r="L10" s="539"/>
      <c r="M10" s="539"/>
      <c r="N10" s="539"/>
      <c r="O10" s="541"/>
      <c r="P10" s="516"/>
      <c r="R10" s="530" t="s">
        <v>369</v>
      </c>
    </row>
    <row r="11" spans="1:35" ht="15.75">
      <c r="A11" s="516"/>
      <c r="B11" s="536" t="s">
        <v>370</v>
      </c>
      <c r="C11" s="692">
        <v>1.4999999999999999E-2</v>
      </c>
      <c r="D11" s="532"/>
      <c r="E11" s="516"/>
      <c r="F11" s="556">
        <f t="shared" si="0"/>
        <v>5</v>
      </c>
      <c r="G11" s="539"/>
      <c r="H11" s="547" t="s">
        <v>125</v>
      </c>
      <c r="I11" s="548">
        <f>+K11</f>
        <v>19847.26971126975</v>
      </c>
      <c r="J11" s="528"/>
      <c r="K11" s="548">
        <f>+M27</f>
        <v>19847.26971126975</v>
      </c>
      <c r="L11" s="539"/>
      <c r="M11" s="548">
        <f>+K11</f>
        <v>19847.26971126975</v>
      </c>
      <c r="O11" s="541"/>
      <c r="P11" s="516"/>
      <c r="R11" s="699">
        <v>1</v>
      </c>
      <c r="S11" s="698">
        <f ca="1">IF((AI6/Investment*100)&gt;0,(AI6/Investment*100),0)</f>
        <v>337.84920106354781</v>
      </c>
      <c r="T11" s="697">
        <f ca="1">EXP(y_inter1-(slope*LN(S11)))</f>
        <v>5.7079691822028131</v>
      </c>
      <c r="U11" s="696">
        <f ca="1">(+S11*T11/100)/100</f>
        <v>0.19284328279025728</v>
      </c>
      <c r="V11" s="696">
        <f>regDebt_weighted</f>
        <v>3.5860000000000003E-2</v>
      </c>
      <c r="W11" s="696">
        <f ca="1">+U11-V11</f>
        <v>0.15698328279025728</v>
      </c>
      <c r="X11" s="696">
        <f ca="1">+((W11*(1-0.34))-Pfd_weighted)/Equity_percent</f>
        <v>0.28319467046967967</v>
      </c>
      <c r="Y11" s="696">
        <f ca="1">+X11*equityP</f>
        <v>0.1699168022818078</v>
      </c>
      <c r="Z11" s="696">
        <f ca="1">+Y11/(1-taxrate)</f>
        <v>0.21508455985038963</v>
      </c>
      <c r="AA11" s="696">
        <f>debtP*Debt_Rate</f>
        <v>1.3272946475850431E-2</v>
      </c>
      <c r="AB11" s="696">
        <f ca="1">+AA11+Z11</f>
        <v>0.22835750632624005</v>
      </c>
      <c r="AC11" s="696">
        <f ca="1">+AB11/(S11/100)</f>
        <v>6.7591548420825515E-2</v>
      </c>
      <c r="AD11" s="696">
        <f ca="1">1-AC11</f>
        <v>0.93240845157917451</v>
      </c>
      <c r="AE11" s="693">
        <f ca="1">expenses/(AD11)</f>
        <v>5021676.0591792865</v>
      </c>
      <c r="AF11" s="695">
        <f ca="1">+AE11-Revenue</f>
        <v>401103.75672645587</v>
      </c>
      <c r="AG11" s="694">
        <f ca="1">+AF11/$J$49</f>
        <v>439314.90273072611</v>
      </c>
      <c r="AH11" s="694">
        <f ca="1">+AG11*$J$47</f>
        <v>9334.7829105895635</v>
      </c>
      <c r="AI11" s="693">
        <f ca="1">ROUND(+AH11+AE11,5)</f>
        <v>5031010.8420900004</v>
      </c>
    </row>
    <row r="12" spans="1:35" ht="15.75">
      <c r="A12" s="516"/>
      <c r="B12" s="536" t="s">
        <v>21</v>
      </c>
      <c r="C12" s="692">
        <v>5.1000000000000004E-3</v>
      </c>
      <c r="D12" s="532"/>
      <c r="E12" s="516"/>
      <c r="F12" s="556">
        <f t="shared" si="0"/>
        <v>6</v>
      </c>
      <c r="G12" s="539"/>
      <c r="H12" s="547" t="s">
        <v>371</v>
      </c>
      <c r="I12" s="548">
        <f ca="1">IF(I14&lt;0,0,+J38*I14)</f>
        <v>0</v>
      </c>
      <c r="J12" s="548">
        <f ca="1">+K12-I12</f>
        <v>65144.858628341652</v>
      </c>
      <c r="K12" s="548">
        <f ca="1">+(K9-K11)*taxrate</f>
        <v>65144.858628341652</v>
      </c>
      <c r="L12" s="539"/>
      <c r="M12" s="548">
        <f ca="1">+K12</f>
        <v>65144.858628341652</v>
      </c>
      <c r="O12" s="541"/>
      <c r="P12" s="516"/>
      <c r="R12" s="549">
        <v>2</v>
      </c>
      <c r="S12" s="550">
        <f ca="1">IF((AI7/Investment*100)&gt;0,(AI7/Investment*100),0)</f>
        <v>337.84920106354781</v>
      </c>
      <c r="T12" s="560">
        <f ca="1">EXP(y_inter2-(slope*LN(+S12)))</f>
        <v>5.6267572569928443</v>
      </c>
      <c r="U12" s="552">
        <f ca="1">(+S12*T12/100)/100</f>
        <v>0.19009954438535523</v>
      </c>
      <c r="V12" s="552">
        <f>regDebt_weighted</f>
        <v>3.5860000000000003E-2</v>
      </c>
      <c r="W12" s="552">
        <f ca="1">+U12-V12</f>
        <v>0.15423954438535523</v>
      </c>
      <c r="X12" s="552">
        <f ca="1">+((W12*(1-0.34))-Pfd_weighted)/Equity_percent</f>
        <v>0.2779305212044606</v>
      </c>
      <c r="Y12" s="552">
        <f ca="1">+X12*equityP</f>
        <v>0.16675831272267636</v>
      </c>
      <c r="Z12" s="552">
        <f ca="1">+Y12/(1-taxrate)</f>
        <v>0.21108647180085613</v>
      </c>
      <c r="AA12" s="552">
        <f>debtP*Debt_Rate</f>
        <v>1.3272946475850431E-2</v>
      </c>
      <c r="AB12" s="552">
        <f ca="1">+AA12+Z12</f>
        <v>0.22435941827670655</v>
      </c>
      <c r="AC12" s="552">
        <f ca="1">+AB12/(S12/100)</f>
        <v>6.6408154161804761E-2</v>
      </c>
      <c r="AD12" s="552">
        <f ca="1">1-AC12</f>
        <v>0.93359184583819521</v>
      </c>
      <c r="AE12" s="553">
        <f ca="1">expenses/(AD12)</f>
        <v>5015310.7265710542</v>
      </c>
      <c r="AF12" s="554">
        <f ca="1">+AE12-Revenue</f>
        <v>394738.4241182236</v>
      </c>
      <c r="AG12" s="555">
        <f ca="1">+AF12/$J$49</f>
        <v>432343.17676521401</v>
      </c>
      <c r="AH12" s="555">
        <f ca="1">+AG12*$J$47</f>
        <v>9186.6441882388081</v>
      </c>
      <c r="AI12" s="553">
        <f ca="1">ROUND(+AH12+AE12,5)</f>
        <v>5024497.3707600003</v>
      </c>
    </row>
    <row r="13" spans="1:35" ht="15.75">
      <c r="A13" s="516"/>
      <c r="B13" s="536" t="s">
        <v>372</v>
      </c>
      <c r="C13" s="692">
        <v>0</v>
      </c>
      <c r="D13" s="532"/>
      <c r="E13" s="516"/>
      <c r="F13" s="556">
        <f t="shared" si="0"/>
        <v>7</v>
      </c>
      <c r="G13" s="539"/>
      <c r="H13" s="539"/>
      <c r="I13" s="528"/>
      <c r="J13" s="528"/>
      <c r="K13" s="548"/>
      <c r="L13" s="539"/>
      <c r="M13" s="539"/>
      <c r="O13" s="541"/>
      <c r="P13" s="516"/>
      <c r="R13" s="557">
        <v>3</v>
      </c>
      <c r="S13" s="550">
        <f ca="1">IF((AI8/Investment*100)&gt;0,(AI8/Investment*100),0)</f>
        <v>337.84920106354781</v>
      </c>
      <c r="T13" s="551">
        <f ca="1">EXP(y_inter3-(slope*LN(S13)))</f>
        <v>5.5720515113108302</v>
      </c>
      <c r="U13" s="552">
        <f ca="1">(+S13*T13/100)/100</f>
        <v>0.18825131513812982</v>
      </c>
      <c r="V13" s="552">
        <f>regDebt_weighted</f>
        <v>3.5860000000000003E-2</v>
      </c>
      <c r="W13" s="552">
        <f ca="1">+U13-V13</f>
        <v>0.15239131513812981</v>
      </c>
      <c r="X13" s="552">
        <f ca="1">+((W13*(1-0.34))-Pfd_weighted)/Equity_percent</f>
        <v>0.2743844999743188</v>
      </c>
      <c r="Y13" s="552">
        <f ca="1">+X13*equityP</f>
        <v>0.16463069998459126</v>
      </c>
      <c r="Z13" s="552">
        <f ca="1">+Y13/(1-taxrate)</f>
        <v>0.20839329111973576</v>
      </c>
      <c r="AA13" s="552">
        <f>debtP*Debt_Rate</f>
        <v>1.3272946475850431E-2</v>
      </c>
      <c r="AB13" s="552">
        <f ca="1">+AA13+Z13</f>
        <v>0.22166623759558618</v>
      </c>
      <c r="AC13" s="552">
        <f ca="1">+AB13/(S13/100)</f>
        <v>6.5610999492608485E-2</v>
      </c>
      <c r="AD13" s="552">
        <f ca="1">1-AC13</f>
        <v>0.93438900050739149</v>
      </c>
      <c r="AE13" s="553">
        <f ca="1">expenses/(AD13)</f>
        <v>5011032.0178523241</v>
      </c>
      <c r="AF13" s="554">
        <f ca="1">+AE13-Revenue</f>
        <v>390459.71539949346</v>
      </c>
      <c r="AG13" s="555">
        <f ca="1">+AF13/$J$49</f>
        <v>427656.85689645261</v>
      </c>
      <c r="AH13" s="555">
        <f ca="1">+AG13*$J$47</f>
        <v>9087.0669183748632</v>
      </c>
      <c r="AI13" s="553">
        <f ca="1">ROUND(+AH13+AE13,5)</f>
        <v>5020119.0847699996</v>
      </c>
    </row>
    <row r="14" spans="1:35" ht="16.5" thickBot="1">
      <c r="A14" s="516"/>
      <c r="B14" s="561" t="s">
        <v>373</v>
      </c>
      <c r="C14" s="692">
        <f>+'WP-8 Bad Debts'!C28</f>
        <v>1.1485004550624797E-3</v>
      </c>
      <c r="D14" s="532"/>
      <c r="E14" s="516"/>
      <c r="F14" s="556">
        <f t="shared" si="0"/>
        <v>8</v>
      </c>
      <c r="G14" s="539"/>
      <c r="H14" s="539" t="s">
        <v>136</v>
      </c>
      <c r="I14" s="691">
        <f ca="1">+I9-SUM(I11:I13)</f>
        <v>-81528.1659300092</v>
      </c>
      <c r="J14" s="528"/>
      <c r="K14" s="691">
        <f ca="1">+K9-SUM(K11:K13)</f>
        <v>245068.75388757099</v>
      </c>
      <c r="L14" s="539"/>
      <c r="M14" s="691">
        <f ca="1">+M9-SUM(M11:M13)</f>
        <v>245068.75388757099</v>
      </c>
      <c r="O14" s="541"/>
      <c r="P14" s="516"/>
      <c r="R14" s="558">
        <v>4</v>
      </c>
      <c r="S14" s="550">
        <f ca="1">IF((AI9/Investment*100)&gt;0,(AI9/Investment*100),0)</f>
        <v>337.84920106354781</v>
      </c>
      <c r="T14" s="562">
        <f ca="1">EXP(y_inter4-(slope*LN(S14)))</f>
        <v>5.5370579323046254</v>
      </c>
      <c r="U14" s="552">
        <f ca="1">(+S14*T14/100)/100</f>
        <v>0.18706905986716976</v>
      </c>
      <c r="V14" s="552">
        <f>regDebt_weighted</f>
        <v>3.5860000000000003E-2</v>
      </c>
      <c r="W14" s="552">
        <f ca="1">+U14-V14</f>
        <v>0.15120905986716976</v>
      </c>
      <c r="X14" s="552">
        <f ca="1">+((W14*(1-0.34))-Pfd_weighted)/Equity_percent</f>
        <v>0.27211621951259313</v>
      </c>
      <c r="Y14" s="552">
        <f ca="1">+X14*equityP</f>
        <v>0.16326973170755588</v>
      </c>
      <c r="Z14" s="552">
        <f ca="1">+Y14/(1-taxrate)</f>
        <v>0.20667054646526059</v>
      </c>
      <c r="AA14" s="552">
        <f>debtP*Debt_Rate</f>
        <v>1.3272946475850431E-2</v>
      </c>
      <c r="AB14" s="552">
        <f ca="1">+AA14+Z14</f>
        <v>0.21994349294111101</v>
      </c>
      <c r="AC14" s="552">
        <f ca="1">+AB14/(S14/100)</f>
        <v>6.5101084225959352E-2</v>
      </c>
      <c r="AD14" s="552">
        <f ca="1">1-AC14</f>
        <v>0.93489891577404061</v>
      </c>
      <c r="AE14" s="553">
        <f ca="1">expenses/(AD14)</f>
        <v>5008298.8862971812</v>
      </c>
      <c r="AF14" s="554">
        <f ca="1">+AE14-Revenue</f>
        <v>387726.58384435065</v>
      </c>
      <c r="AG14" s="555">
        <f ca="1">+AF14/$J$49</f>
        <v>424663.35358674236</v>
      </c>
      <c r="AH14" s="555">
        <f ca="1">+AG14*$J$47</f>
        <v>9023.4594619362542</v>
      </c>
      <c r="AI14" s="553">
        <f ca="1">ROUND(+AH14+AE14,5)</f>
        <v>5017322.3457599999</v>
      </c>
    </row>
    <row r="15" spans="1:35" ht="16.5" thickTop="1">
      <c r="A15" s="516"/>
      <c r="B15" s="992"/>
      <c r="C15" s="992"/>
      <c r="D15" s="516"/>
      <c r="E15" s="516"/>
      <c r="F15" s="556">
        <f t="shared" si="0"/>
        <v>9</v>
      </c>
      <c r="G15" s="528"/>
      <c r="H15" s="528"/>
      <c r="I15" s="528"/>
      <c r="J15" s="528"/>
      <c r="K15" s="563"/>
      <c r="L15" s="528"/>
      <c r="M15" s="528"/>
      <c r="O15" s="541"/>
      <c r="P15" s="516"/>
      <c r="R15" s="530" t="s">
        <v>374</v>
      </c>
    </row>
    <row r="16" spans="1:35" ht="15.75">
      <c r="A16" s="516"/>
      <c r="B16" s="564" t="s">
        <v>375</v>
      </c>
      <c r="C16" s="990"/>
      <c r="D16" s="990"/>
      <c r="E16" s="516"/>
      <c r="F16" s="556">
        <f t="shared" si="0"/>
        <v>10</v>
      </c>
      <c r="G16" s="528"/>
      <c r="H16" s="547" t="s">
        <v>376</v>
      </c>
      <c r="I16" s="565">
        <f>+I8/I7</f>
        <v>1.0133491897066509</v>
      </c>
      <c r="J16" s="566"/>
      <c r="K16" s="565">
        <f ca="1">+K8/K7</f>
        <v>0.93415000000000015</v>
      </c>
      <c r="L16" s="567"/>
      <c r="M16" s="565">
        <f ca="1">+M8/M7</f>
        <v>0.93426955718053528</v>
      </c>
      <c r="O16" s="541"/>
      <c r="P16" s="516"/>
      <c r="R16" s="568">
        <v>1</v>
      </c>
      <c r="S16" s="569">
        <f ca="1">AI11/Investment*100</f>
        <v>336.45100105918641</v>
      </c>
      <c r="T16" s="570">
        <f ca="1">EXP(y_inter1-(slope*LN(+S16)))</f>
        <v>5.7241757326305223</v>
      </c>
      <c r="U16" s="571">
        <f ca="1">(+S16*T16/100)/100</f>
        <v>0.19259046554822409</v>
      </c>
      <c r="V16" s="571">
        <f>regDebt_weighted</f>
        <v>3.5860000000000003E-2</v>
      </c>
      <c r="W16" s="571">
        <f ca="1">+U16-V16</f>
        <v>0.15673046554822409</v>
      </c>
      <c r="X16" s="571">
        <f ca="1">+((W16*(1-0.34))-Pfd_weighted)/Equity_percent</f>
        <v>0.2827096141332206</v>
      </c>
      <c r="Y16" s="571">
        <f ca="1">+X16*equityP</f>
        <v>0.16962576847993235</v>
      </c>
      <c r="Z16" s="571">
        <f ca="1">+Y16/(1-taxrate)</f>
        <v>0.21471616263282575</v>
      </c>
      <c r="AA16" s="571">
        <f>debtP*Debt_Rate</f>
        <v>1.3272946475850431E-2</v>
      </c>
      <c r="AB16" s="571">
        <f ca="1">+AA16+Z16</f>
        <v>0.22798910910867617</v>
      </c>
      <c r="AC16" s="571">
        <f ca="1">+AB16/(S16/100)</f>
        <v>6.7762945686278317E-2</v>
      </c>
      <c r="AD16" s="571">
        <f ca="1">1-AC16</f>
        <v>0.93223705431372172</v>
      </c>
      <c r="AE16" s="572">
        <f ca="1">expenses/(AD16)</f>
        <v>5022599.3238581046</v>
      </c>
      <c r="AF16" s="573">
        <f ca="1">+AE16-Revenue</f>
        <v>402027.02140527405</v>
      </c>
      <c r="AG16" s="574">
        <f ca="1">+AF16/$J$49</f>
        <v>440326.12221139116</v>
      </c>
      <c r="AH16" s="574">
        <f ca="1">+AG16*$J$47</f>
        <v>9356.2698081846429</v>
      </c>
      <c r="AI16" s="572">
        <f ca="1">ROUND(+AH16+AE16,5)</f>
        <v>5031955.5936700003</v>
      </c>
    </row>
    <row r="17" spans="1:35" ht="15.75">
      <c r="A17" s="516"/>
      <c r="B17" s="989"/>
      <c r="C17" s="990"/>
      <c r="D17" s="516" t="s">
        <v>377</v>
      </c>
      <c r="E17" s="516"/>
      <c r="F17" s="556">
        <f t="shared" si="0"/>
        <v>11</v>
      </c>
      <c r="G17" s="528"/>
      <c r="H17" s="528"/>
      <c r="I17" s="528"/>
      <c r="K17" s="528"/>
      <c r="L17" s="547"/>
      <c r="M17" s="547"/>
      <c r="N17" s="565"/>
      <c r="O17" s="516"/>
      <c r="P17" s="516"/>
      <c r="R17" s="549">
        <v>2</v>
      </c>
      <c r="S17" s="550">
        <f ca="1">AI12/Investment*100</f>
        <v>336.0154098791765</v>
      </c>
      <c r="T17" s="560">
        <f ca="1">EXP(y_inter2-(slope*LN(+S17)))</f>
        <v>5.6477331881149953</v>
      </c>
      <c r="U17" s="552">
        <f ca="1">(+S17*T17/100)/100</f>
        <v>0.18977253820926884</v>
      </c>
      <c r="V17" s="552">
        <f>regDebt_weighted</f>
        <v>3.5860000000000003E-2</v>
      </c>
      <c r="W17" s="552">
        <f ca="1">+U17-V17</f>
        <v>0.15391253820926884</v>
      </c>
      <c r="X17" s="552">
        <f ca="1">+((W17*(1-0.34))-Pfd_weighted)/Equity_percent</f>
        <v>0.27730312563406229</v>
      </c>
      <c r="Y17" s="552">
        <f ca="1">+X17*equityP</f>
        <v>0.16638187538043736</v>
      </c>
      <c r="Z17" s="552">
        <f ca="1">+Y17/(1-taxrate)</f>
        <v>0.21060996883599664</v>
      </c>
      <c r="AA17" s="552">
        <f>debtP*Debt_Rate</f>
        <v>1.3272946475850431E-2</v>
      </c>
      <c r="AB17" s="552">
        <f ca="1">+AA17+Z17</f>
        <v>0.22388291531184706</v>
      </c>
      <c r="AC17" s="552">
        <f ca="1">+AB17/(S17/100)</f>
        <v>6.6628764255886444E-2</v>
      </c>
      <c r="AD17" s="552">
        <f ca="1">1-AC17</f>
        <v>0.93337123574411351</v>
      </c>
      <c r="AE17" s="553">
        <f ca="1">expenses/(AD17)</f>
        <v>5016496.1371867517</v>
      </c>
      <c r="AF17" s="554">
        <f ca="1">+AE17-Revenue</f>
        <v>395923.8347339211</v>
      </c>
      <c r="AG17" s="555">
        <f ca="1">+AF17/$J$49</f>
        <v>433641.51551322598</v>
      </c>
      <c r="AH17" s="555">
        <f ca="1">+AG17*$J$47</f>
        <v>9214.2319397167666</v>
      </c>
      <c r="AI17" s="553">
        <f ca="1">ROUND(+AH17+AE17,5)</f>
        <v>5025710.3691299995</v>
      </c>
    </row>
    <row r="18" spans="1:35" ht="15.75">
      <c r="A18" s="516"/>
      <c r="B18" s="991" t="s">
        <v>378</v>
      </c>
      <c r="C18" s="991"/>
      <c r="D18" s="516"/>
      <c r="E18" s="516"/>
      <c r="F18" s="556">
        <f t="shared" si="0"/>
        <v>12</v>
      </c>
      <c r="G18" s="528"/>
      <c r="H18" s="575" t="s">
        <v>379</v>
      </c>
      <c r="I18" s="576"/>
      <c r="J18" s="576"/>
      <c r="K18" s="576"/>
      <c r="L18" s="576"/>
      <c r="M18" s="577"/>
      <c r="O18" s="516"/>
      <c r="P18" s="516"/>
      <c r="R18" s="557">
        <v>3</v>
      </c>
      <c r="S18" s="550">
        <f ca="1">AI13/Investment*100</f>
        <v>335.72261013167144</v>
      </c>
      <c r="T18" s="551">
        <f ca="1">EXP(y_inter3-(slope*LN(S18)))</f>
        <v>5.5961578298762529</v>
      </c>
      <c r="U18" s="552">
        <f ca="1">(+S18*T18/100)/100</f>
        <v>0.18787567133548458</v>
      </c>
      <c r="V18" s="552">
        <f>regDebt_weighted</f>
        <v>3.5860000000000003E-2</v>
      </c>
      <c r="W18" s="552">
        <f ca="1">+U18-V18</f>
        <v>0.15201567133548458</v>
      </c>
      <c r="X18" s="552">
        <f ca="1">+((W18*(1-0.34))-Pfd_weighted)/Equity_percent</f>
        <v>0.27366378802738317</v>
      </c>
      <c r="Y18" s="552">
        <f ca="1">+X18*equityP</f>
        <v>0.1641982728164299</v>
      </c>
      <c r="Z18" s="552">
        <f ca="1">+Y18/(1-taxrate)</f>
        <v>0.20784591495750621</v>
      </c>
      <c r="AA18" s="552">
        <f>debtP*Debt_Rate</f>
        <v>1.3272946475850431E-2</v>
      </c>
      <c r="AB18" s="552">
        <f ca="1">+AA18+Z18</f>
        <v>0.22111886143335663</v>
      </c>
      <c r="AC18" s="552">
        <f ca="1">+AB18/(S18/100)</f>
        <v>6.5863559605542549E-2</v>
      </c>
      <c r="AD18" s="552">
        <f ca="1">1-AC18</f>
        <v>0.93413644039445742</v>
      </c>
      <c r="AE18" s="553">
        <f ca="1">expenses/(AD18)</f>
        <v>5012386.8379381467</v>
      </c>
      <c r="AF18" s="554">
        <f ca="1">+AE18-Revenue</f>
        <v>391814.53548531607</v>
      </c>
      <c r="AG18" s="555">
        <f ca="1">+AF18/$J$49</f>
        <v>429140.7439063334</v>
      </c>
      <c r="AH18" s="555">
        <f ca="1">+AG18*$J$47</f>
        <v>9118.5972921795765</v>
      </c>
      <c r="AI18" s="553">
        <f ca="1">ROUND(+AH18+AE18,5)</f>
        <v>5021505.4352299999</v>
      </c>
    </row>
    <row r="19" spans="1:35" ht="15.75">
      <c r="A19" s="516"/>
      <c r="B19" s="516"/>
      <c r="C19" s="516"/>
      <c r="D19" s="516"/>
      <c r="E19" s="516"/>
      <c r="F19" s="556">
        <f t="shared" si="0"/>
        <v>13</v>
      </c>
      <c r="G19" s="528"/>
      <c r="H19" s="533"/>
      <c r="I19" s="578" t="s">
        <v>380</v>
      </c>
      <c r="J19" s="579">
        <f>+Revenue</f>
        <v>4620572.3024528306</v>
      </c>
      <c r="K19" s="580"/>
      <c r="L19" s="578" t="s">
        <v>381</v>
      </c>
      <c r="M19" s="581">
        <f ca="1">+J7</f>
        <v>391741.77844592184</v>
      </c>
      <c r="O19" s="516"/>
      <c r="P19" s="516"/>
      <c r="R19" s="558">
        <v>4</v>
      </c>
      <c r="S19" s="550">
        <f ca="1">AI14/Investment*100</f>
        <v>335.5355770146399</v>
      </c>
      <c r="T19" s="562">
        <f ca="1">EXP(y_inter4-(slope*LN(S19)))</f>
        <v>5.5631319127100802</v>
      </c>
      <c r="U19" s="552">
        <f ca="1">(+S19*T19/100)/100</f>
        <v>0.18666286763397341</v>
      </c>
      <c r="V19" s="552">
        <f>regDebt_weighted</f>
        <v>3.5860000000000003E-2</v>
      </c>
      <c r="W19" s="552">
        <f ca="1">+U19-V19</f>
        <v>0.15080286763397341</v>
      </c>
      <c r="X19" s="552">
        <f ca="1">+((W19*(1-0.34))-Pfd_weighted)/Equity_percent</f>
        <v>0.27133689720471638</v>
      </c>
      <c r="Y19" s="552">
        <f ca="1">+X19*equityP</f>
        <v>0.16280213832282983</v>
      </c>
      <c r="Z19" s="552">
        <f ca="1">+Y19/(1-taxrate)</f>
        <v>0.20607865610484788</v>
      </c>
      <c r="AA19" s="552">
        <f>debtP*Debt_Rate</f>
        <v>1.3272946475850431E-2</v>
      </c>
      <c r="AB19" s="552">
        <f ca="1">+AA19+Z19</f>
        <v>0.2193516025806983</v>
      </c>
      <c r="AC19" s="552">
        <f ca="1">+AB19/(S19/100)</f>
        <v>6.5373575145841439E-2</v>
      </c>
      <c r="AD19" s="552">
        <f ca="1">1-AC19</f>
        <v>0.93462642485415859</v>
      </c>
      <c r="AE19" s="553">
        <f ca="1">expenses/(AD19)</f>
        <v>5009759.0589761045</v>
      </c>
      <c r="AF19" s="554">
        <f ca="1">+AE19-Revenue</f>
        <v>389186.75652327389</v>
      </c>
      <c r="AG19" s="555">
        <f ca="1">+AF19/$J$49</f>
        <v>426262.62960361771</v>
      </c>
      <c r="AH19" s="555">
        <f ca="1">+AG19*$J$47</f>
        <v>9057.4416791086005</v>
      </c>
      <c r="AI19" s="553">
        <f ca="1">ROUND(+AH19+AE19,5)</f>
        <v>5018816.5006600004</v>
      </c>
    </row>
    <row r="20" spans="1:35" ht="15.75">
      <c r="A20" s="516"/>
      <c r="B20" s="582"/>
      <c r="C20" s="516"/>
      <c r="D20" s="516"/>
      <c r="E20" s="516"/>
      <c r="F20" s="556">
        <f t="shared" si="0"/>
        <v>14</v>
      </c>
      <c r="G20" s="528"/>
      <c r="H20" s="533"/>
      <c r="I20" s="578" t="s">
        <v>382</v>
      </c>
      <c r="J20" s="579">
        <f ca="1">+J21-J19</f>
        <v>400858.68248253688</v>
      </c>
      <c r="K20" s="580"/>
      <c r="L20" s="578" t="s">
        <v>383</v>
      </c>
      <c r="M20" s="581">
        <f ca="1">+L8</f>
        <v>9116.9040366152185</v>
      </c>
      <c r="O20" s="516"/>
      <c r="P20" s="516"/>
      <c r="R20" s="530" t="s">
        <v>384</v>
      </c>
    </row>
    <row r="21" spans="1:35" ht="16.5" thickBot="1">
      <c r="A21" s="516"/>
      <c r="B21" s="582" t="s">
        <v>385</v>
      </c>
      <c r="C21" s="516"/>
      <c r="D21" s="516"/>
      <c r="E21" s="516"/>
      <c r="F21" s="556">
        <f t="shared" si="0"/>
        <v>15</v>
      </c>
      <c r="G21" s="528"/>
      <c r="H21" s="533"/>
      <c r="I21" s="583" t="s">
        <v>379</v>
      </c>
      <c r="J21" s="584">
        <f ca="1">+M7</f>
        <v>5021430.9849353675</v>
      </c>
      <c r="K21" s="585"/>
      <c r="L21" s="583" t="s">
        <v>382</v>
      </c>
      <c r="M21" s="586">
        <f ca="1">+M19+M20</f>
        <v>400858.68248253706</v>
      </c>
      <c r="O21" s="516"/>
      <c r="P21" s="516"/>
      <c r="R21" s="568">
        <v>1</v>
      </c>
      <c r="S21" s="569">
        <f ca="1">AI16/Investment*100</f>
        <v>336.51418172502486</v>
      </c>
      <c r="T21" s="570">
        <f ca="1">EXP(y_inter1-(slope*LN(+S21)))</f>
        <v>5.7234409596026392</v>
      </c>
      <c r="U21" s="571">
        <f ca="1">(+S21*T21/100)/100</f>
        <v>0.19260190511721731</v>
      </c>
      <c r="V21" s="571">
        <f>regDebt_weighted</f>
        <v>3.5860000000000003E-2</v>
      </c>
      <c r="W21" s="571">
        <f ca="1">+U21-V21</f>
        <v>0.15674190511721731</v>
      </c>
      <c r="X21" s="571">
        <f ca="1">+((W21*(1-0.34))-Pfd_weighted)/Equity_percent</f>
        <v>0.28273156214349832</v>
      </c>
      <c r="Y21" s="571">
        <f ca="1">+X21*equityP</f>
        <v>0.169638937286099</v>
      </c>
      <c r="Z21" s="571">
        <f ca="1">+Y21/(1-taxrate)</f>
        <v>0.21473283200772023</v>
      </c>
      <c r="AA21" s="571">
        <f>debtP*Debt_Rate</f>
        <v>1.3272946475850431E-2</v>
      </c>
      <c r="AB21" s="571">
        <f ca="1">+AA21+Z21</f>
        <v>0.22800577848357065</v>
      </c>
      <c r="AC21" s="571">
        <f ca="1">+AB21/(S21/100)</f>
        <v>6.7755176710466408E-2</v>
      </c>
      <c r="AD21" s="571">
        <f ca="1">1-AC21</f>
        <v>0.93224482328953362</v>
      </c>
      <c r="AE21" s="572">
        <f ca="1">expenses/(AD21)</f>
        <v>5022557.4674147274</v>
      </c>
      <c r="AF21" s="573">
        <f ca="1">+AE21-Revenue</f>
        <v>401985.16496189684</v>
      </c>
      <c r="AG21" s="574">
        <f ca="1">+AF21/$J$49</f>
        <v>440280.27831428836</v>
      </c>
      <c r="AH21" s="574">
        <f ca="1">+AG21*$J$47</f>
        <v>9355.295694116192</v>
      </c>
      <c r="AI21" s="572">
        <f ca="1">ROUND(+AH21+AE21,5)</f>
        <v>5031912.7631099997</v>
      </c>
    </row>
    <row r="22" spans="1:35" ht="16.5" thickTop="1">
      <c r="A22" s="516"/>
      <c r="B22" s="516" t="s">
        <v>386</v>
      </c>
      <c r="C22" s="516"/>
      <c r="D22" s="516"/>
      <c r="E22" s="516"/>
      <c r="F22" s="556">
        <f t="shared" si="0"/>
        <v>16</v>
      </c>
      <c r="G22" s="528"/>
      <c r="H22" s="587"/>
      <c r="I22" s="588"/>
      <c r="J22" s="588"/>
      <c r="K22" s="588"/>
      <c r="L22" s="588"/>
      <c r="M22" s="589"/>
      <c r="O22" s="516"/>
      <c r="P22" s="516"/>
      <c r="R22" s="549">
        <v>2</v>
      </c>
      <c r="S22" s="550">
        <f ca="1">AI17/Investment*100</f>
        <v>336.09652966378422</v>
      </c>
      <c r="T22" s="560">
        <f ca="1">EXP(y_inter2-(slope*LN(+S22)))</f>
        <v>5.6468012221860322</v>
      </c>
      <c r="U22" s="552">
        <f ca="1">(+S22*T22/100)/100</f>
        <v>0.1897870294477941</v>
      </c>
      <c r="V22" s="552">
        <f>regDebt_weighted</f>
        <v>3.5860000000000003E-2</v>
      </c>
      <c r="W22" s="552">
        <f ca="1">+U22-V22</f>
        <v>0.1539270294477941</v>
      </c>
      <c r="X22" s="552">
        <f ca="1">+((W22*(1-0.34))-Pfd_weighted)/Equity_percent</f>
        <v>0.27733092859169794</v>
      </c>
      <c r="Y22" s="552">
        <f ca="1">+X22*equityP</f>
        <v>0.16639855715501875</v>
      </c>
      <c r="Z22" s="552">
        <f ca="1">+Y22/(1-taxrate)</f>
        <v>0.21063108500635283</v>
      </c>
      <c r="AA22" s="552">
        <f>debtP*Debt_Rate</f>
        <v>1.3272946475850431E-2</v>
      </c>
      <c r="AB22" s="552">
        <f ca="1">+AA22+Z22</f>
        <v>0.22390403148220325</v>
      </c>
      <c r="AC22" s="552">
        <f ca="1">+AB22/(S22/100)</f>
        <v>6.6618965600801272E-2</v>
      </c>
      <c r="AD22" s="552">
        <f ca="1">1-AC22</f>
        <v>0.93338103439919873</v>
      </c>
      <c r="AE22" s="553">
        <f ca="1">expenses/(AD22)</f>
        <v>5016443.4738975121</v>
      </c>
      <c r="AF22" s="554">
        <f ca="1">+AE22-Revenue</f>
        <v>395871.17144468147</v>
      </c>
      <c r="AG22" s="555">
        <f ca="1">+AF22/$J$49</f>
        <v>433583.83525618073</v>
      </c>
      <c r="AH22" s="555">
        <f ca="1">+AG22*$J$47</f>
        <v>9213.006320748691</v>
      </c>
      <c r="AI22" s="553">
        <f ca="1">ROUND(+AH22+AE22,5)</f>
        <v>5025656.4802200003</v>
      </c>
    </row>
    <row r="23" spans="1:35" ht="15.75">
      <c r="A23" s="516"/>
      <c r="B23" s="516" t="s">
        <v>387</v>
      </c>
      <c r="C23" s="516"/>
      <c r="D23" s="516"/>
      <c r="E23" s="516"/>
      <c r="F23" s="556">
        <f t="shared" si="0"/>
        <v>17</v>
      </c>
      <c r="H23" s="528"/>
      <c r="I23" s="528"/>
      <c r="J23" s="528"/>
      <c r="K23" s="528"/>
      <c r="L23" s="528"/>
      <c r="M23" s="528"/>
      <c r="N23" s="528"/>
      <c r="O23" s="516"/>
      <c r="P23" s="516"/>
      <c r="R23" s="557">
        <v>3</v>
      </c>
      <c r="S23" s="550">
        <f ca="1">AI18/Investment*100</f>
        <v>335.81532291141423</v>
      </c>
      <c r="T23" s="551">
        <f ca="1">EXP(y_inter3-(slope*LN(S23)))</f>
        <v>5.5951015122239101</v>
      </c>
      <c r="U23" s="552">
        <f ca="1">(+S23*T23/100)/100</f>
        <v>0.18789208210496144</v>
      </c>
      <c r="V23" s="552">
        <f>regDebt_weighted</f>
        <v>3.5860000000000003E-2</v>
      </c>
      <c r="W23" s="552">
        <f ca="1">+U23-V23</f>
        <v>0.15203208210496144</v>
      </c>
      <c r="X23" s="552">
        <f ca="1">+((W23*(1-0.34))-Pfd_weighted)/Equity_percent</f>
        <v>0.27369527380603065</v>
      </c>
      <c r="Y23" s="552">
        <f ca="1">+X23*equityP</f>
        <v>0.16421716428361838</v>
      </c>
      <c r="Z23" s="552">
        <f ca="1">+Y23/(1-taxrate)</f>
        <v>0.20786982820711186</v>
      </c>
      <c r="AA23" s="552">
        <f>debtP*Debt_Rate</f>
        <v>1.3272946475850431E-2</v>
      </c>
      <c r="AB23" s="552">
        <f ca="1">+AA23+Z23</f>
        <v>0.22114277468296228</v>
      </c>
      <c r="AC23" s="552">
        <f ca="1">+AB23/(S23/100)</f>
        <v>6.5852496772846256E-2</v>
      </c>
      <c r="AD23" s="552">
        <f ca="1">1-AC23</f>
        <v>0.93414750322715379</v>
      </c>
      <c r="AE23" s="553">
        <f ca="1">expenses/(AD23)</f>
        <v>5012327.4777227566</v>
      </c>
      <c r="AF23" s="554">
        <f ca="1">+AE23-Revenue</f>
        <v>391755.17526992597</v>
      </c>
      <c r="AG23" s="555">
        <f ca="1">+AF23/$J$49</f>
        <v>429075.72874052444</v>
      </c>
      <c r="AH23" s="555">
        <f ca="1">+AG23*$J$47</f>
        <v>9117.2158173992993</v>
      </c>
      <c r="AI23" s="553">
        <f ca="1">ROUND(+AH23+AE23,5)</f>
        <v>5021444.6935400004</v>
      </c>
    </row>
    <row r="24" spans="1:35" ht="15.75">
      <c r="A24" s="516"/>
      <c r="B24" s="516" t="s">
        <v>388</v>
      </c>
      <c r="C24" s="516"/>
      <c r="D24" s="516"/>
      <c r="E24" s="516"/>
      <c r="F24" s="556">
        <f t="shared" si="0"/>
        <v>18</v>
      </c>
      <c r="H24" s="590"/>
      <c r="J24" s="591" t="s">
        <v>389</v>
      </c>
      <c r="K24" s="592" t="s">
        <v>390</v>
      </c>
      <c r="L24" s="592"/>
      <c r="M24" s="592"/>
      <c r="N24" s="592"/>
      <c r="O24" s="516"/>
      <c r="P24" s="516"/>
      <c r="R24" s="558">
        <v>4</v>
      </c>
      <c r="S24" s="550">
        <f ca="1">AI19/Investment*100</f>
        <v>335.63549926239909</v>
      </c>
      <c r="T24" s="562">
        <f ca="1">EXP(y_inter4-(slope*LN(S24)))</f>
        <v>5.5619995628275793</v>
      </c>
      <c r="U24" s="552">
        <f ca="1">(+S24*T24/100)/100</f>
        <v>0.18668045001668801</v>
      </c>
      <c r="V24" s="552">
        <f>regDebt_weighted</f>
        <v>3.5860000000000003E-2</v>
      </c>
      <c r="W24" s="552">
        <f ca="1">+U24-V24</f>
        <v>0.15082045001668801</v>
      </c>
      <c r="X24" s="552">
        <f ca="1">+((W24*(1-0.34))-Pfd_weighted)/Equity_percent</f>
        <v>0.27137063084597118</v>
      </c>
      <c r="Y24" s="552">
        <f ca="1">+X24*equityP</f>
        <v>0.16282237850758272</v>
      </c>
      <c r="Z24" s="552">
        <f ca="1">+Y24/(1-taxrate)</f>
        <v>0.20610427659187686</v>
      </c>
      <c r="AA24" s="552">
        <f>debtP*Debt_Rate</f>
        <v>1.3272946475850431E-2</v>
      </c>
      <c r="AB24" s="552">
        <f ca="1">+AA24+Z24</f>
        <v>0.21937722306772728</v>
      </c>
      <c r="AC24" s="552">
        <f ca="1">+AB24/(S24/100)</f>
        <v>6.5361746165061838E-2</v>
      </c>
      <c r="AD24" s="552">
        <f ca="1">1-AC24</f>
        <v>0.93463825383493815</v>
      </c>
      <c r="AE24" s="553">
        <f ca="1">expenses/(AD24)</f>
        <v>5009695.6543985838</v>
      </c>
      <c r="AF24" s="554">
        <f ca="1">+AE24-Revenue</f>
        <v>389123.35194575321</v>
      </c>
      <c r="AG24" s="555">
        <f ca="1">+AF24/$J$49</f>
        <v>426193.18478955387</v>
      </c>
      <c r="AH24" s="555">
        <f ca="1">+AG24*$J$47</f>
        <v>9055.9660809453635</v>
      </c>
      <c r="AI24" s="553">
        <f ca="1">ROUND(+AH24+AE24,5)</f>
        <v>5018751.62048</v>
      </c>
    </row>
    <row r="25" spans="1:35" ht="15.75">
      <c r="A25" s="516"/>
      <c r="B25" s="516" t="s">
        <v>391</v>
      </c>
      <c r="C25" s="516"/>
      <c r="D25" s="516"/>
      <c r="E25" s="516"/>
      <c r="F25" s="556">
        <f t="shared" si="0"/>
        <v>19</v>
      </c>
      <c r="H25" s="593" t="s">
        <v>392</v>
      </c>
      <c r="I25" s="594" t="s">
        <v>393</v>
      </c>
      <c r="J25" s="595" t="s">
        <v>3</v>
      </c>
      <c r="K25" s="593" t="s">
        <v>394</v>
      </c>
      <c r="L25" s="595" t="s">
        <v>395</v>
      </c>
      <c r="M25" s="595" t="s">
        <v>3</v>
      </c>
      <c r="O25" s="516"/>
      <c r="P25" s="516"/>
      <c r="R25" s="530" t="s">
        <v>396</v>
      </c>
      <c r="W25" s="596"/>
      <c r="X25" s="597"/>
      <c r="Y25" s="598"/>
      <c r="Z25" s="598"/>
      <c r="AA25" s="597"/>
      <c r="AC25" s="597"/>
      <c r="AD25" s="597"/>
      <c r="AE25" s="598"/>
      <c r="AF25" s="596"/>
    </row>
    <row r="26" spans="1:35" ht="15.75">
      <c r="A26" s="516"/>
      <c r="B26" s="516"/>
      <c r="C26" s="516"/>
      <c r="D26" s="516"/>
      <c r="E26" s="516"/>
      <c r="F26" s="556">
        <f t="shared" si="0"/>
        <v>20</v>
      </c>
      <c r="H26" s="547" t="s">
        <v>124</v>
      </c>
      <c r="I26" s="599">
        <f>1-I27</f>
        <v>0.6</v>
      </c>
      <c r="J26" s="600">
        <f>+I26*J28</f>
        <v>897190.52573809552</v>
      </c>
      <c r="K26" s="565">
        <f ca="1">+K34</f>
        <v>0.27315129491136708</v>
      </c>
      <c r="L26" s="599">
        <f ca="1">+K26*I26</f>
        <v>0.16389077694682025</v>
      </c>
      <c r="M26" s="548">
        <f ca="1">+J26*K26</f>
        <v>245068.75388757102</v>
      </c>
      <c r="O26" s="516"/>
      <c r="P26" s="516"/>
      <c r="R26" s="568">
        <v>1</v>
      </c>
      <c r="S26" s="569">
        <f ca="1">AI21/Investment*100</f>
        <v>336.5113174130127</v>
      </c>
      <c r="T26" s="570">
        <f ca="1">EXP(y_inter1-(slope*LN(+S26)))</f>
        <v>5.7234742657036684</v>
      </c>
      <c r="U26" s="571">
        <f ca="1">(+S26*T26/100)/100</f>
        <v>0.19260138653314171</v>
      </c>
      <c r="V26" s="571">
        <f>regDebt_weighted</f>
        <v>3.5860000000000003E-2</v>
      </c>
      <c r="W26" s="571">
        <f ca="1">+U26-V26</f>
        <v>0.15674138653314171</v>
      </c>
      <c r="X26" s="571">
        <f ca="1">+((W26*(1-0.34))-Pfd_weighted)/Equity_percent</f>
        <v>0.28273056718567885</v>
      </c>
      <c r="Y26" s="571">
        <f ca="1">+X26*equityP</f>
        <v>0.16963834031140732</v>
      </c>
      <c r="Z26" s="571">
        <f ca="1">+Y26/(1-taxrate)</f>
        <v>0.21473207634355354</v>
      </c>
      <c r="AA26" s="571">
        <f>debtP*Debt_Rate</f>
        <v>1.3272946475850431E-2</v>
      </c>
      <c r="AB26" s="571">
        <f ca="1">+AA26+Z26</f>
        <v>0.22800502281940396</v>
      </c>
      <c r="AC26" s="571">
        <f ca="1">+AB26/(S26/100)</f>
        <v>6.7755528869647197E-2</v>
      </c>
      <c r="AD26" s="571">
        <f ca="1">1-AC26</f>
        <v>0.9322444711303528</v>
      </c>
      <c r="AE26" s="572">
        <f ca="1">expenses/(AD26)</f>
        <v>5022559.3647064548</v>
      </c>
      <c r="AF26" s="573">
        <f ca="1">+AE26-Revenue</f>
        <v>401987.0622536242</v>
      </c>
      <c r="AG26" s="574">
        <f ca="1">+AF26/$J$49</f>
        <v>440282.35635149613</v>
      </c>
      <c r="AH26" s="574">
        <f ca="1">+AG26*$J$47</f>
        <v>9355.3398492907472</v>
      </c>
      <c r="AI26" s="572">
        <f ca="1">ROUND(+AH26+AE26,5)</f>
        <v>5031914.7045600004</v>
      </c>
    </row>
    <row r="27" spans="1:35" ht="15.75">
      <c r="A27" s="516"/>
      <c r="B27" s="516"/>
      <c r="C27" s="516"/>
      <c r="D27" s="516"/>
      <c r="E27" s="516"/>
      <c r="F27" s="556">
        <f t="shared" si="0"/>
        <v>21</v>
      </c>
      <c r="H27" s="547" t="s">
        <v>128</v>
      </c>
      <c r="I27" s="599">
        <f>IF(A65=TRUE,C8,0)</f>
        <v>0.4</v>
      </c>
      <c r="J27" s="601">
        <f>+I27*J28</f>
        <v>598127.0171587303</v>
      </c>
      <c r="K27" s="565">
        <f>IF(A65=TRUE,C9,0)</f>
        <v>3.3182366189626077E-2</v>
      </c>
      <c r="L27" s="599">
        <f>+K27*I27</f>
        <v>1.3272946475850431E-2</v>
      </c>
      <c r="M27" s="579">
        <f>+K27*J27</f>
        <v>19847.26971126975</v>
      </c>
      <c r="O27" s="516"/>
      <c r="P27" s="516"/>
      <c r="R27" s="549">
        <v>2</v>
      </c>
      <c r="S27" s="550">
        <f ca="1">AI22/Investment*100</f>
        <v>336.09292581988797</v>
      </c>
      <c r="T27" s="560">
        <f ca="1">EXP(y_inter2-(slope*LN(+S27)))</f>
        <v>5.6468426178531645</v>
      </c>
      <c r="U27" s="552">
        <f ca="1">(+S27*T27/100)/100</f>
        <v>0.18978638570787054</v>
      </c>
      <c r="V27" s="552">
        <f>regDebt_weighted</f>
        <v>3.5860000000000003E-2</v>
      </c>
      <c r="W27" s="552">
        <f ca="1">+U27-V27</f>
        <v>0.15392638570787054</v>
      </c>
      <c r="X27" s="552">
        <f ca="1">+((W27*(1-0.34))-Pfd_weighted)/Equity_percent</f>
        <v>0.27732969350928649</v>
      </c>
      <c r="Y27" s="552">
        <f ca="1">+X27*equityP</f>
        <v>0.16639781610557189</v>
      </c>
      <c r="Z27" s="552">
        <f ca="1">+Y27/(1-taxrate)</f>
        <v>0.21063014696907834</v>
      </c>
      <c r="AA27" s="552">
        <f>debtP*Debt_Rate</f>
        <v>1.3272946475850431E-2</v>
      </c>
      <c r="AB27" s="552">
        <f ca="1">+AA27+Z27</f>
        <v>0.22390309344492876</v>
      </c>
      <c r="AC27" s="552">
        <f ca="1">+AB27/(S27/100)</f>
        <v>6.661940083943281E-2</v>
      </c>
      <c r="AD27" s="552">
        <f ca="1">1-AC27</f>
        <v>0.93338059916056715</v>
      </c>
      <c r="AE27" s="553">
        <f ca="1">expenses/(AD27)</f>
        <v>5016445.8130826158</v>
      </c>
      <c r="AF27" s="554">
        <f ca="1">+AE27-Revenue</f>
        <v>395873.51062978525</v>
      </c>
      <c r="AG27" s="555">
        <f ca="1">+AF27/$J$49</f>
        <v>433586.39728373371</v>
      </c>
      <c r="AH27" s="555">
        <f ca="1">+AG27*$J$47</f>
        <v>9213.0607599923169</v>
      </c>
      <c r="AI27" s="553">
        <f ca="1">ROUND(+AH27+AE27,5)</f>
        <v>5025658.8738399995</v>
      </c>
    </row>
    <row r="28" spans="1:35" ht="16.5" thickBot="1">
      <c r="A28" s="516"/>
      <c r="B28" s="516"/>
      <c r="C28" s="516"/>
      <c r="D28" s="516"/>
      <c r="E28" s="516"/>
      <c r="F28" s="556">
        <f t="shared" si="0"/>
        <v>22</v>
      </c>
      <c r="H28" s="547" t="s">
        <v>0</v>
      </c>
      <c r="I28" s="602">
        <f>SUM(I26:I27)</f>
        <v>1</v>
      </c>
      <c r="J28" s="603">
        <f>IF(A65=TRUE,C7,0)</f>
        <v>1495317.5428968258</v>
      </c>
      <c r="K28" s="604"/>
      <c r="L28" s="605">
        <f ca="1">SUM(L26:L27)</f>
        <v>0.17716372342267067</v>
      </c>
      <c r="M28" s="603">
        <f ca="1">SUM(M26:M27)</f>
        <v>264916.02359884075</v>
      </c>
      <c r="O28" s="516"/>
      <c r="P28" s="516"/>
      <c r="R28" s="557">
        <v>3</v>
      </c>
      <c r="S28" s="550">
        <f ca="1">AI23/Investment*100</f>
        <v>335.81126078492554</v>
      </c>
      <c r="T28" s="551">
        <f ca="1">EXP(y_inter3-(slope*LN(S28)))</f>
        <v>5.5951477835397476</v>
      </c>
      <c r="U28" s="552">
        <f ca="1">(+S28*T28/100)/100</f>
        <v>0.18789136314684643</v>
      </c>
      <c r="V28" s="552">
        <f>regDebt_weighted</f>
        <v>3.5860000000000003E-2</v>
      </c>
      <c r="W28" s="552">
        <f ca="1">+U28-V28</f>
        <v>0.15203136314684643</v>
      </c>
      <c r="X28" s="552">
        <f ca="1">+((W28*(1-0.34))-Pfd_weighted)/Equity_percent</f>
        <v>0.2736938944096472</v>
      </c>
      <c r="Y28" s="552">
        <f ca="1">+X28*equityP</f>
        <v>0.1642163366457883</v>
      </c>
      <c r="Z28" s="552">
        <f ca="1">+Y28/(1-taxrate)</f>
        <v>0.20786878056428898</v>
      </c>
      <c r="AA28" s="552">
        <f>debtP*Debt_Rate</f>
        <v>1.3272946475850431E-2</v>
      </c>
      <c r="AB28" s="552">
        <f ca="1">+AA28+Z28</f>
        <v>0.2211417270401394</v>
      </c>
      <c r="AC28" s="552">
        <f ca="1">+AB28/(S28/100)</f>
        <v>6.5852981381041995E-2</v>
      </c>
      <c r="AD28" s="552">
        <f ca="1">1-AC28</f>
        <v>0.93414701861895799</v>
      </c>
      <c r="AE28" s="553">
        <f ca="1">expenses/(AD28)</f>
        <v>5012330.0779718896</v>
      </c>
      <c r="AF28" s="554">
        <f ca="1">+AE28-Revenue</f>
        <v>391757.77551905904</v>
      </c>
      <c r="AG28" s="555">
        <f ca="1">+AF28/$J$49</f>
        <v>429078.57670236926</v>
      </c>
      <c r="AH28" s="555">
        <f ca="1">+AG28*$J$47</f>
        <v>9117.2763323178551</v>
      </c>
      <c r="AI28" s="553">
        <f ca="1">ROUND(+AH28+AE28,5)</f>
        <v>5021447.3542999998</v>
      </c>
    </row>
    <row r="29" spans="1:35" ht="16.5" thickTop="1">
      <c r="A29" s="516"/>
      <c r="B29" s="516"/>
      <c r="C29" s="516"/>
      <c r="D29" s="516"/>
      <c r="E29" s="516"/>
      <c r="F29" s="556">
        <f t="shared" si="0"/>
        <v>23</v>
      </c>
      <c r="G29" s="528"/>
      <c r="H29" s="528"/>
      <c r="I29" s="528"/>
      <c r="J29" s="528"/>
      <c r="K29" s="528"/>
      <c r="L29" s="528"/>
      <c r="M29" s="528"/>
      <c r="N29" s="528"/>
      <c r="O29" s="516"/>
      <c r="P29" s="516"/>
      <c r="R29" s="558">
        <v>4</v>
      </c>
      <c r="S29" s="550">
        <f ca="1">AI24/Investment*100</f>
        <v>335.63116037262228</v>
      </c>
      <c r="T29" s="562">
        <f ca="1">EXP(y_inter4-(slope*LN(S29)))</f>
        <v>5.5620487206830935</v>
      </c>
      <c r="U29" s="552">
        <f ca="1">(+S29*T29/100)/100</f>
        <v>0.18667968661719261</v>
      </c>
      <c r="V29" s="552">
        <f>regDebt_weighted</f>
        <v>3.5860000000000003E-2</v>
      </c>
      <c r="W29" s="552">
        <f ca="1">+U29-V29</f>
        <v>0.15081968661719261</v>
      </c>
      <c r="X29" s="552">
        <f ca="1">+((W29*(1-0.34))-Pfd_weighted)/Equity_percent</f>
        <v>0.27136916618414864</v>
      </c>
      <c r="Y29" s="552">
        <f ca="1">+X29*equityP</f>
        <v>0.16282149971048918</v>
      </c>
      <c r="Z29" s="552">
        <f ca="1">+Y29/(1-taxrate)</f>
        <v>0.20610316419049263</v>
      </c>
      <c r="AA29" s="552">
        <f>debtP*Debt_Rate</f>
        <v>1.3272946475850431E-2</v>
      </c>
      <c r="AB29" s="552">
        <f ca="1">+AA29+Z29</f>
        <v>0.21937611066634305</v>
      </c>
      <c r="AC29" s="552">
        <f ca="1">+AB29/(S29/100)</f>
        <v>6.5362259696861491E-2</v>
      </c>
      <c r="AD29" s="552">
        <f ca="1">1-AC29</f>
        <v>0.93463774030313851</v>
      </c>
      <c r="AE29" s="553">
        <f ca="1">expenses/(AD29)</f>
        <v>5009698.4069495602</v>
      </c>
      <c r="AF29" s="554">
        <f ca="1">+AE29-Revenue</f>
        <v>389126.10449672956</v>
      </c>
      <c r="AG29" s="555">
        <f ca="1">+AF29/$J$49</f>
        <v>426196.19956227578</v>
      </c>
      <c r="AH29" s="555">
        <f ca="1">+AG29*$J$47</f>
        <v>9056.0301403449175</v>
      </c>
      <c r="AI29" s="553">
        <f ca="1">ROUND(+AH29+AE29,5)</f>
        <v>5018754.4370900001</v>
      </c>
    </row>
    <row r="30" spans="1:35" ht="15.75">
      <c r="A30" s="516"/>
      <c r="B30" s="516"/>
      <c r="C30" s="516"/>
      <c r="D30" s="516"/>
      <c r="E30" s="516"/>
      <c r="F30" s="556">
        <f t="shared" si="0"/>
        <v>24</v>
      </c>
      <c r="G30" s="528"/>
      <c r="H30" s="528"/>
      <c r="I30" s="528"/>
      <c r="J30" s="606" t="s">
        <v>397</v>
      </c>
      <c r="K30" s="606" t="s">
        <v>398</v>
      </c>
      <c r="L30" s="528"/>
      <c r="M30" s="528"/>
      <c r="N30" s="528"/>
      <c r="O30" s="516"/>
      <c r="P30" s="516"/>
      <c r="R30" s="530" t="s">
        <v>399</v>
      </c>
      <c r="W30" s="596"/>
      <c r="X30" s="597"/>
      <c r="Y30" s="598"/>
      <c r="Z30" s="598"/>
      <c r="AA30" s="597"/>
      <c r="AC30" s="597"/>
      <c r="AD30" s="597"/>
      <c r="AE30" s="598"/>
      <c r="AF30" s="596"/>
      <c r="AH30" s="598"/>
    </row>
    <row r="31" spans="1:35" ht="15.75">
      <c r="A31" s="516"/>
      <c r="B31" s="516"/>
      <c r="C31" s="516"/>
      <c r="D31" s="516"/>
      <c r="E31" s="516"/>
      <c r="F31" s="556">
        <f t="shared" si="0"/>
        <v>25</v>
      </c>
      <c r="G31" s="528"/>
      <c r="H31" s="607" t="s">
        <v>400</v>
      </c>
      <c r="I31" s="608"/>
      <c r="J31" s="609" t="s">
        <v>401</v>
      </c>
      <c r="K31" s="609" t="s">
        <v>401</v>
      </c>
      <c r="L31" s="528"/>
      <c r="M31" s="528"/>
      <c r="N31" s="528"/>
      <c r="O31" s="516"/>
      <c r="P31" s="516"/>
      <c r="R31" s="568">
        <v>1</v>
      </c>
      <c r="S31" s="569">
        <f ca="1">AI26/Investment*100</f>
        <v>336.51144724831153</v>
      </c>
      <c r="T31" s="570">
        <f ca="1">EXP(y_inter1-(slope*LN(+S31)))</f>
        <v>5.7234727559738845</v>
      </c>
      <c r="U31" s="571">
        <f ca="1">(+S31*T31/100)/100</f>
        <v>0.19260141003990541</v>
      </c>
      <c r="V31" s="571">
        <f>regDebt_weighted</f>
        <v>3.5860000000000003E-2</v>
      </c>
      <c r="W31" s="571">
        <f ca="1">+U31-V31</f>
        <v>0.15674141003990541</v>
      </c>
      <c r="X31" s="571">
        <f ca="1">+((W31*(1-0.34))-Pfd_weighted)/Equity_percent</f>
        <v>0.28273061228586499</v>
      </c>
      <c r="Y31" s="571">
        <f ca="1">+X31*equityP</f>
        <v>0.16963836737151899</v>
      </c>
      <c r="Z31" s="571">
        <f ca="1">+Y31/(1-taxrate)</f>
        <v>0.21473211059685948</v>
      </c>
      <c r="AA31" s="571">
        <f>debtP*Debt_Rate</f>
        <v>1.3272946475850431E-2</v>
      </c>
      <c r="AB31" s="571">
        <f ca="1">+AA31+Z31</f>
        <v>0.2280050570727099</v>
      </c>
      <c r="AC31" s="571">
        <f ca="1">+AB31/(S31/100)</f>
        <v>6.7755512906657572E-2</v>
      </c>
      <c r="AD31" s="571">
        <f ca="1">1-AC31</f>
        <v>0.9322444870933424</v>
      </c>
      <c r="AE31" s="572">
        <f ca="1">expenses/(AD31)</f>
        <v>5022559.2787042698</v>
      </c>
      <c r="AF31" s="573">
        <f ca="1">+AE31-Revenue</f>
        <v>401986.97625143919</v>
      </c>
      <c r="AG31" s="574">
        <f ca="1">+AF31/$J$49</f>
        <v>440282.26215631369</v>
      </c>
      <c r="AH31" s="574">
        <f ca="1">+AG31*$J$47</f>
        <v>9355.3378477843708</v>
      </c>
      <c r="AI31" s="572">
        <f ca="1">ROUND(+AH31+AE31,5)</f>
        <v>5031914.6165500004</v>
      </c>
    </row>
    <row r="32" spans="1:35" ht="15.75">
      <c r="A32" s="516"/>
      <c r="B32" s="516"/>
      <c r="C32" s="516"/>
      <c r="D32" s="516"/>
      <c r="E32" s="516"/>
      <c r="F32" s="556">
        <f t="shared" si="0"/>
        <v>26</v>
      </c>
      <c r="G32" s="528"/>
      <c r="H32" s="539"/>
      <c r="I32" s="539"/>
      <c r="J32" s="539"/>
      <c r="K32" s="539"/>
      <c r="L32" s="528"/>
      <c r="M32" s="528"/>
      <c r="N32" s="528"/>
      <c r="O32" s="516"/>
      <c r="P32" s="516"/>
      <c r="R32" s="549">
        <v>2</v>
      </c>
      <c r="S32" s="550">
        <f ca="1">AI27/Investment*100</f>
        <v>336.09308589424882</v>
      </c>
      <c r="T32" s="560">
        <f ca="1">EXP(y_inter2-(slope*LN(+S32)))</f>
        <v>5.6468407791380857</v>
      </c>
      <c r="U32" s="552">
        <f ca="1">(+S32*T32/100)/100</f>
        <v>0.18978641430140034</v>
      </c>
      <c r="V32" s="552">
        <f>regDebt_weighted</f>
        <v>3.5860000000000003E-2</v>
      </c>
      <c r="W32" s="552">
        <f ca="1">+U32-V32</f>
        <v>0.15392641430140033</v>
      </c>
      <c r="X32" s="552">
        <f ca="1">+((W32*(1-0.34))-Pfd_weighted)/Equity_percent</f>
        <v>0.27732974836896573</v>
      </c>
      <c r="Y32" s="552">
        <f ca="1">+X32*equityP</f>
        <v>0.16639784902137944</v>
      </c>
      <c r="Z32" s="552">
        <f ca="1">+Y32/(1-taxrate)</f>
        <v>0.21063018863465752</v>
      </c>
      <c r="AA32" s="552">
        <f>debtP*Debt_Rate</f>
        <v>1.3272946475850431E-2</v>
      </c>
      <c r="AB32" s="552">
        <f ca="1">+AA32+Z32</f>
        <v>0.22390313511050794</v>
      </c>
      <c r="AC32" s="552">
        <f ca="1">+AB32/(S32/100)</f>
        <v>6.6619381506990816E-2</v>
      </c>
      <c r="AD32" s="552">
        <f ca="1">1-AC32</f>
        <v>0.93338061849300913</v>
      </c>
      <c r="AE32" s="553">
        <f ca="1">expenses/(AD32)</f>
        <v>5016445.7091805786</v>
      </c>
      <c r="AF32" s="554">
        <f ca="1">+AE32-Revenue</f>
        <v>395873.40672774799</v>
      </c>
      <c r="AG32" s="555">
        <f ca="1">+AF32/$J$49</f>
        <v>433586.28348346974</v>
      </c>
      <c r="AH32" s="555">
        <f ca="1">+AG32*$J$47</f>
        <v>9213.0583419073573</v>
      </c>
      <c r="AI32" s="553">
        <f ca="1">ROUND(+AH32+AE32,5)</f>
        <v>5025658.7675200002</v>
      </c>
    </row>
    <row r="33" spans="1:46" ht="15.75">
      <c r="A33" s="516"/>
      <c r="B33" s="516"/>
      <c r="C33" s="516"/>
      <c r="D33" s="516"/>
      <c r="E33" s="516"/>
      <c r="F33" s="556">
        <f t="shared" si="0"/>
        <v>27</v>
      </c>
      <c r="G33" s="528"/>
      <c r="H33" s="539" t="s">
        <v>402</v>
      </c>
      <c r="I33" s="539"/>
      <c r="J33" s="610">
        <f ca="1">+K9/J28</f>
        <v>0.22072962615536973</v>
      </c>
      <c r="K33" s="610">
        <f ca="1">+(M14+M11)/J28</f>
        <v>0.17716372342267067</v>
      </c>
      <c r="L33" s="528"/>
      <c r="M33" s="528"/>
      <c r="N33" s="528"/>
      <c r="O33" s="516"/>
      <c r="P33" s="516"/>
      <c r="R33" s="557">
        <v>3</v>
      </c>
      <c r="S33" s="550">
        <f ca="1">AI28/Investment*100</f>
        <v>335.8114387243881</v>
      </c>
      <c r="T33" s="551">
        <f ca="1">EXP(y_inter3-(slope*LN(S33)))</f>
        <v>5.5951457566276668</v>
      </c>
      <c r="U33" s="552">
        <f ca="1">(+S33*T33/100)/100</f>
        <v>0.18789139464057919</v>
      </c>
      <c r="V33" s="552">
        <f>regDebt_weighted</f>
        <v>3.5860000000000003E-2</v>
      </c>
      <c r="W33" s="552">
        <f ca="1">+U33-V33</f>
        <v>0.15203139464057919</v>
      </c>
      <c r="X33" s="552">
        <f ca="1">+((W33*(1-0.34))-Pfd_weighted)/Equity_percent</f>
        <v>0.27369395483366937</v>
      </c>
      <c r="Y33" s="552">
        <f ca="1">+X33*equityP</f>
        <v>0.16421637290020161</v>
      </c>
      <c r="Z33" s="552">
        <f ca="1">+Y33/(1-taxrate)</f>
        <v>0.20786882645595139</v>
      </c>
      <c r="AA33" s="552">
        <f>debtP*Debt_Rate</f>
        <v>1.3272946475850431E-2</v>
      </c>
      <c r="AB33" s="552">
        <f ca="1">+AA33+Z33</f>
        <v>0.22114177293180182</v>
      </c>
      <c r="AC33" s="552">
        <f ca="1">+AB33/(S33/100)</f>
        <v>6.5852960152825643E-2</v>
      </c>
      <c r="AD33" s="552">
        <f ca="1">1-AC33</f>
        <v>0.9341470398471744</v>
      </c>
      <c r="AE33" s="553">
        <f ca="1">expenses/(AD33)</f>
        <v>5012329.964068165</v>
      </c>
      <c r="AF33" s="554">
        <f ca="1">+AE33-Revenue</f>
        <v>391757.66161533445</v>
      </c>
      <c r="AG33" s="555">
        <f ca="1">+AF33/$J$49</f>
        <v>429078.45194760733</v>
      </c>
      <c r="AH33" s="555">
        <f ca="1">+AG33*$J$47</f>
        <v>9117.2736814662385</v>
      </c>
      <c r="AI33" s="553">
        <f ca="1">ROUND(+AH33+AE33,5)</f>
        <v>5021447.2377500003</v>
      </c>
    </row>
    <row r="34" spans="1:46" ht="15.75">
      <c r="A34" s="516"/>
      <c r="B34" s="516"/>
      <c r="C34" s="516"/>
      <c r="D34" s="516"/>
      <c r="E34" s="516"/>
      <c r="F34" s="556">
        <f t="shared" si="0"/>
        <v>28</v>
      </c>
      <c r="G34" s="528"/>
      <c r="H34" s="539" t="s">
        <v>403</v>
      </c>
      <c r="I34" s="539"/>
      <c r="J34" s="610">
        <f ca="1">+(M9-M11)/J26</f>
        <v>0.34576113279919879</v>
      </c>
      <c r="K34" s="610">
        <f ca="1">+M14/J26</f>
        <v>0.27315129491136708</v>
      </c>
      <c r="L34" s="528"/>
      <c r="M34" s="528"/>
      <c r="N34" s="528"/>
      <c r="O34" s="611"/>
      <c r="P34" s="516"/>
      <c r="R34" s="558">
        <v>4</v>
      </c>
      <c r="S34" s="550">
        <f ca="1">AI29/Investment*100</f>
        <v>335.63134873462025</v>
      </c>
      <c r="T34" s="562">
        <f ca="1">EXP(y_inter4-(slope*LN(S34)))</f>
        <v>5.5620465865960904</v>
      </c>
      <c r="U34" s="552">
        <f ca="1">(+S34*T34/100)/100</f>
        <v>0.18667971975840367</v>
      </c>
      <c r="V34" s="552">
        <f>regDebt_weighted</f>
        <v>3.5860000000000003E-2</v>
      </c>
      <c r="W34" s="552">
        <f ca="1">+U34-V34</f>
        <v>0.15081971975840366</v>
      </c>
      <c r="X34" s="552">
        <f ca="1">+((W34*(1-0.34))-Pfd_weighted)/Equity_percent</f>
        <v>0.27136922976903027</v>
      </c>
      <c r="Y34" s="552">
        <f ca="1">+X34*equityP</f>
        <v>0.16282153786141815</v>
      </c>
      <c r="Z34" s="552">
        <f ca="1">+Y34/(1-taxrate)</f>
        <v>0.20610321248280777</v>
      </c>
      <c r="AA34" s="552">
        <f>debtP*Debt_Rate</f>
        <v>1.3272946475850431E-2</v>
      </c>
      <c r="AB34" s="552">
        <f ca="1">+AA34+Z34</f>
        <v>0.2193761589586582</v>
      </c>
      <c r="AC34" s="552">
        <f ca="1">+AB34/(S34/100)</f>
        <v>6.5362237402953785E-2</v>
      </c>
      <c r="AD34" s="552">
        <f ca="1">1-AC34</f>
        <v>0.93463776259704623</v>
      </c>
      <c r="AE34" s="553">
        <f ca="1">expenses/(AD34)</f>
        <v>5009698.2874532612</v>
      </c>
      <c r="AF34" s="554">
        <f ca="1">+AE34-Revenue</f>
        <v>389125.98500043061</v>
      </c>
      <c r="AG34" s="555">
        <f ca="1">+AF34/$J$49</f>
        <v>426196.06868216291</v>
      </c>
      <c r="AH34" s="555">
        <f ca="1">+AG34*$J$47</f>
        <v>9056.0273593387792</v>
      </c>
      <c r="AI34" s="553">
        <f ca="1">ROUND(+AH34+AE34,5)</f>
        <v>5018754.3148100004</v>
      </c>
    </row>
    <row r="35" spans="1:46" ht="15.75">
      <c r="A35" s="516"/>
      <c r="B35" s="516"/>
      <c r="C35" s="516"/>
      <c r="D35" s="516"/>
      <c r="E35" s="516"/>
      <c r="F35" s="556">
        <f t="shared" si="0"/>
        <v>29</v>
      </c>
      <c r="G35" s="528"/>
      <c r="H35" s="612" t="s">
        <v>359</v>
      </c>
      <c r="I35" s="539"/>
      <c r="J35" s="610">
        <f ca="1">+K8/K7</f>
        <v>0.93415000000000015</v>
      </c>
      <c r="K35" s="610">
        <f ca="1">+M8/M7</f>
        <v>0.93426955718053528</v>
      </c>
      <c r="L35" s="528"/>
      <c r="M35" s="528"/>
      <c r="N35" s="528"/>
      <c r="O35" s="516"/>
      <c r="P35" s="516"/>
      <c r="R35" s="530" t="s">
        <v>404</v>
      </c>
      <c r="X35" s="597"/>
      <c r="Y35" s="613"/>
      <c r="Z35" s="598"/>
      <c r="AA35" s="597"/>
      <c r="AC35" s="597"/>
      <c r="AD35" s="597"/>
      <c r="AE35" s="598"/>
      <c r="AF35" s="596"/>
      <c r="AH35" s="598"/>
    </row>
    <row r="36" spans="1:46" ht="15.75">
      <c r="A36" s="516"/>
      <c r="B36" s="516"/>
      <c r="C36" s="516"/>
      <c r="D36" s="516"/>
      <c r="E36" s="516"/>
      <c r="F36" s="556">
        <f t="shared" si="0"/>
        <v>30</v>
      </c>
      <c r="G36" s="528"/>
      <c r="H36" s="539" t="s">
        <v>405</v>
      </c>
      <c r="I36" s="539"/>
      <c r="J36" s="610">
        <f ca="1">+K9/K7</f>
        <v>6.5849999999999909E-2</v>
      </c>
      <c r="K36" s="610">
        <f ca="1">+J36</f>
        <v>6.5849999999999909E-2</v>
      </c>
      <c r="L36" s="528"/>
      <c r="M36" s="528"/>
      <c r="N36" s="528"/>
      <c r="O36" s="516"/>
      <c r="P36" s="516"/>
      <c r="R36" s="568">
        <v>1</v>
      </c>
      <c r="S36" s="569">
        <f ca="1">AI31/Investment*100</f>
        <v>336.51144136260518</v>
      </c>
      <c r="T36" s="570">
        <f ca="1">EXP(y_inter1-(slope*LN(+S36)))</f>
        <v>5.7234728244130775</v>
      </c>
      <c r="U36" s="571">
        <f ca="1">(+S36*T36/100)/100</f>
        <v>0.19260140897429456</v>
      </c>
      <c r="V36" s="571">
        <f>regDebt_weighted</f>
        <v>3.5860000000000003E-2</v>
      </c>
      <c r="W36" s="571">
        <f ca="1">+U36-V36</f>
        <v>0.15674140897429456</v>
      </c>
      <c r="X36" s="571">
        <f ca="1">+((W36*(1-0.34))-Pfd_weighted)/Equity_percent</f>
        <v>0.28273061024137908</v>
      </c>
      <c r="Y36" s="571">
        <f ca="1">+X36*equityP</f>
        <v>0.16963836614482744</v>
      </c>
      <c r="Z36" s="571">
        <f ca="1">+Y36/(1-taxrate)</f>
        <v>0.21473210904408535</v>
      </c>
      <c r="AA36" s="571">
        <f>debtP*Debt_Rate</f>
        <v>1.3272946475850431E-2</v>
      </c>
      <c r="AB36" s="571">
        <f ca="1">+AA36+Z36</f>
        <v>0.22800505551993577</v>
      </c>
      <c r="AC36" s="571">
        <f ca="1">+AB36/(S36/100)</f>
        <v>6.7755513630293113E-2</v>
      </c>
      <c r="AD36" s="571">
        <f ca="1">1-AC36</f>
        <v>0.93224448636970692</v>
      </c>
      <c r="AE36" s="572">
        <f ca="1">expenses/(AD36)</f>
        <v>5022559.2826029276</v>
      </c>
      <c r="AF36" s="573">
        <f ca="1">+AE36-Revenue</f>
        <v>401986.98015009705</v>
      </c>
      <c r="AG36" s="574">
        <f ca="1">+AF36/$J$49</f>
        <v>440282.26642637717</v>
      </c>
      <c r="AH36" s="574">
        <f ca="1">+AG36*$J$47</f>
        <v>9355.3379385168155</v>
      </c>
      <c r="AI36" s="572">
        <f ca="1">ROUND(+AH36+AE36,5)</f>
        <v>5031914.6205399996</v>
      </c>
    </row>
    <row r="37" spans="1:46" ht="15.75">
      <c r="A37" s="516"/>
      <c r="B37" s="516"/>
      <c r="C37" s="516"/>
      <c r="D37" s="516"/>
      <c r="E37" s="516"/>
      <c r="F37" s="556">
        <f t="shared" si="0"/>
        <v>31</v>
      </c>
      <c r="G37" s="528"/>
      <c r="H37" s="539" t="s">
        <v>406</v>
      </c>
      <c r="I37" s="614"/>
      <c r="J37" s="615">
        <f ca="1">+S39/100</f>
        <v>3.3563134055709298</v>
      </c>
      <c r="K37" s="615">
        <f ca="1">+J37</f>
        <v>3.3563134055709298</v>
      </c>
      <c r="L37" s="528"/>
      <c r="M37" s="528"/>
      <c r="N37" s="528"/>
      <c r="O37" s="516"/>
      <c r="P37" s="516"/>
      <c r="R37" s="549">
        <v>2</v>
      </c>
      <c r="S37" s="550">
        <f ca="1">AI32/Investment*100</f>
        <v>336.09307878405338</v>
      </c>
      <c r="T37" s="560">
        <f ca="1">EXP(y_inter2-(slope*LN(+S37)))</f>
        <v>5.6468408608102436</v>
      </c>
      <c r="U37" s="552">
        <f ca="1">(+S37*T37/100)/100</f>
        <v>0.18978641303133092</v>
      </c>
      <c r="V37" s="552">
        <f>regDebt_weighted</f>
        <v>3.5860000000000003E-2</v>
      </c>
      <c r="W37" s="552">
        <f ca="1">+U37-V37</f>
        <v>0.15392641303133092</v>
      </c>
      <c r="X37" s="552">
        <f ca="1">+((W37*(1-0.34))-Pfd_weighted)/Equity_percent</f>
        <v>0.27732974593220466</v>
      </c>
      <c r="Y37" s="552">
        <f ca="1">+X37*equityP</f>
        <v>0.1663978475593228</v>
      </c>
      <c r="Z37" s="552">
        <f ca="1">+Y37/(1-taxrate)</f>
        <v>0.2106301867839529</v>
      </c>
      <c r="AA37" s="552">
        <f>debtP*Debt_Rate</f>
        <v>1.3272946475850431E-2</v>
      </c>
      <c r="AB37" s="552">
        <f ca="1">+AA37+Z37</f>
        <v>0.22390313325980332</v>
      </c>
      <c r="AC37" s="552">
        <f ca="1">+AB37/(S37/100)</f>
        <v>6.6619382365700433E-2</v>
      </c>
      <c r="AD37" s="552">
        <f ca="1">1-AC37</f>
        <v>0.93338061763429958</v>
      </c>
      <c r="AE37" s="553">
        <f ca="1">expenses/(AD37)</f>
        <v>5016445.7137957048</v>
      </c>
      <c r="AF37" s="554">
        <f ca="1">+AE37-Revenue</f>
        <v>395873.41134287417</v>
      </c>
      <c r="AG37" s="555">
        <f ca="1">+AF37/$J$49</f>
        <v>433586.2885382559</v>
      </c>
      <c r="AH37" s="555">
        <f ca="1">+AG37*$J$47</f>
        <v>9213.0584493139831</v>
      </c>
      <c r="AI37" s="553">
        <f ca="1">ROUND(+AH37+AE37,5)</f>
        <v>5025658.7722500004</v>
      </c>
    </row>
    <row r="38" spans="1:46" ht="15.75">
      <c r="A38" s="516"/>
      <c r="B38" s="516"/>
      <c r="C38" s="516"/>
      <c r="D38" s="516"/>
      <c r="E38" s="516"/>
      <c r="F38" s="556">
        <f t="shared" si="0"/>
        <v>32</v>
      </c>
      <c r="G38" s="528"/>
      <c r="H38" s="539" t="s">
        <v>407</v>
      </c>
      <c r="I38" s="528"/>
      <c r="J38" s="610">
        <f>+C10</f>
        <v>0.21</v>
      </c>
      <c r="K38" s="610">
        <f>+J38</f>
        <v>0.21</v>
      </c>
      <c r="L38" s="528"/>
      <c r="M38" s="528"/>
      <c r="N38" s="528"/>
      <c r="O38" s="516"/>
      <c r="P38" s="516"/>
      <c r="Q38" s="616"/>
      <c r="R38" s="557">
        <v>3</v>
      </c>
      <c r="S38" s="550">
        <f ca="1">AI33/Investment*100</f>
        <v>335.81143093005704</v>
      </c>
      <c r="T38" s="551">
        <f ca="1">EXP(y_inter3-(slope*LN(S38)))</f>
        <v>5.5951458454130147</v>
      </c>
      <c r="U38" s="552">
        <f ca="1">(+S38*T38/100)/100</f>
        <v>0.18789139326105084</v>
      </c>
      <c r="V38" s="552">
        <f>regDebt_weighted</f>
        <v>3.5860000000000003E-2</v>
      </c>
      <c r="W38" s="552">
        <f ca="1">+U38-V38</f>
        <v>0.15203139326105083</v>
      </c>
      <c r="X38" s="552">
        <f ca="1">+((W38*(1-0.34))-Pfd_weighted)/Equity_percent</f>
        <v>0.27369395218689985</v>
      </c>
      <c r="Y38" s="552">
        <f ca="1">+X38*equityP</f>
        <v>0.1642163713121399</v>
      </c>
      <c r="Z38" s="552">
        <f ca="1">+Y38/(1-taxrate)</f>
        <v>0.2078688244457467</v>
      </c>
      <c r="AA38" s="552">
        <f>debtP*Debt_Rate</f>
        <v>1.3272946475850431E-2</v>
      </c>
      <c r="AB38" s="552">
        <f ca="1">+AA38+Z38</f>
        <v>0.22114177092159712</v>
      </c>
      <c r="AC38" s="552">
        <f ca="1">+AB38/(S38/100)</f>
        <v>6.5852961082690661E-2</v>
      </c>
      <c r="AD38" s="552">
        <f ca="1">1-AC38</f>
        <v>0.93414703891730932</v>
      </c>
      <c r="AE38" s="553">
        <f ca="1">expenses/(AD38)</f>
        <v>5012329.969057519</v>
      </c>
      <c r="AF38" s="554">
        <f ca="1">+AE38-Revenue</f>
        <v>391757.66660468839</v>
      </c>
      <c r="AG38" s="555">
        <f ca="1">+AF38/$J$49</f>
        <v>429078.45741227199</v>
      </c>
      <c r="AH38" s="555">
        <f ca="1">+AG38*$J$47</f>
        <v>9117.2737975821692</v>
      </c>
      <c r="AI38" s="553">
        <f ca="1">ROUND(+AH38+AE38,5)</f>
        <v>5021447.2428599996</v>
      </c>
    </row>
    <row r="39" spans="1:46" ht="15.75">
      <c r="A39" s="516"/>
      <c r="B39" s="516"/>
      <c r="C39" s="516"/>
      <c r="D39" s="516"/>
      <c r="E39" s="516"/>
      <c r="F39" s="556">
        <f t="shared" si="0"/>
        <v>33</v>
      </c>
      <c r="G39" s="528"/>
      <c r="H39" s="528"/>
      <c r="I39" s="528"/>
      <c r="J39" s="528"/>
      <c r="K39" s="528"/>
      <c r="L39" s="528"/>
      <c r="M39" s="528"/>
      <c r="N39" s="528"/>
      <c r="O39" s="516"/>
      <c r="P39" s="516"/>
      <c r="R39" s="558">
        <v>4</v>
      </c>
      <c r="S39" s="550">
        <f ca="1">AI34/Investment*100</f>
        <v>335.63134055709298</v>
      </c>
      <c r="T39" s="562">
        <f ca="1">EXP(y_inter4-(slope*LN(S39)))</f>
        <v>5.5620466792450687</v>
      </c>
      <c r="U39" s="552">
        <f ca="1">(+S39*T39/100)/100</f>
        <v>0.186679718319615</v>
      </c>
      <c r="V39" s="552">
        <f>regDebt_weighted</f>
        <v>3.5860000000000003E-2</v>
      </c>
      <c r="W39" s="552">
        <f ca="1">+U39-V39</f>
        <v>0.15081971831961499</v>
      </c>
      <c r="X39" s="552">
        <f ca="1">+((W39*(1-0.34))-Pfd_weighted)/Equity_percent</f>
        <v>0.27136922700856364</v>
      </c>
      <c r="Y39" s="552">
        <f ca="1">+X39*equityP</f>
        <v>0.16282153620513817</v>
      </c>
      <c r="Z39" s="552">
        <f ca="1">+Y39/(1-taxrate)</f>
        <v>0.20610321038625085</v>
      </c>
      <c r="AA39" s="552">
        <f>debtP*Debt_Rate</f>
        <v>1.3272946475850431E-2</v>
      </c>
      <c r="AB39" s="552">
        <f ca="1">+AA39+Z39</f>
        <v>0.21937615686210127</v>
      </c>
      <c r="AC39" s="552">
        <f ca="1">+AB39/(S39/100)</f>
        <v>6.5362238370818657E-2</v>
      </c>
      <c r="AD39" s="552">
        <f ca="1">1-AC39</f>
        <v>0.93463776162918133</v>
      </c>
      <c r="AE39" s="553">
        <f ca="1">expenses/(AD39)</f>
        <v>5009698.2926410586</v>
      </c>
      <c r="AF39" s="554">
        <f ca="1">+AE39-Revenue</f>
        <v>389125.99018822797</v>
      </c>
      <c r="AG39" s="555">
        <f ca="1">+AF39/$J$49</f>
        <v>426196.07436417579</v>
      </c>
      <c r="AH39" s="555">
        <f ca="1">+AG39*$J$47</f>
        <v>9056.0274800730313</v>
      </c>
      <c r="AI39" s="553">
        <f ca="1">ROUND(+AH39+AE39,5)</f>
        <v>5018754.3201200003</v>
      </c>
    </row>
    <row r="40" spans="1:46" ht="15.75">
      <c r="A40" s="516"/>
      <c r="B40" s="516"/>
      <c r="C40" s="516"/>
      <c r="D40" s="516"/>
      <c r="E40" s="516"/>
      <c r="F40" s="556">
        <f t="shared" si="0"/>
        <v>34</v>
      </c>
      <c r="G40" s="614"/>
      <c r="H40" s="528"/>
      <c r="I40" s="528"/>
      <c r="J40" s="528"/>
      <c r="K40" s="528"/>
      <c r="L40" s="528"/>
      <c r="M40" s="528"/>
      <c r="N40" s="528"/>
      <c r="O40" s="516"/>
      <c r="P40" s="516"/>
      <c r="X40" s="597"/>
      <c r="Y40" s="613"/>
      <c r="Z40" s="598"/>
      <c r="AA40" s="597"/>
      <c r="AC40" s="597"/>
      <c r="AD40" s="597"/>
      <c r="AE40" s="598"/>
      <c r="AF40" s="596"/>
      <c r="AH40" s="598"/>
    </row>
    <row r="41" spans="1:46" ht="15.75">
      <c r="A41" s="516"/>
      <c r="B41" s="516"/>
      <c r="C41" s="516"/>
      <c r="D41" s="516"/>
      <c r="E41" s="516"/>
      <c r="F41" s="556">
        <f t="shared" si="0"/>
        <v>35</v>
      </c>
      <c r="G41" s="528"/>
      <c r="H41" s="607" t="s">
        <v>408</v>
      </c>
      <c r="I41" s="617"/>
      <c r="J41" s="528"/>
      <c r="K41" s="528"/>
      <c r="L41" s="528"/>
      <c r="M41" s="528"/>
      <c r="N41" s="528"/>
      <c r="O41" s="516"/>
      <c r="P41" s="516"/>
      <c r="R41" s="618" t="s">
        <v>409</v>
      </c>
      <c r="S41" s="619"/>
      <c r="T41" s="576"/>
      <c r="U41" s="576"/>
      <c r="V41" s="577"/>
      <c r="X41" s="620"/>
      <c r="Y41" s="613"/>
      <c r="Z41" s="598"/>
      <c r="AA41" s="597"/>
      <c r="AC41" s="597"/>
      <c r="AD41" s="597"/>
      <c r="AE41" s="598"/>
      <c r="AF41" s="596"/>
      <c r="AH41" s="598"/>
    </row>
    <row r="42" spans="1:46" ht="15.75">
      <c r="A42" s="516"/>
      <c r="B42" s="516"/>
      <c r="C42" s="516"/>
      <c r="D42" s="516"/>
      <c r="E42" s="516"/>
      <c r="F42" s="556">
        <f t="shared" si="0"/>
        <v>36</v>
      </c>
      <c r="G42" s="528"/>
      <c r="H42" s="528"/>
      <c r="I42" s="528"/>
      <c r="J42" s="621" t="s">
        <v>32</v>
      </c>
      <c r="K42" s="622" t="s">
        <v>93</v>
      </c>
      <c r="L42" s="528"/>
      <c r="M42" s="528"/>
      <c r="N42" s="528"/>
      <c r="O42" s="516"/>
      <c r="P42" s="516"/>
      <c r="R42" s="623" t="s">
        <v>410</v>
      </c>
      <c r="S42" s="624"/>
      <c r="T42" s="585"/>
      <c r="U42" s="585"/>
      <c r="V42" s="625"/>
      <c r="X42" s="597"/>
      <c r="Y42" s="613"/>
      <c r="Z42" s="598"/>
      <c r="AA42" s="597"/>
      <c r="AC42" s="597"/>
      <c r="AD42" s="597"/>
      <c r="AE42" s="598"/>
      <c r="AH42" s="598"/>
    </row>
    <row r="43" spans="1:46" ht="15.75">
      <c r="A43" s="516"/>
      <c r="B43" s="516"/>
      <c r="C43" s="516"/>
      <c r="D43" s="516"/>
      <c r="E43" s="516"/>
      <c r="F43" s="556">
        <f t="shared" si="0"/>
        <v>37</v>
      </c>
      <c r="G43" s="528"/>
      <c r="H43" s="539" t="s">
        <v>411</v>
      </c>
      <c r="I43" s="626"/>
      <c r="J43" s="627">
        <f>IF($A$65=TRUE,C11,0)</f>
        <v>1.4999999999999999E-2</v>
      </c>
      <c r="K43" s="628">
        <f ca="1">+J43*($J$7/$J$49)</f>
        <v>6435.9158350229172</v>
      </c>
      <c r="L43" s="528"/>
      <c r="M43" s="528"/>
      <c r="N43" s="528"/>
      <c r="O43" s="516"/>
      <c r="P43" s="516"/>
      <c r="R43" s="557">
        <v>0</v>
      </c>
      <c r="S43" s="629">
        <v>1</v>
      </c>
      <c r="T43" s="585"/>
      <c r="U43" s="630" t="s">
        <v>405</v>
      </c>
      <c r="V43" s="631">
        <f ca="1">VLOOKUP(R49,R36:AE39,12)</f>
        <v>6.5852961082690661E-2</v>
      </c>
      <c r="AA43" s="597"/>
      <c r="AC43" s="597"/>
      <c r="AH43" s="598"/>
      <c r="AL43" s="597"/>
      <c r="AM43" s="597"/>
      <c r="AN43" s="597"/>
      <c r="AO43" s="597"/>
      <c r="AP43" s="597"/>
      <c r="AQ43" s="597"/>
      <c r="AR43" s="597"/>
      <c r="AS43" s="597"/>
      <c r="AT43" s="597"/>
    </row>
    <row r="44" spans="1:46" ht="15.75">
      <c r="A44" s="516"/>
      <c r="B44" s="516"/>
      <c r="C44" s="516"/>
      <c r="D44" s="516"/>
      <c r="E44" s="516"/>
      <c r="F44" s="556">
        <f t="shared" si="0"/>
        <v>38</v>
      </c>
      <c r="G44" s="528"/>
      <c r="H44" s="539" t="s">
        <v>412</v>
      </c>
      <c r="I44" s="626"/>
      <c r="J44" s="627">
        <f>IF($A$65=TRUE,C12,0)</f>
        <v>5.1000000000000004E-3</v>
      </c>
      <c r="K44" s="628">
        <f ca="1">+J44*($J$7/$J$49)</f>
        <v>2188.211383907792</v>
      </c>
      <c r="L44" s="528"/>
      <c r="M44" s="528"/>
      <c r="N44" s="528"/>
      <c r="O44" s="516"/>
      <c r="P44" s="516"/>
      <c r="R44" s="557">
        <v>50</v>
      </c>
      <c r="S44" s="629">
        <v>2</v>
      </c>
      <c r="T44" s="585"/>
      <c r="U44" s="630" t="s">
        <v>359</v>
      </c>
      <c r="V44" s="631">
        <f ca="1">ROUND(1-V43,5)</f>
        <v>0.93415000000000004</v>
      </c>
      <c r="Y44" s="632"/>
      <c r="Z44" s="530"/>
      <c r="AA44" s="530"/>
      <c r="AC44" s="597"/>
      <c r="AF44" s="596"/>
      <c r="AH44" s="598"/>
      <c r="AL44" s="597"/>
      <c r="AM44" s="597"/>
      <c r="AN44" s="597"/>
      <c r="AO44" s="597"/>
      <c r="AP44" s="597"/>
      <c r="AQ44" s="597"/>
      <c r="AR44" s="597"/>
      <c r="AS44" s="597"/>
      <c r="AT44" s="597"/>
    </row>
    <row r="45" spans="1:46" ht="15.75">
      <c r="A45" s="516"/>
      <c r="B45" s="516"/>
      <c r="C45" s="516"/>
      <c r="D45" s="516"/>
      <c r="E45" s="516"/>
      <c r="F45" s="556">
        <f t="shared" si="0"/>
        <v>39</v>
      </c>
      <c r="G45" s="528"/>
      <c r="H45" s="539" t="s">
        <v>413</v>
      </c>
      <c r="I45" s="626"/>
      <c r="J45" s="627">
        <f>IF($A$65=TRUE,C13,0)</f>
        <v>0</v>
      </c>
      <c r="K45" s="628">
        <f ca="1">+J45*($J$7/$J$49)</f>
        <v>0</v>
      </c>
      <c r="L45" s="528"/>
      <c r="M45" s="528"/>
      <c r="N45" s="528"/>
      <c r="O45" s="516"/>
      <c r="P45" s="516"/>
      <c r="R45" s="557">
        <v>125</v>
      </c>
      <c r="S45" s="629">
        <v>3</v>
      </c>
      <c r="T45" s="585"/>
      <c r="U45" s="633" t="s">
        <v>414</v>
      </c>
      <c r="V45" s="634">
        <f ca="1">+M7/Revenue-1</f>
        <v>8.6755201789557868E-2</v>
      </c>
      <c r="W45" s="635"/>
      <c r="X45" s="597"/>
      <c r="Y45" s="632"/>
      <c r="Z45" s="598"/>
      <c r="AA45" s="597"/>
      <c r="AC45" s="597"/>
      <c r="AD45" s="597"/>
      <c r="AE45" s="598"/>
      <c r="AF45" s="596"/>
      <c r="AH45" s="598"/>
      <c r="AL45" s="597"/>
      <c r="AM45" s="597"/>
      <c r="AN45" s="597"/>
      <c r="AO45" s="597"/>
      <c r="AP45" s="597"/>
      <c r="AQ45" s="597"/>
      <c r="AR45" s="597"/>
      <c r="AS45" s="597"/>
      <c r="AT45" s="597"/>
    </row>
    <row r="46" spans="1:46" ht="15.75">
      <c r="A46" s="516"/>
      <c r="B46" s="516"/>
      <c r="C46" s="516"/>
      <c r="D46" s="516"/>
      <c r="E46" s="516"/>
      <c r="F46" s="556">
        <f t="shared" si="0"/>
        <v>40</v>
      </c>
      <c r="G46" s="528"/>
      <c r="H46" s="539" t="s">
        <v>415</v>
      </c>
      <c r="I46" s="626"/>
      <c r="J46" s="627">
        <f>IF($A$65=TRUE,C14,0)</f>
        <v>1.1485004550624797E-3</v>
      </c>
      <c r="K46" s="628">
        <f ca="1">+J46*($J$7/$J$49)</f>
        <v>492.7768176845093</v>
      </c>
      <c r="L46" s="528"/>
      <c r="M46" s="528"/>
      <c r="N46" s="528"/>
      <c r="O46" s="516"/>
      <c r="P46" s="516"/>
      <c r="R46" s="558">
        <v>401</v>
      </c>
      <c r="S46" s="636">
        <v>4</v>
      </c>
      <c r="T46" s="588"/>
      <c r="U46" s="588"/>
      <c r="V46" s="589"/>
      <c r="X46" s="597"/>
      <c r="Y46" s="613"/>
      <c r="Z46" s="598"/>
      <c r="AA46" s="597"/>
      <c r="AC46" s="597"/>
      <c r="AD46" s="597"/>
      <c r="AE46" s="598"/>
      <c r="AF46" s="596"/>
      <c r="AH46" s="598"/>
      <c r="AL46" s="597"/>
      <c r="AM46" s="597"/>
      <c r="AN46" s="597"/>
      <c r="AO46" s="597"/>
      <c r="AP46" s="597"/>
      <c r="AQ46" s="597"/>
      <c r="AR46" s="597"/>
      <c r="AS46" s="597"/>
      <c r="AT46" s="597"/>
    </row>
    <row r="47" spans="1:46" ht="16.5" thickBot="1">
      <c r="A47" s="516"/>
      <c r="B47" s="516"/>
      <c r="C47" s="516"/>
      <c r="D47" s="516"/>
      <c r="E47" s="516"/>
      <c r="F47" s="556">
        <f t="shared" si="0"/>
        <v>41</v>
      </c>
      <c r="G47" s="528"/>
      <c r="H47" s="539" t="s">
        <v>416</v>
      </c>
      <c r="I47" s="614"/>
      <c r="J47" s="637">
        <f>SUM(J43:J46)</f>
        <v>2.1248500455062481E-2</v>
      </c>
      <c r="K47" s="603">
        <f ca="1">+K43+K44+K45+K46</f>
        <v>9116.9040366152185</v>
      </c>
      <c r="L47" s="528"/>
      <c r="M47" s="528"/>
      <c r="N47" s="528"/>
      <c r="O47" s="516"/>
      <c r="P47" s="516"/>
      <c r="R47" s="557"/>
      <c r="S47" s="638"/>
      <c r="T47" s="585"/>
      <c r="U47" s="585"/>
      <c r="V47" s="585"/>
      <c r="X47" s="597"/>
      <c r="Y47" s="613"/>
      <c r="Z47" s="598"/>
      <c r="AA47" s="597"/>
      <c r="AC47" s="597"/>
      <c r="AD47" s="597"/>
      <c r="AE47" s="598"/>
      <c r="AF47" s="596"/>
      <c r="AH47" s="598"/>
      <c r="AL47" s="597"/>
      <c r="AM47" s="597"/>
      <c r="AN47" s="597"/>
      <c r="AO47" s="597"/>
      <c r="AP47" s="597"/>
      <c r="AQ47" s="597"/>
      <c r="AR47" s="597"/>
      <c r="AS47" s="597"/>
      <c r="AT47" s="597"/>
    </row>
    <row r="48" spans="1:46" ht="16.5" thickTop="1">
      <c r="A48" s="516"/>
      <c r="B48" s="516"/>
      <c r="C48" s="516"/>
      <c r="D48" s="516"/>
      <c r="E48" s="516"/>
      <c r="F48" s="556">
        <f t="shared" si="0"/>
        <v>42</v>
      </c>
      <c r="G48" s="528"/>
      <c r="H48" s="539"/>
      <c r="I48" s="614"/>
      <c r="J48" s="639"/>
      <c r="K48" s="579"/>
      <c r="L48" s="528"/>
      <c r="M48" s="528"/>
      <c r="N48" s="528"/>
      <c r="O48" s="516"/>
      <c r="P48" s="516"/>
      <c r="R48" s="640">
        <f ca="1">VLOOKUP(R49,R36:S39,2)</f>
        <v>335.81143093005704</v>
      </c>
      <c r="S48" s="641" t="s">
        <v>417</v>
      </c>
      <c r="T48" s="577"/>
      <c r="V48" s="576"/>
      <c r="X48" s="525" t="s">
        <v>418</v>
      </c>
      <c r="AC48" s="597"/>
      <c r="AF48" s="596"/>
      <c r="AH48" s="598"/>
    </row>
    <row r="49" spans="1:46" ht="15.75">
      <c r="A49" s="516"/>
      <c r="B49" s="516"/>
      <c r="C49" s="516"/>
      <c r="D49" s="516"/>
      <c r="E49" s="516"/>
      <c r="F49" s="556">
        <f t="shared" si="0"/>
        <v>43</v>
      </c>
      <c r="G49" s="533"/>
      <c r="H49" s="642" t="s">
        <v>419</v>
      </c>
      <c r="I49" s="590"/>
      <c r="J49" s="643">
        <f ca="1">((K35)-J47)</f>
        <v>0.91302105672547285</v>
      </c>
      <c r="K49" s="590"/>
      <c r="L49" s="590"/>
      <c r="M49" s="590"/>
      <c r="N49" s="590"/>
      <c r="O49" s="516"/>
      <c r="P49" s="516"/>
      <c r="R49" s="644">
        <f ca="1">VLOOKUP(S36,R43:S46,2)</f>
        <v>3</v>
      </c>
      <c r="S49" s="645" t="s">
        <v>420</v>
      </c>
      <c r="T49" s="625"/>
      <c r="X49" s="525" t="s">
        <v>421</v>
      </c>
      <c r="AA49" s="530"/>
      <c r="AC49" s="597"/>
      <c r="AH49" s="598"/>
    </row>
    <row r="50" spans="1:46">
      <c r="A50" s="516"/>
      <c r="B50" s="516"/>
      <c r="C50" s="516"/>
      <c r="D50" s="516"/>
      <c r="E50" s="516"/>
      <c r="F50" s="516"/>
      <c r="G50" s="516"/>
      <c r="H50" s="516"/>
      <c r="I50" s="516"/>
      <c r="J50" s="516"/>
      <c r="K50" s="646"/>
      <c r="L50" s="516"/>
      <c r="M50" s="516"/>
      <c r="N50" s="647"/>
      <c r="O50" s="516"/>
      <c r="P50" s="516"/>
      <c r="R50" s="644"/>
      <c r="S50" s="633"/>
      <c r="T50" s="625"/>
      <c r="X50" s="525" t="s">
        <v>422</v>
      </c>
      <c r="AA50" s="597"/>
      <c r="AC50" s="597"/>
      <c r="AD50" s="597"/>
      <c r="AE50" s="598"/>
      <c r="AH50" s="598"/>
    </row>
    <row r="51" spans="1:46">
      <c r="A51" s="516"/>
      <c r="B51" s="516"/>
      <c r="C51" s="516"/>
      <c r="D51" s="516"/>
      <c r="E51" s="516"/>
      <c r="F51" s="516"/>
      <c r="G51" s="516"/>
      <c r="H51" s="516"/>
      <c r="I51" s="516"/>
      <c r="J51" s="516"/>
      <c r="K51" s="646"/>
      <c r="L51" s="516"/>
      <c r="M51" s="516"/>
      <c r="N51" s="647"/>
      <c r="O51" s="516"/>
      <c r="P51" s="516"/>
      <c r="R51" s="648">
        <f ca="1">+V44</f>
        <v>0.93415000000000004</v>
      </c>
      <c r="S51" s="649" t="s">
        <v>359</v>
      </c>
      <c r="T51" s="650"/>
      <c r="X51" s="525" t="s">
        <v>423</v>
      </c>
      <c r="AA51" s="597"/>
      <c r="AC51" s="597"/>
      <c r="AD51" s="597"/>
      <c r="AE51" s="598"/>
      <c r="AF51" s="597"/>
      <c r="AH51" s="598"/>
      <c r="AL51" s="597"/>
      <c r="AM51" s="597"/>
      <c r="AN51" s="597"/>
      <c r="AO51" s="597"/>
      <c r="AP51" s="597"/>
      <c r="AQ51" s="597"/>
      <c r="AR51" s="597"/>
      <c r="AS51" s="597"/>
      <c r="AT51" s="597"/>
    </row>
    <row r="52" spans="1:46">
      <c r="A52" s="516"/>
      <c r="B52" s="516"/>
      <c r="C52" s="516"/>
      <c r="D52" s="516"/>
      <c r="E52" s="516"/>
      <c r="F52" s="516"/>
      <c r="G52" s="516"/>
      <c r="H52" s="516"/>
      <c r="I52" s="516"/>
      <c r="J52" s="516"/>
      <c r="K52" s="516"/>
      <c r="L52" s="516"/>
      <c r="M52" s="516"/>
      <c r="N52" s="516"/>
      <c r="O52" s="516"/>
      <c r="P52" s="516"/>
      <c r="Z52" s="598"/>
      <c r="AA52" s="597"/>
      <c r="AC52" s="597"/>
      <c r="AD52" s="597"/>
      <c r="AE52" s="598"/>
      <c r="AF52" s="596"/>
      <c r="AH52" s="598"/>
      <c r="AL52" s="597"/>
      <c r="AM52" s="597"/>
      <c r="AN52" s="597"/>
      <c r="AO52" s="597"/>
      <c r="AP52" s="597"/>
      <c r="AQ52" s="597"/>
      <c r="AR52" s="597"/>
      <c r="AS52" s="597"/>
      <c r="AT52" s="597"/>
    </row>
    <row r="53" spans="1:46">
      <c r="A53" s="516"/>
      <c r="B53" s="516"/>
      <c r="C53" s="516"/>
      <c r="D53" s="516"/>
      <c r="E53" s="516"/>
      <c r="F53" s="516"/>
      <c r="G53" s="516"/>
      <c r="H53" s="516"/>
      <c r="I53" s="516"/>
      <c r="J53" s="651"/>
      <c r="K53" s="651"/>
      <c r="L53" s="651"/>
      <c r="M53" s="651"/>
      <c r="N53" s="516"/>
      <c r="O53" s="516"/>
      <c r="P53" s="516"/>
      <c r="R53" s="525"/>
      <c r="Z53" s="598"/>
      <c r="AA53" s="597"/>
      <c r="AC53" s="597"/>
      <c r="AD53" s="597"/>
      <c r="AE53" s="598"/>
      <c r="AF53" s="596"/>
      <c r="AH53" s="598"/>
      <c r="AL53" s="597"/>
      <c r="AM53" s="597"/>
      <c r="AN53" s="597"/>
      <c r="AO53" s="597"/>
      <c r="AP53" s="597"/>
      <c r="AQ53" s="597"/>
      <c r="AR53" s="597"/>
      <c r="AS53" s="597"/>
      <c r="AT53" s="597"/>
    </row>
    <row r="54" spans="1:46" ht="15.75">
      <c r="A54" s="516"/>
      <c r="B54" s="516"/>
      <c r="C54" s="516"/>
      <c r="D54" s="516"/>
      <c r="E54" s="516"/>
      <c r="F54" s="516"/>
      <c r="G54" s="516"/>
      <c r="H54" s="516"/>
      <c r="I54" s="516"/>
      <c r="J54" s="516"/>
      <c r="K54" s="651"/>
      <c r="L54" s="651"/>
      <c r="M54" s="651"/>
      <c r="N54" s="516"/>
      <c r="O54" s="516"/>
      <c r="P54" s="516"/>
      <c r="R54" s="525"/>
      <c r="S54" s="525" t="s">
        <v>424</v>
      </c>
      <c r="T54" s="597"/>
      <c r="U54" s="652"/>
      <c r="W54" s="653" t="s">
        <v>425</v>
      </c>
      <c r="X54" s="654"/>
      <c r="Y54" s="654"/>
      <c r="Z54" s="654"/>
      <c r="AC54" s="597"/>
      <c r="AF54" s="596"/>
      <c r="AH54" s="598"/>
      <c r="AL54" s="597"/>
      <c r="AM54" s="597"/>
      <c r="AN54" s="597"/>
      <c r="AO54" s="597"/>
      <c r="AP54" s="597"/>
      <c r="AQ54" s="597"/>
      <c r="AR54" s="597"/>
      <c r="AS54" s="597"/>
      <c r="AT54" s="597"/>
    </row>
    <row r="55" spans="1:46">
      <c r="A55" s="516"/>
      <c r="B55" s="516"/>
      <c r="C55" s="516"/>
      <c r="D55" s="516"/>
      <c r="E55" s="516"/>
      <c r="F55" s="516"/>
      <c r="G55" s="516"/>
      <c r="H55" s="516"/>
      <c r="I55" s="516"/>
      <c r="J55" s="516"/>
      <c r="K55" s="516"/>
      <c r="L55" s="655"/>
      <c r="M55" s="655"/>
      <c r="N55" s="516"/>
      <c r="O55" s="516"/>
      <c r="P55" s="516"/>
      <c r="R55" s="656"/>
      <c r="S55" s="657" t="s">
        <v>393</v>
      </c>
      <c r="T55" s="657" t="s">
        <v>41</v>
      </c>
      <c r="U55" s="658" t="s">
        <v>395</v>
      </c>
      <c r="W55" s="659" t="s">
        <v>426</v>
      </c>
      <c r="X55" s="660">
        <v>5.7225999999999999</v>
      </c>
      <c r="Y55" s="661" t="s">
        <v>427</v>
      </c>
      <c r="Z55" s="662">
        <v>5.6985000000000001</v>
      </c>
      <c r="AA55" s="530"/>
      <c r="AC55" s="597"/>
      <c r="AH55" s="598"/>
    </row>
    <row r="56" spans="1:46">
      <c r="A56" s="516"/>
      <c r="B56" s="516"/>
      <c r="C56" s="516"/>
      <c r="D56" s="516"/>
      <c r="E56" s="516"/>
      <c r="F56" s="516"/>
      <c r="G56" s="516"/>
      <c r="H56" s="516"/>
      <c r="I56" s="516"/>
      <c r="J56" s="655"/>
      <c r="K56" s="516"/>
      <c r="L56" s="655"/>
      <c r="M56" s="655"/>
      <c r="N56" s="516"/>
      <c r="O56" s="516"/>
      <c r="P56" s="516"/>
      <c r="R56" s="526" t="s">
        <v>128</v>
      </c>
      <c r="S56" s="663">
        <v>0.56200000000000006</v>
      </c>
      <c r="T56" s="663">
        <v>6.3799999999999996E-2</v>
      </c>
      <c r="U56" s="631">
        <f>ROUND(+S56*T56,5)</f>
        <v>3.5860000000000003E-2</v>
      </c>
      <c r="W56" s="664" t="s">
        <v>428</v>
      </c>
      <c r="X56" s="665">
        <v>5.7082699999999997</v>
      </c>
      <c r="Y56" s="666" t="s">
        <v>429</v>
      </c>
      <c r="Z56" s="667">
        <v>5.6921999999999997</v>
      </c>
      <c r="AA56" s="597"/>
      <c r="AC56" s="597"/>
      <c r="AD56" s="597"/>
      <c r="AE56" s="598"/>
      <c r="AH56" s="598"/>
    </row>
    <row r="57" spans="1:46">
      <c r="A57" s="516"/>
      <c r="B57" s="516"/>
      <c r="C57" s="516"/>
      <c r="D57" s="516"/>
      <c r="E57" s="651"/>
      <c r="F57" s="516"/>
      <c r="G57" s="516"/>
      <c r="H57" s="516"/>
      <c r="I57" s="516"/>
      <c r="J57" s="655"/>
      <c r="K57" s="516"/>
      <c r="L57" s="655"/>
      <c r="M57" s="655"/>
      <c r="N57" s="516"/>
      <c r="O57" s="516"/>
      <c r="P57" s="516"/>
      <c r="R57" s="526" t="s">
        <v>430</v>
      </c>
      <c r="S57" s="663">
        <v>9.4E-2</v>
      </c>
      <c r="T57" s="663">
        <v>6.59E-2</v>
      </c>
      <c r="U57" s="631">
        <f>ROUND(+S57*T57,5)</f>
        <v>6.1900000000000002E-3</v>
      </c>
      <c r="W57" s="526"/>
      <c r="X57" s="585"/>
      <c r="Y57" s="668"/>
      <c r="Z57" s="669"/>
      <c r="AA57" s="597"/>
      <c r="AC57" s="597"/>
      <c r="AD57" s="597"/>
      <c r="AE57" s="598"/>
      <c r="AF57" s="596"/>
      <c r="AH57" s="598"/>
      <c r="AL57" s="597"/>
    </row>
    <row r="58" spans="1:46" ht="15.75">
      <c r="A58" s="516"/>
      <c r="B58" s="516"/>
      <c r="C58" s="516"/>
      <c r="D58" s="516"/>
      <c r="E58" s="651"/>
      <c r="F58" s="651"/>
      <c r="G58" s="651"/>
      <c r="H58" s="670"/>
      <c r="I58" s="651"/>
      <c r="J58" s="655"/>
      <c r="K58" s="516"/>
      <c r="L58" s="516"/>
      <c r="M58" s="516"/>
      <c r="N58" s="516"/>
      <c r="O58" s="516"/>
      <c r="P58" s="516"/>
      <c r="R58" s="526" t="s">
        <v>124</v>
      </c>
      <c r="S58" s="671">
        <v>0.34399999999999997</v>
      </c>
      <c r="T58" s="672"/>
      <c r="U58" s="673"/>
      <c r="W58" s="587"/>
      <c r="X58" s="674" t="s">
        <v>431</v>
      </c>
      <c r="Y58" s="675">
        <v>0.68367</v>
      </c>
      <c r="Z58" s="676"/>
      <c r="AA58" s="597"/>
      <c r="AC58" s="597"/>
      <c r="AD58" s="597"/>
      <c r="AE58" s="598"/>
      <c r="AF58" s="596"/>
      <c r="AH58" s="598"/>
    </row>
    <row r="59" spans="1:46" ht="15.75">
      <c r="A59" s="516"/>
      <c r="B59" s="516"/>
      <c r="C59" s="516"/>
      <c r="D59" s="516"/>
      <c r="E59" s="516"/>
      <c r="F59" s="516"/>
      <c r="G59" s="516"/>
      <c r="H59" s="516"/>
      <c r="I59" s="516"/>
      <c r="J59" s="516"/>
      <c r="K59" s="516"/>
      <c r="L59" s="516"/>
      <c r="M59" s="516"/>
      <c r="N59" s="516"/>
      <c r="O59" s="516"/>
      <c r="P59" s="516"/>
      <c r="R59" s="587"/>
      <c r="S59" s="671">
        <f>SUM(S56:S58)</f>
        <v>1</v>
      </c>
      <c r="T59" s="677"/>
      <c r="U59" s="678"/>
      <c r="X59" s="597"/>
      <c r="Y59" s="613"/>
      <c r="Z59" s="598"/>
      <c r="AA59" s="597"/>
      <c r="AC59" s="597"/>
      <c r="AD59" s="597"/>
      <c r="AE59" s="598"/>
      <c r="AF59" s="596"/>
      <c r="AH59" s="598"/>
    </row>
    <row r="60" spans="1:46">
      <c r="A60" s="516"/>
      <c r="B60" s="516"/>
      <c r="C60" s="516"/>
      <c r="D60" s="516"/>
      <c r="E60" s="516"/>
      <c r="F60" s="516"/>
      <c r="G60" s="516"/>
      <c r="H60" s="516"/>
      <c r="I60" s="516"/>
      <c r="J60" s="516"/>
      <c r="K60" s="516"/>
      <c r="L60" s="516"/>
      <c r="M60" s="516"/>
      <c r="N60" s="516"/>
      <c r="O60" s="516"/>
      <c r="P60" s="516"/>
      <c r="X60" s="679"/>
      <c r="AC60" s="597"/>
      <c r="AF60" s="596"/>
      <c r="AH60" s="598"/>
      <c r="AL60" s="596"/>
      <c r="AM60" s="596"/>
      <c r="AN60" s="596"/>
      <c r="AO60" s="596"/>
      <c r="AP60" s="596"/>
      <c r="AQ60" s="596"/>
      <c r="AR60" s="596"/>
      <c r="AS60" s="596"/>
      <c r="AT60" s="596"/>
    </row>
    <row r="61" spans="1:46">
      <c r="A61" s="516"/>
      <c r="B61" s="516"/>
      <c r="C61" s="516"/>
      <c r="D61" s="516"/>
      <c r="E61" s="651"/>
      <c r="F61" s="516"/>
      <c r="G61" s="516"/>
      <c r="H61" s="516"/>
      <c r="I61" s="516"/>
      <c r="J61" s="516"/>
      <c r="K61" s="516"/>
      <c r="L61" s="516"/>
      <c r="M61" s="516"/>
      <c r="N61" s="516"/>
      <c r="O61" s="516"/>
      <c r="P61" s="516"/>
      <c r="W61" s="656" t="s">
        <v>400</v>
      </c>
      <c r="X61" s="680"/>
      <c r="Y61" s="576" t="s">
        <v>432</v>
      </c>
      <c r="Z61" s="577" t="s">
        <v>341</v>
      </c>
      <c r="AC61" s="597"/>
      <c r="AH61" s="598"/>
      <c r="AL61" s="596"/>
      <c r="AM61" s="596"/>
      <c r="AN61" s="596"/>
      <c r="AO61" s="596"/>
      <c r="AP61" s="596"/>
      <c r="AQ61" s="596"/>
      <c r="AR61" s="596"/>
      <c r="AS61" s="596"/>
      <c r="AT61" s="596"/>
    </row>
    <row r="62" spans="1:46">
      <c r="A62" s="516"/>
      <c r="B62" s="516"/>
      <c r="C62" s="516"/>
      <c r="D62" s="516"/>
      <c r="E62" s="516"/>
      <c r="F62" s="651"/>
      <c r="G62" s="651"/>
      <c r="H62" s="651"/>
      <c r="I62" s="651"/>
      <c r="J62" s="651"/>
      <c r="K62" s="651"/>
      <c r="L62" s="651"/>
      <c r="M62" s="651"/>
      <c r="N62" s="651"/>
      <c r="O62" s="516"/>
      <c r="P62" s="516"/>
      <c r="W62" s="681"/>
      <c r="X62" s="682"/>
      <c r="Y62" s="682"/>
      <c r="Z62" s="683"/>
      <c r="AC62" s="597"/>
      <c r="AD62" s="597"/>
      <c r="AE62" s="598"/>
      <c r="AH62" s="598"/>
      <c r="AL62" s="596"/>
      <c r="AM62" s="596"/>
      <c r="AN62" s="596"/>
      <c r="AO62" s="596"/>
      <c r="AP62" s="596"/>
      <c r="AQ62" s="596"/>
      <c r="AR62" s="596"/>
      <c r="AS62" s="596"/>
      <c r="AT62" s="596"/>
    </row>
    <row r="63" spans="1:46">
      <c r="A63" s="516"/>
      <c r="B63" s="516"/>
      <c r="C63" s="516"/>
      <c r="D63" s="516"/>
      <c r="E63" s="516"/>
      <c r="F63" s="516"/>
      <c r="G63" s="516"/>
      <c r="H63" s="516"/>
      <c r="I63" s="516"/>
      <c r="J63" s="516"/>
      <c r="K63" s="516"/>
      <c r="L63" s="516"/>
      <c r="M63" s="516"/>
      <c r="N63" s="516"/>
      <c r="O63" s="516"/>
      <c r="P63" s="516"/>
      <c r="W63" s="526" t="s">
        <v>402</v>
      </c>
      <c r="X63" s="682"/>
      <c r="Y63" s="631">
        <f t="shared" ref="Y63:Z68" ca="1" si="1">+J33</f>
        <v>0.22072962615536973</v>
      </c>
      <c r="Z63" s="631">
        <f t="shared" ca="1" si="1"/>
        <v>0.17716372342267067</v>
      </c>
      <c r="AC63" s="597"/>
      <c r="AD63" s="597"/>
      <c r="AE63" s="598"/>
      <c r="AF63" s="596"/>
      <c r="AH63" s="598"/>
      <c r="AL63" s="596"/>
      <c r="AM63" s="596"/>
      <c r="AN63" s="596"/>
      <c r="AO63" s="596"/>
      <c r="AP63" s="596"/>
      <c r="AQ63" s="596"/>
      <c r="AR63" s="596"/>
      <c r="AS63" s="596"/>
      <c r="AT63" s="596"/>
    </row>
    <row r="64" spans="1:46">
      <c r="A64" s="516"/>
      <c r="B64" s="516"/>
      <c r="C64" s="516"/>
      <c r="D64" s="516"/>
      <c r="E64" s="516"/>
      <c r="F64" s="516"/>
      <c r="G64" s="516"/>
      <c r="H64" s="516"/>
      <c r="I64" s="516"/>
      <c r="J64" s="516"/>
      <c r="K64" s="516"/>
      <c r="L64" s="516"/>
      <c r="M64" s="516"/>
      <c r="N64" s="516"/>
      <c r="O64" s="516"/>
      <c r="P64" s="516"/>
      <c r="W64" s="526" t="s">
        <v>403</v>
      </c>
      <c r="X64" s="682"/>
      <c r="Y64" s="631">
        <f t="shared" ca="1" si="1"/>
        <v>0.34576113279919879</v>
      </c>
      <c r="Z64" s="631">
        <f t="shared" ca="1" si="1"/>
        <v>0.27315129491136708</v>
      </c>
      <c r="AC64" s="597"/>
      <c r="AD64" s="597"/>
      <c r="AE64" s="598"/>
      <c r="AF64" s="596"/>
      <c r="AH64" s="598"/>
    </row>
    <row r="65" spans="1:38">
      <c r="A65" s="525" t="b">
        <v>1</v>
      </c>
      <c r="F65" s="516"/>
      <c r="G65" s="516"/>
      <c r="H65" s="516"/>
      <c r="I65" s="516"/>
      <c r="J65" s="516"/>
      <c r="K65" s="516"/>
      <c r="L65" s="516"/>
      <c r="M65" s="516"/>
      <c r="N65" s="516"/>
      <c r="W65" s="526" t="s">
        <v>359</v>
      </c>
      <c r="X65" s="682"/>
      <c r="Y65" s="631">
        <f t="shared" ca="1" si="1"/>
        <v>0.93415000000000015</v>
      </c>
      <c r="Z65" s="631">
        <f t="shared" ca="1" si="1"/>
        <v>0.93426955718053528</v>
      </c>
      <c r="AC65" s="597"/>
      <c r="AD65" s="597"/>
      <c r="AE65" s="598"/>
      <c r="AF65" s="596"/>
      <c r="AH65" s="598"/>
    </row>
    <row r="66" spans="1:38">
      <c r="H66" s="596"/>
      <c r="I66" s="596"/>
      <c r="J66" s="596"/>
      <c r="K66" s="596"/>
      <c r="L66" s="596"/>
      <c r="M66" s="596"/>
      <c r="N66" s="596"/>
      <c r="O66" s="596"/>
      <c r="W66" s="526" t="s">
        <v>405</v>
      </c>
      <c r="X66" s="682"/>
      <c r="Y66" s="631">
        <f t="shared" ca="1" si="1"/>
        <v>6.5849999999999909E-2</v>
      </c>
      <c r="Z66" s="631">
        <f t="shared" ca="1" si="1"/>
        <v>6.5849999999999909E-2</v>
      </c>
      <c r="AC66" s="597"/>
      <c r="AF66" s="596"/>
      <c r="AH66" s="598"/>
      <c r="AL66" s="596"/>
    </row>
    <row r="67" spans="1:38">
      <c r="H67" s="596"/>
      <c r="I67" s="596"/>
      <c r="J67" s="596"/>
      <c r="K67" s="596"/>
      <c r="L67" s="596"/>
      <c r="M67" s="596"/>
      <c r="N67" s="596"/>
      <c r="O67" s="596"/>
      <c r="W67" s="526" t="s">
        <v>406</v>
      </c>
      <c r="X67" s="685"/>
      <c r="Y67" s="631">
        <f t="shared" ca="1" si="1"/>
        <v>3.3563134055709298</v>
      </c>
      <c r="Z67" s="631">
        <f t="shared" ca="1" si="1"/>
        <v>3.3563134055709298</v>
      </c>
      <c r="AC67" s="597"/>
      <c r="AH67" s="598"/>
    </row>
    <row r="68" spans="1:38">
      <c r="O68" s="596"/>
      <c r="W68" s="526" t="s">
        <v>407</v>
      </c>
      <c r="X68" s="686"/>
      <c r="Y68" s="631">
        <f t="shared" si="1"/>
        <v>0.21</v>
      </c>
      <c r="Z68" s="631">
        <f t="shared" si="1"/>
        <v>0.21</v>
      </c>
      <c r="AC68" s="597"/>
      <c r="AD68" s="597"/>
      <c r="AE68" s="598"/>
      <c r="AH68" s="598"/>
    </row>
    <row r="69" spans="1:38" ht="15.75">
      <c r="O69" s="596"/>
      <c r="W69" s="526"/>
      <c r="X69" s="585"/>
      <c r="Y69" s="672"/>
      <c r="Z69" s="687"/>
      <c r="AC69" s="597"/>
      <c r="AD69" s="597"/>
      <c r="AE69" s="598"/>
      <c r="AF69" s="596"/>
      <c r="AH69" s="598"/>
    </row>
    <row r="70" spans="1:38">
      <c r="O70" s="596"/>
      <c r="W70" s="587"/>
      <c r="X70" s="688"/>
      <c r="Y70" s="689"/>
      <c r="Z70" s="690"/>
      <c r="AA70" s="597"/>
      <c r="AC70" s="597"/>
      <c r="AD70" s="597"/>
      <c r="AE70" s="598"/>
      <c r="AF70" s="596"/>
      <c r="AH70" s="598"/>
    </row>
    <row r="71" spans="1:38">
      <c r="X71" s="597"/>
      <c r="Y71" s="613"/>
      <c r="Z71" s="598"/>
      <c r="AA71" s="597"/>
      <c r="AC71" s="597"/>
      <c r="AD71" s="597"/>
      <c r="AE71" s="598"/>
      <c r="AF71" s="596"/>
      <c r="AH71" s="598"/>
    </row>
    <row r="72" spans="1:38">
      <c r="AC72" s="597"/>
      <c r="AF72" s="596"/>
      <c r="AH72" s="598"/>
    </row>
    <row r="73" spans="1:38">
      <c r="Y73" s="530"/>
      <c r="Z73" s="530"/>
      <c r="AA73" s="530"/>
      <c r="AC73" s="597"/>
      <c r="AH73" s="598"/>
    </row>
    <row r="74" spans="1:38">
      <c r="X74" s="597"/>
      <c r="Y74" s="613"/>
      <c r="Z74" s="598"/>
      <c r="AA74" s="597"/>
      <c r="AC74" s="597"/>
      <c r="AD74" s="597"/>
      <c r="AE74" s="598"/>
      <c r="AH74" s="598"/>
    </row>
    <row r="75" spans="1:38">
      <c r="X75" s="597"/>
      <c r="Y75" s="613"/>
      <c r="Z75" s="598"/>
      <c r="AA75" s="597"/>
      <c r="AC75" s="597"/>
      <c r="AD75" s="597"/>
      <c r="AE75" s="598"/>
      <c r="AF75" s="596"/>
      <c r="AH75" s="598"/>
    </row>
    <row r="76" spans="1:38">
      <c r="X76" s="597"/>
      <c r="Y76" s="613"/>
      <c r="Z76" s="598"/>
      <c r="AA76" s="597"/>
      <c r="AC76" s="597"/>
      <c r="AD76" s="597"/>
      <c r="AE76" s="598"/>
      <c r="AF76" s="596"/>
      <c r="AH76" s="598"/>
    </row>
    <row r="77" spans="1:38">
      <c r="X77" s="597"/>
      <c r="Y77" s="613"/>
      <c r="Z77" s="598"/>
      <c r="AA77" s="597"/>
      <c r="AC77" s="597"/>
      <c r="AD77" s="597"/>
      <c r="AE77" s="598"/>
      <c r="AF77" s="596"/>
      <c r="AH77" s="598"/>
    </row>
    <row r="78" spans="1:38">
      <c r="AC78" s="597"/>
      <c r="AF78" s="596"/>
      <c r="AH78" s="598"/>
    </row>
    <row r="80" spans="1:38">
      <c r="X80" s="597"/>
      <c r="Y80" s="613"/>
      <c r="Z80" s="598"/>
      <c r="AA80" s="597"/>
      <c r="AD80" s="597"/>
      <c r="AE80" s="598"/>
    </row>
    <row r="81" spans="24:32">
      <c r="X81" s="597"/>
      <c r="Y81" s="613"/>
      <c r="Z81" s="598"/>
      <c r="AA81" s="597"/>
      <c r="AD81" s="597"/>
      <c r="AE81" s="598"/>
      <c r="AF81" s="596"/>
    </row>
    <row r="82" spans="24:32">
      <c r="X82" s="597"/>
      <c r="Y82" s="613"/>
      <c r="Z82" s="598"/>
      <c r="AA82" s="597"/>
      <c r="AD82" s="597"/>
      <c r="AE82" s="598"/>
      <c r="AF82" s="596"/>
    </row>
    <row r="83" spans="24:32">
      <c r="X83" s="597"/>
      <c r="Y83" s="613"/>
      <c r="Z83" s="598"/>
      <c r="AA83" s="597"/>
      <c r="AD83" s="597"/>
      <c r="AE83" s="598"/>
      <c r="AF83" s="596"/>
    </row>
    <row r="84" spans="24:32">
      <c r="AF84" s="596"/>
    </row>
    <row r="86" spans="24:32">
      <c r="X86" s="597"/>
      <c r="Y86" s="613"/>
      <c r="Z86" s="598"/>
      <c r="AA86" s="597"/>
      <c r="AD86" s="597"/>
      <c r="AE86" s="598"/>
    </row>
    <row r="87" spans="24:32">
      <c r="X87" s="597"/>
      <c r="Y87" s="613"/>
      <c r="Z87" s="598"/>
      <c r="AA87" s="597"/>
      <c r="AD87" s="597"/>
      <c r="AE87" s="598"/>
      <c r="AF87" s="596"/>
    </row>
    <row r="88" spans="24:32">
      <c r="X88" s="597"/>
      <c r="Y88" s="613"/>
      <c r="Z88" s="598"/>
      <c r="AA88" s="597"/>
      <c r="AD88" s="597"/>
      <c r="AE88" s="598"/>
      <c r="AF88" s="596"/>
    </row>
    <row r="89" spans="24:32">
      <c r="X89" s="597"/>
      <c r="Y89" s="613"/>
      <c r="Z89" s="598"/>
      <c r="AA89" s="597"/>
      <c r="AD89" s="597"/>
      <c r="AE89" s="598"/>
      <c r="AF89" s="596"/>
    </row>
    <row r="90" spans="24:32">
      <c r="AF90" s="596"/>
    </row>
    <row r="92" spans="24:32">
      <c r="X92" s="597"/>
      <c r="Y92" s="613"/>
      <c r="Z92" s="598"/>
      <c r="AA92" s="597"/>
      <c r="AD92" s="597"/>
      <c r="AE92" s="598"/>
    </row>
    <row r="93" spans="24:32">
      <c r="X93" s="597"/>
      <c r="Y93" s="613"/>
      <c r="Z93" s="598"/>
      <c r="AA93" s="597"/>
      <c r="AD93" s="597"/>
      <c r="AE93" s="598"/>
      <c r="AF93" s="596"/>
    </row>
    <row r="94" spans="24:32">
      <c r="X94" s="597"/>
      <c r="Y94" s="613"/>
      <c r="Z94" s="598"/>
      <c r="AA94" s="597"/>
      <c r="AD94" s="597"/>
      <c r="AE94" s="598"/>
      <c r="AF94" s="596"/>
    </row>
    <row r="95" spans="24:32">
      <c r="X95" s="597"/>
      <c r="Y95" s="613"/>
      <c r="Z95" s="598"/>
      <c r="AA95" s="597"/>
      <c r="AD95" s="597"/>
      <c r="AE95" s="598"/>
      <c r="AF95" s="596"/>
    </row>
    <row r="96" spans="24:32">
      <c r="AF96" s="596"/>
    </row>
    <row r="98" spans="24:32">
      <c r="X98" s="597"/>
      <c r="Y98" s="613"/>
      <c r="Z98" s="598"/>
      <c r="AA98" s="597"/>
      <c r="AD98" s="597"/>
      <c r="AE98" s="598"/>
    </row>
    <row r="99" spans="24:32">
      <c r="X99" s="597"/>
      <c r="Y99" s="613"/>
      <c r="Z99" s="598"/>
      <c r="AA99" s="597"/>
      <c r="AD99" s="597"/>
      <c r="AE99" s="598"/>
      <c r="AF99" s="596"/>
    </row>
    <row r="100" spans="24:32">
      <c r="X100" s="597"/>
      <c r="Y100" s="613"/>
      <c r="Z100" s="598"/>
      <c r="AA100" s="597"/>
      <c r="AD100" s="597"/>
      <c r="AE100" s="598"/>
      <c r="AF100" s="596"/>
    </row>
    <row r="101" spans="24:32">
      <c r="X101" s="597"/>
      <c r="Y101" s="613"/>
      <c r="Z101" s="598"/>
      <c r="AA101" s="597"/>
      <c r="AD101" s="597"/>
      <c r="AE101" s="598"/>
      <c r="AF101" s="596"/>
    </row>
    <row r="102" spans="24:32">
      <c r="AF102" s="596"/>
    </row>
    <row r="104" spans="24:32">
      <c r="X104" s="597"/>
      <c r="Y104" s="613"/>
      <c r="Z104" s="598"/>
      <c r="AA104" s="597"/>
      <c r="AD104" s="597"/>
      <c r="AE104" s="598"/>
    </row>
    <row r="105" spans="24:32">
      <c r="X105" s="597"/>
      <c r="Y105" s="613"/>
      <c r="Z105" s="598"/>
      <c r="AA105" s="597"/>
      <c r="AD105" s="597"/>
      <c r="AE105" s="598"/>
      <c r="AF105" s="596"/>
    </row>
    <row r="106" spans="24:32">
      <c r="X106" s="597"/>
      <c r="Y106" s="613"/>
      <c r="Z106" s="598"/>
      <c r="AA106" s="597"/>
      <c r="AD106" s="597"/>
      <c r="AE106" s="598"/>
      <c r="AF106" s="596"/>
    </row>
    <row r="107" spans="24:32">
      <c r="X107" s="597"/>
      <c r="Y107" s="613"/>
      <c r="Z107" s="598"/>
      <c r="AA107" s="597"/>
      <c r="AD107" s="597"/>
      <c r="AE107" s="598"/>
      <c r="AF107" s="596"/>
    </row>
    <row r="108" spans="24:32">
      <c r="AF108" s="596"/>
    </row>
    <row r="110" spans="24:32">
      <c r="X110" s="597"/>
      <c r="Y110" s="613"/>
      <c r="Z110" s="598"/>
      <c r="AA110" s="597"/>
      <c r="AD110" s="597"/>
      <c r="AE110" s="598"/>
    </row>
    <row r="111" spans="24:32">
      <c r="X111" s="597"/>
      <c r="Y111" s="613"/>
      <c r="Z111" s="598"/>
      <c r="AA111" s="597"/>
      <c r="AD111" s="597"/>
      <c r="AE111" s="598"/>
    </row>
    <row r="112" spans="24:32">
      <c r="X112" s="597"/>
      <c r="Y112" s="613"/>
      <c r="Z112" s="598"/>
      <c r="AA112" s="597"/>
      <c r="AD112" s="597"/>
      <c r="AE112" s="598"/>
    </row>
    <row r="113" spans="24:31">
      <c r="X113" s="597"/>
      <c r="Y113" s="613"/>
      <c r="Z113" s="598"/>
      <c r="AA113" s="597"/>
      <c r="AD113" s="597"/>
      <c r="AE113" s="598"/>
    </row>
  </sheetData>
  <mergeCells count="6">
    <mergeCell ref="AF2:AI2"/>
    <mergeCell ref="B2:C2"/>
    <mergeCell ref="B17:C17"/>
    <mergeCell ref="B18:C18"/>
    <mergeCell ref="B15:C15"/>
    <mergeCell ref="C16:D16"/>
  </mergeCells>
  <pageMargins left="0.25" right="0.25" top="0.3" bottom="0.44" header="0.23" footer="0.21"/>
  <pageSetup scale="93" orientation="portrait" r:id="rId1"/>
  <headerFooter alignWithMargins="0"/>
  <drawing r:id="rId2"/>
  <legacyDrawing r:id="rId3"/>
  <controls>
    <mc:AlternateContent xmlns:mc="http://schemas.openxmlformats.org/markup-compatibility/2006">
      <mc:Choice Requires="x14">
        <control shapeId="123905" r:id="rId4" name="CheckBox1">
          <controlPr defaultSize="0" autoFill="0" autoLine="0" linkedCell="A65" r:id="rId5">
            <anchor moveWithCells="1">
              <from>
                <xdr:col>2</xdr:col>
                <xdr:colOff>95250</xdr:colOff>
                <xdr:row>14</xdr:row>
                <xdr:rowOff>171450</xdr:rowOff>
              </from>
              <to>
                <xdr:col>2</xdr:col>
                <xdr:colOff>352425</xdr:colOff>
                <xdr:row>16</xdr:row>
                <xdr:rowOff>9525</xdr:rowOff>
              </to>
            </anchor>
          </controlPr>
        </control>
      </mc:Choice>
      <mc:Fallback>
        <control shapeId="123905" r:id="rId4" name="CheckBox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41"/>
  <sheetViews>
    <sheetView topLeftCell="A4" zoomScaleNormal="100" workbookViewId="0">
      <selection activeCell="C30" sqref="C30"/>
    </sheetView>
  </sheetViews>
  <sheetFormatPr defaultRowHeight="15"/>
  <cols>
    <col min="1" max="1" width="2" customWidth="1"/>
    <col min="3" max="3" width="44.5546875" customWidth="1"/>
    <col min="4" max="4" width="13.44140625" customWidth="1"/>
    <col min="7" max="7" width="9.44140625" bestFit="1" customWidth="1"/>
  </cols>
  <sheetData>
    <row r="1" spans="1:8" ht="18.75">
      <c r="A1" s="1043" t="s">
        <v>434</v>
      </c>
      <c r="B1" s="1043"/>
      <c r="C1" s="1043"/>
      <c r="D1" s="1043"/>
      <c r="E1" s="1043"/>
    </row>
    <row r="2" spans="1:8" ht="18.75">
      <c r="A2" s="323"/>
      <c r="B2" s="324"/>
      <c r="C2" s="324"/>
      <c r="D2" s="324"/>
      <c r="E2" s="324"/>
    </row>
    <row r="3" spans="1:8" s="12" customFormat="1" ht="16.5" customHeight="1">
      <c r="A3" s="1040" t="s">
        <v>268</v>
      </c>
      <c r="B3" s="1040"/>
      <c r="C3" s="1040"/>
      <c r="D3" s="1040"/>
      <c r="E3" s="1040"/>
      <c r="F3" s="330"/>
      <c r="G3" s="330"/>
      <c r="H3" s="330"/>
    </row>
    <row r="4" spans="1:8" s="12" customFormat="1" ht="15.75">
      <c r="A4" s="13"/>
      <c r="B4" s="13"/>
      <c r="C4" s="13"/>
      <c r="D4" s="13"/>
      <c r="E4" s="13"/>
      <c r="F4" s="13"/>
      <c r="G4" s="13"/>
      <c r="H4" s="13"/>
    </row>
    <row r="5" spans="1:8" s="12" customFormat="1" ht="15.75">
      <c r="A5" s="1026" t="str">
        <f>'WP-5 - Capital Structure'!$A$5</f>
        <v>In Support of Tariff 18 effective January 1, 2020</v>
      </c>
      <c r="B5" s="1026"/>
      <c r="C5" s="1026"/>
      <c r="D5" s="1026"/>
      <c r="E5" s="1026"/>
      <c r="F5" s="329"/>
      <c r="G5" s="329"/>
      <c r="H5" s="329"/>
    </row>
    <row r="6" spans="1:8" ht="18.75">
      <c r="A6" s="324"/>
      <c r="B6" s="324"/>
      <c r="C6" s="324"/>
      <c r="D6" s="324"/>
      <c r="E6" s="324"/>
    </row>
    <row r="7" spans="1:8">
      <c r="A7" s="1041" t="s">
        <v>289</v>
      </c>
      <c r="B7" s="1042"/>
      <c r="C7" s="1042"/>
      <c r="D7" s="1042"/>
      <c r="E7" s="1042"/>
    </row>
    <row r="8" spans="1:8">
      <c r="A8" s="1042"/>
      <c r="B8" s="1042"/>
      <c r="C8" s="1042"/>
      <c r="D8" s="1042"/>
      <c r="E8" s="1042"/>
    </row>
    <row r="9" spans="1:8">
      <c r="A9" s="1042"/>
      <c r="B9" s="1042"/>
      <c r="C9" s="1042"/>
      <c r="D9" s="1042"/>
      <c r="E9" s="1042"/>
    </row>
    <row r="10" spans="1:8">
      <c r="A10" s="1042"/>
      <c r="B10" s="1042"/>
      <c r="C10" s="1042"/>
      <c r="D10" s="1042"/>
      <c r="E10" s="1042"/>
    </row>
    <row r="11" spans="1:8">
      <c r="A11" s="1042"/>
      <c r="B11" s="1042"/>
      <c r="C11" s="1042"/>
      <c r="D11" s="1042"/>
      <c r="E11" s="1042"/>
    </row>
    <row r="12" spans="1:8">
      <c r="A12" s="1042"/>
      <c r="B12" s="1042"/>
      <c r="C12" s="1042"/>
      <c r="D12" s="1042"/>
      <c r="E12" s="1042"/>
    </row>
    <row r="13" spans="1:8" ht="8.25" customHeight="1">
      <c r="A13" s="1042"/>
      <c r="B13" s="1042"/>
      <c r="C13" s="1042"/>
      <c r="D13" s="1042"/>
      <c r="E13" s="1042"/>
    </row>
    <row r="14" spans="1:8" ht="6" hidden="1" customHeight="1">
      <c r="A14" s="1042"/>
      <c r="B14" s="1042"/>
      <c r="C14" s="1042"/>
      <c r="D14" s="1042"/>
      <c r="E14" s="1042"/>
    </row>
    <row r="15" spans="1:8" hidden="1">
      <c r="A15" s="1042"/>
      <c r="B15" s="1042"/>
      <c r="C15" s="1042"/>
      <c r="D15" s="1042"/>
      <c r="E15" s="1042"/>
    </row>
    <row r="16" spans="1:8" ht="18.75">
      <c r="A16" s="325"/>
      <c r="B16" s="325"/>
      <c r="C16" s="325"/>
      <c r="D16" s="326" t="s">
        <v>124</v>
      </c>
      <c r="E16" s="325"/>
    </row>
    <row r="17" spans="1:5" ht="18.75">
      <c r="A17" s="324"/>
      <c r="B17" s="324" t="s">
        <v>874</v>
      </c>
      <c r="C17" s="324"/>
      <c r="D17" s="382">
        <v>1224207.83</v>
      </c>
      <c r="E17" s="451"/>
    </row>
    <row r="18" spans="1:5" ht="18.75">
      <c r="A18" s="324"/>
      <c r="B18" s="324" t="s">
        <v>875</v>
      </c>
      <c r="C18" s="324"/>
      <c r="D18" s="382">
        <v>3905420</v>
      </c>
      <c r="E18" s="324"/>
    </row>
    <row r="19" spans="1:5" ht="18.75">
      <c r="A19" s="324"/>
      <c r="B19" s="324" t="s">
        <v>876</v>
      </c>
      <c r="C19" s="324"/>
      <c r="D19" s="382">
        <f>-'WP-1 - Summary Depr'!P21</f>
        <v>-3516566.0691269841</v>
      </c>
      <c r="E19" s="324"/>
    </row>
    <row r="20" spans="1:5" ht="18.75">
      <c r="A20" s="324"/>
      <c r="B20" s="324"/>
      <c r="C20" s="324"/>
      <c r="D20" s="327"/>
      <c r="E20" s="324"/>
    </row>
    <row r="21" spans="1:5" ht="19.5" thickBot="1">
      <c r="A21" s="324"/>
      <c r="B21" s="324" t="s">
        <v>877</v>
      </c>
      <c r="C21" s="324"/>
      <c r="D21" s="383">
        <f>SUM(D17:D19)</f>
        <v>1613061.760873016</v>
      </c>
      <c r="E21" s="384">
        <f>+D21/(D21+D23)</f>
        <v>0.64990400777903279</v>
      </c>
    </row>
    <row r="22" spans="1:5" ht="19.5" thickTop="1">
      <c r="A22" s="324"/>
      <c r="B22" s="324"/>
      <c r="C22" s="324"/>
      <c r="D22" s="327"/>
      <c r="E22" s="328"/>
    </row>
    <row r="23" spans="1:5" ht="19.5" thickBot="1">
      <c r="A23" s="324"/>
      <c r="B23" s="324" t="s">
        <v>878</v>
      </c>
      <c r="C23" s="324"/>
      <c r="D23" s="383">
        <f>'WP-5 - Capital Structure'!E9</f>
        <v>868938.26</v>
      </c>
      <c r="E23" s="384">
        <f>+D23/(D21+D23)</f>
        <v>0.35009599222096732</v>
      </c>
    </row>
    <row r="24" spans="1:5" ht="19.5" thickTop="1">
      <c r="A24" s="324"/>
      <c r="B24" s="324"/>
      <c r="C24" s="324"/>
      <c r="D24" s="327"/>
      <c r="E24" s="324"/>
    </row>
    <row r="25" spans="1:5" ht="18.75">
      <c r="A25" s="324"/>
      <c r="B25" s="324" t="s">
        <v>254</v>
      </c>
      <c r="C25" s="324"/>
      <c r="D25" s="327"/>
      <c r="E25" s="324"/>
    </row>
    <row r="26" spans="1:5" ht="18.75">
      <c r="A26" s="324"/>
    </row>
    <row r="27" spans="1:5" ht="18.75">
      <c r="A27" s="324"/>
    </row>
    <row r="28" spans="1:5" ht="18.75">
      <c r="A28" s="324"/>
    </row>
    <row r="29" spans="1:5" ht="18.75">
      <c r="A29" s="324"/>
    </row>
    <row r="30" spans="1:5" ht="18.75">
      <c r="A30" s="324"/>
    </row>
    <row r="31" spans="1:5" ht="18.75">
      <c r="A31" s="324"/>
    </row>
    <row r="32" spans="1:5" ht="18.75">
      <c r="A32" s="343"/>
    </row>
    <row r="33" spans="1:1" ht="18.75">
      <c r="A33" s="343"/>
    </row>
    <row r="34" spans="1:1" ht="18.75">
      <c r="A34" s="343"/>
    </row>
    <row r="35" spans="1:1" ht="18.75">
      <c r="A35" s="324"/>
    </row>
    <row r="36" spans="1:1" ht="18.75">
      <c r="A36" s="324"/>
    </row>
    <row r="37" spans="1:1" ht="18.75">
      <c r="A37" s="324"/>
    </row>
    <row r="38" spans="1:1" ht="18.75">
      <c r="A38" s="324"/>
    </row>
    <row r="39" spans="1:1" ht="13.5" customHeight="1">
      <c r="A39" s="324"/>
    </row>
    <row r="40" spans="1:1" ht="18.75">
      <c r="A40" s="324"/>
    </row>
    <row r="41" spans="1:1" ht="18.75">
      <c r="A41" s="324"/>
    </row>
  </sheetData>
  <mergeCells count="4">
    <mergeCell ref="A7:E15"/>
    <mergeCell ref="A1:E1"/>
    <mergeCell ref="A3:E3"/>
    <mergeCell ref="A5:E5"/>
  </mergeCells>
  <printOptions horizontalCentered="1"/>
  <pageMargins left="0.7" right="0.7" top="0.75" bottom="0.75" header="0.3" footer="0.3"/>
  <pageSetup scale="88"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330"/>
  <sheetViews>
    <sheetView zoomScaleNormal="100" workbookViewId="0">
      <selection activeCell="H5" sqref="H5"/>
    </sheetView>
  </sheetViews>
  <sheetFormatPr defaultRowHeight="15"/>
  <cols>
    <col min="1" max="1" width="22" style="901" customWidth="1"/>
    <col min="2" max="2" width="10.77734375" style="901" bestFit="1" customWidth="1"/>
    <col min="3" max="3" width="1.77734375" style="901" customWidth="1"/>
    <col min="4" max="4" width="13" style="901" customWidth="1"/>
    <col min="5" max="6" width="8.88671875" style="901"/>
    <col min="7" max="7" width="15.88671875" style="901" customWidth="1"/>
    <col min="8" max="8" width="8.88671875" style="900"/>
    <col min="9" max="9" width="8.88671875" style="901"/>
    <col min="10" max="10" width="13.21875" style="901" bestFit="1" customWidth="1"/>
    <col min="11" max="16384" width="8.88671875" style="901"/>
  </cols>
  <sheetData>
    <row r="1" spans="1:13" ht="15.75">
      <c r="A1" s="1045" t="str">
        <f>+'WP-5, pg 2 - Capital'!A1</f>
        <v>Pullman Disposal Services, Inc.</v>
      </c>
      <c r="B1" s="1045"/>
      <c r="C1" s="1045"/>
      <c r="D1" s="1045"/>
      <c r="E1" s="1045"/>
      <c r="F1" s="1045"/>
      <c r="G1" s="1045"/>
    </row>
    <row r="2" spans="1:13" ht="15.75">
      <c r="A2" s="902"/>
      <c r="B2" s="903"/>
      <c r="C2" s="903"/>
      <c r="D2" s="903"/>
      <c r="E2" s="903"/>
      <c r="F2" s="903"/>
      <c r="G2" s="903"/>
    </row>
    <row r="3" spans="1:13" ht="15.75">
      <c r="A3" s="1046" t="s">
        <v>269</v>
      </c>
      <c r="B3" s="1046"/>
      <c r="C3" s="1046"/>
      <c r="D3" s="1046"/>
      <c r="E3" s="1046"/>
      <c r="F3" s="1046"/>
      <c r="G3" s="1046"/>
    </row>
    <row r="4" spans="1:13" ht="15.75">
      <c r="A4" s="904"/>
      <c r="B4" s="904"/>
      <c r="C4" s="904"/>
      <c r="D4" s="904"/>
      <c r="E4" s="904"/>
      <c r="F4" s="904"/>
      <c r="G4" s="904"/>
    </row>
    <row r="5" spans="1:13" ht="15.75">
      <c r="A5" s="1045" t="str">
        <f>'WP-5, pg 2 - Capital'!$A$5</f>
        <v>In Support of Tariff 18 effective January 1, 2020</v>
      </c>
      <c r="B5" s="1045"/>
      <c r="C5" s="1045"/>
      <c r="D5" s="1045"/>
      <c r="E5" s="1045"/>
      <c r="F5" s="1045"/>
      <c r="G5" s="1045"/>
      <c r="J5" s="905"/>
    </row>
    <row r="6" spans="1:13">
      <c r="H6" s="905"/>
    </row>
    <row r="7" spans="1:13" ht="15.75">
      <c r="A7" s="906" t="s">
        <v>1012</v>
      </c>
      <c r="B7" s="907"/>
      <c r="C7" s="907"/>
      <c r="D7" s="908"/>
      <c r="E7" s="908"/>
      <c r="F7" s="908"/>
      <c r="G7" s="908"/>
      <c r="H7" s="909"/>
      <c r="I7" s="910"/>
      <c r="J7" s="910"/>
      <c r="K7" s="910"/>
      <c r="L7" s="910"/>
    </row>
    <row r="8" spans="1:13" ht="12" customHeight="1">
      <c r="A8" s="911"/>
      <c r="B8" s="912"/>
      <c r="C8" s="913"/>
      <c r="D8" s="914"/>
      <c r="E8" s="914"/>
      <c r="F8" s="914"/>
      <c r="G8" s="914"/>
      <c r="H8" s="915"/>
      <c r="I8" s="916"/>
      <c r="K8" s="917"/>
      <c r="L8" s="917"/>
    </row>
    <row r="9" spans="1:13" ht="64.5" customHeight="1">
      <c r="A9" s="911" t="s">
        <v>553</v>
      </c>
      <c r="B9" s="918">
        <f>+'Sch 4 - 12 Months'!O82</f>
        <v>128400</v>
      </c>
      <c r="C9" s="919"/>
      <c r="D9" s="1047" t="s">
        <v>1013</v>
      </c>
      <c r="E9" s="1047"/>
      <c r="F9" s="1047"/>
      <c r="G9" s="1047"/>
      <c r="H9" s="915"/>
      <c r="I9" s="920"/>
      <c r="J9" s="917"/>
      <c r="K9" s="1044"/>
      <c r="L9" s="1044"/>
      <c r="M9" s="1044"/>
    </row>
    <row r="10" spans="1:13" s="930" customFormat="1" ht="15.75">
      <c r="A10" s="925"/>
      <c r="B10" s="921"/>
      <c r="C10" s="922"/>
      <c r="D10" s="926"/>
      <c r="E10" s="926"/>
      <c r="F10" s="926"/>
      <c r="G10" s="926"/>
      <c r="H10" s="927"/>
      <c r="I10" s="928"/>
      <c r="J10" s="929"/>
      <c r="K10" s="929"/>
      <c r="L10" s="928"/>
    </row>
    <row r="11" spans="1:13" s="930" customFormat="1" ht="15.75">
      <c r="A11" s="925"/>
      <c r="B11" s="921"/>
      <c r="C11" s="922"/>
      <c r="D11" s="956"/>
      <c r="E11" s="956"/>
      <c r="F11" s="956"/>
      <c r="G11" s="956"/>
      <c r="H11" s="927"/>
      <c r="I11" s="931"/>
      <c r="J11" s="928"/>
      <c r="K11" s="962"/>
      <c r="L11" s="962"/>
      <c r="M11" s="962"/>
    </row>
    <row r="12" spans="1:13" s="930" customFormat="1" ht="15.75">
      <c r="A12" s="925"/>
      <c r="B12" s="921"/>
      <c r="C12" s="922"/>
      <c r="D12" s="926"/>
      <c r="E12" s="926"/>
      <c r="F12" s="926"/>
      <c r="G12" s="926"/>
      <c r="H12" s="927"/>
      <c r="I12" s="928"/>
      <c r="J12" s="929"/>
      <c r="K12" s="929"/>
      <c r="L12" s="928"/>
    </row>
    <row r="13" spans="1:13" s="930" customFormat="1" ht="15.75">
      <c r="A13" s="925"/>
      <c r="B13" s="921"/>
      <c r="C13" s="922"/>
      <c r="D13" s="956"/>
      <c r="E13" s="956"/>
      <c r="F13" s="956"/>
      <c r="G13" s="956"/>
      <c r="H13" s="927"/>
      <c r="I13" s="931"/>
      <c r="J13" s="928"/>
      <c r="K13" s="962"/>
      <c r="L13" s="962"/>
      <c r="M13" s="962"/>
    </row>
    <row r="14" spans="1:13" s="930" customFormat="1" ht="15.75">
      <c r="A14" s="925"/>
      <c r="B14" s="921"/>
      <c r="C14" s="922"/>
      <c r="D14" s="926"/>
      <c r="E14" s="926"/>
      <c r="F14" s="926"/>
      <c r="G14" s="926"/>
      <c r="H14" s="927"/>
      <c r="I14" s="928"/>
      <c r="J14" s="929"/>
      <c r="K14" s="929"/>
      <c r="L14" s="928"/>
    </row>
    <row r="15" spans="1:13" s="930" customFormat="1" ht="15.75">
      <c r="A15" s="925"/>
      <c r="B15" s="921"/>
      <c r="C15" s="922"/>
      <c r="D15" s="956"/>
      <c r="E15" s="956"/>
      <c r="F15" s="956"/>
      <c r="G15" s="956"/>
      <c r="H15" s="927"/>
      <c r="I15" s="931"/>
      <c r="J15" s="928"/>
      <c r="K15" s="962"/>
      <c r="L15" s="962"/>
      <c r="M15" s="962"/>
    </row>
    <row r="16" spans="1:13" s="930" customFormat="1" ht="15.75">
      <c r="A16" s="925"/>
      <c r="B16" s="921"/>
      <c r="C16" s="922"/>
      <c r="D16" s="926"/>
      <c r="E16" s="926"/>
      <c r="F16" s="926"/>
      <c r="G16" s="926"/>
      <c r="H16" s="927"/>
      <c r="I16" s="928"/>
      <c r="J16" s="929"/>
      <c r="K16" s="929"/>
      <c r="L16" s="928"/>
    </row>
    <row r="17" spans="1:13" s="930" customFormat="1" ht="15.75">
      <c r="A17" s="925"/>
      <c r="B17" s="921"/>
      <c r="C17" s="922"/>
      <c r="D17" s="956"/>
      <c r="E17" s="956"/>
      <c r="F17" s="956"/>
      <c r="G17" s="956"/>
      <c r="H17" s="932"/>
      <c r="I17" s="931"/>
      <c r="J17" s="928"/>
      <c r="K17" s="962"/>
      <c r="L17" s="962"/>
      <c r="M17" s="962"/>
    </row>
    <row r="18" spans="1:13" s="930" customFormat="1" ht="15.75">
      <c r="A18" s="933"/>
      <c r="B18" s="922"/>
      <c r="C18" s="922"/>
      <c r="D18" s="934"/>
      <c r="E18" s="934"/>
      <c r="F18" s="934"/>
      <c r="G18" s="934"/>
      <c r="H18" s="927"/>
      <c r="J18" s="929"/>
      <c r="K18" s="929"/>
    </row>
    <row r="19" spans="1:13" s="930" customFormat="1" ht="15.75">
      <c r="A19" s="925"/>
      <c r="B19" s="921"/>
      <c r="C19" s="922"/>
      <c r="D19" s="956"/>
      <c r="E19" s="956"/>
      <c r="F19" s="956"/>
      <c r="G19" s="956"/>
      <c r="H19" s="932"/>
      <c r="I19" s="931"/>
      <c r="J19" s="928"/>
      <c r="K19" s="962"/>
      <c r="L19" s="962"/>
      <c r="M19" s="962"/>
    </row>
    <row r="20" spans="1:13" s="930" customFormat="1" ht="15.75">
      <c r="A20" s="933"/>
      <c r="B20" s="922"/>
      <c r="C20" s="922"/>
      <c r="D20" s="934"/>
      <c r="E20" s="934"/>
      <c r="F20" s="934"/>
      <c r="G20" s="934"/>
      <c r="H20" s="927"/>
      <c r="J20" s="929"/>
      <c r="K20" s="929"/>
    </row>
    <row r="21" spans="1:13" s="930" customFormat="1" ht="15.75">
      <c r="A21" s="935"/>
      <c r="B21" s="923"/>
      <c r="C21" s="923"/>
      <c r="D21" s="936"/>
      <c r="E21" s="936"/>
      <c r="F21" s="936"/>
      <c r="G21" s="936"/>
      <c r="H21" s="937"/>
      <c r="I21" s="931"/>
      <c r="J21" s="928"/>
      <c r="K21" s="928"/>
      <c r="L21" s="928"/>
    </row>
    <row r="22" spans="1:13" s="930" customFormat="1" ht="15.75">
      <c r="A22" s="963"/>
      <c r="B22" s="963"/>
      <c r="C22" s="963"/>
      <c r="D22" s="963"/>
      <c r="E22" s="963"/>
      <c r="F22" s="963"/>
      <c r="G22" s="963"/>
      <c r="H22" s="932"/>
      <c r="J22" s="929"/>
      <c r="K22" s="929"/>
      <c r="L22" s="928"/>
    </row>
    <row r="23" spans="1:13" s="930" customFormat="1" ht="15.75">
      <c r="A23" s="938"/>
      <c r="B23" s="939"/>
      <c r="C23" s="939"/>
      <c r="D23" s="939"/>
      <c r="E23" s="939"/>
      <c r="F23" s="939"/>
      <c r="G23" s="939"/>
      <c r="H23" s="932"/>
    </row>
    <row r="24" spans="1:13" s="930" customFormat="1" ht="15.75">
      <c r="A24" s="963"/>
      <c r="B24" s="964"/>
      <c r="C24" s="964"/>
      <c r="D24" s="964"/>
      <c r="E24" s="964"/>
      <c r="F24" s="964"/>
      <c r="G24" s="964"/>
      <c r="H24" s="932"/>
    </row>
    <row r="25" spans="1:13" s="930" customFormat="1" ht="15.75">
      <c r="A25" s="940"/>
      <c r="B25" s="940"/>
      <c r="C25" s="940"/>
      <c r="D25" s="940"/>
      <c r="E25" s="940"/>
      <c r="F25" s="940"/>
      <c r="G25" s="940"/>
      <c r="H25" s="932"/>
    </row>
    <row r="26" spans="1:13" s="930" customFormat="1" ht="15.75">
      <c r="A26" s="963"/>
      <c r="B26" s="963"/>
      <c r="C26" s="963"/>
      <c r="D26" s="963"/>
      <c r="E26" s="963"/>
      <c r="F26" s="963"/>
      <c r="G26" s="963"/>
      <c r="H26" s="932"/>
    </row>
    <row r="27" spans="1:13" s="930" customFormat="1" ht="15.75">
      <c r="A27" s="935"/>
      <c r="B27" s="923"/>
      <c r="C27" s="923"/>
      <c r="D27" s="936"/>
      <c r="E27" s="936"/>
      <c r="F27" s="936"/>
      <c r="G27" s="936"/>
      <c r="H27" s="937"/>
      <c r="I27" s="931"/>
      <c r="J27" s="928"/>
      <c r="K27" s="928"/>
      <c r="L27" s="928"/>
    </row>
    <row r="28" spans="1:13" s="930" customFormat="1" ht="15.75">
      <c r="A28" s="941"/>
      <c r="B28" s="942"/>
      <c r="C28" s="942"/>
      <c r="D28" s="935"/>
      <c r="E28" s="935"/>
      <c r="F28" s="935"/>
      <c r="G28" s="935"/>
      <c r="H28" s="943"/>
      <c r="I28" s="944"/>
      <c r="J28" s="944"/>
      <c r="K28" s="944"/>
      <c r="L28" s="944"/>
    </row>
    <row r="29" spans="1:13" s="930" customFormat="1" ht="15.75">
      <c r="A29" s="941"/>
      <c r="B29" s="942"/>
      <c r="C29" s="942"/>
      <c r="D29" s="935"/>
      <c r="E29" s="935"/>
      <c r="F29" s="935"/>
      <c r="G29" s="935"/>
      <c r="H29" s="943"/>
      <c r="I29" s="944"/>
      <c r="J29" s="944"/>
      <c r="K29" s="944"/>
      <c r="L29" s="944"/>
    </row>
    <row r="30" spans="1:13" s="930" customFormat="1" ht="15.75">
      <c r="A30" s="925"/>
      <c r="B30" s="921"/>
      <c r="C30" s="922"/>
      <c r="D30" s="956"/>
      <c r="E30" s="956"/>
      <c r="F30" s="956"/>
      <c r="G30" s="956"/>
      <c r="H30" s="927"/>
      <c r="I30" s="931"/>
      <c r="J30" s="928"/>
      <c r="K30" s="962"/>
      <c r="L30" s="962"/>
      <c r="M30" s="962"/>
    </row>
    <row r="31" spans="1:13" s="930" customFormat="1" ht="15.75">
      <c r="A31" s="935"/>
      <c r="B31" s="936"/>
      <c r="C31" s="936"/>
      <c r="D31" s="936"/>
      <c r="E31" s="936"/>
      <c r="F31" s="936"/>
      <c r="G31" s="936"/>
      <c r="H31" s="927"/>
      <c r="I31" s="928"/>
      <c r="J31" s="929"/>
      <c r="K31" s="929"/>
      <c r="L31" s="928"/>
    </row>
    <row r="32" spans="1:13" s="930" customFormat="1" ht="15.75">
      <c r="A32" s="941"/>
      <c r="B32" s="936"/>
      <c r="C32" s="936"/>
      <c r="D32" s="936"/>
      <c r="E32" s="936"/>
      <c r="F32" s="936"/>
      <c r="G32" s="936"/>
      <c r="H32" s="945"/>
      <c r="I32" s="931"/>
      <c r="J32" s="928"/>
      <c r="K32" s="928"/>
      <c r="L32" s="928"/>
    </row>
    <row r="33" spans="1:12" s="930" customFormat="1" ht="15.75">
      <c r="A33" s="941"/>
      <c r="B33" s="946"/>
      <c r="C33" s="936"/>
      <c r="D33" s="936"/>
      <c r="E33" s="936"/>
      <c r="F33" s="936"/>
      <c r="G33" s="936"/>
      <c r="H33" s="927"/>
      <c r="I33" s="928"/>
      <c r="J33" s="929"/>
      <c r="K33" s="929"/>
      <c r="L33" s="928"/>
    </row>
    <row r="34" spans="1:12" s="930" customFormat="1" ht="15.75">
      <c r="A34" s="941"/>
      <c r="B34" s="947"/>
      <c r="C34" s="947"/>
      <c r="D34" s="924"/>
      <c r="E34" s="924"/>
      <c r="F34" s="924"/>
      <c r="G34" s="947"/>
      <c r="H34" s="927"/>
      <c r="I34" s="928"/>
      <c r="J34" s="928"/>
      <c r="K34" s="928"/>
      <c r="L34" s="928"/>
    </row>
    <row r="35" spans="1:12" s="930" customFormat="1" ht="15.75">
      <c r="A35" s="941"/>
      <c r="B35" s="947"/>
      <c r="C35" s="947"/>
      <c r="D35" s="924"/>
      <c r="E35" s="924"/>
      <c r="F35" s="924"/>
      <c r="G35" s="947"/>
      <c r="H35" s="927"/>
      <c r="I35" s="928"/>
      <c r="J35" s="928"/>
      <c r="K35" s="928"/>
      <c r="L35" s="928"/>
    </row>
    <row r="36" spans="1:12" s="930" customFormat="1" ht="15.75">
      <c r="A36" s="925"/>
      <c r="B36" s="921"/>
      <c r="C36" s="924"/>
      <c r="D36" s="956"/>
      <c r="E36" s="956"/>
      <c r="F36" s="956"/>
      <c r="G36" s="956"/>
      <c r="H36" s="927"/>
      <c r="I36" s="928"/>
      <c r="J36" s="928"/>
      <c r="K36" s="928"/>
      <c r="L36" s="928"/>
    </row>
    <row r="37" spans="1:12" s="930" customFormat="1" ht="15.75">
      <c r="A37" s="925"/>
      <c r="B37" s="921"/>
      <c r="C37" s="948"/>
      <c r="D37" s="949"/>
      <c r="E37" s="949"/>
      <c r="F37" s="949"/>
      <c r="G37" s="949"/>
      <c r="H37" s="927"/>
      <c r="I37" s="928"/>
      <c r="J37" s="928"/>
      <c r="K37" s="928"/>
      <c r="L37" s="928"/>
    </row>
    <row r="38" spans="1:12" s="930" customFormat="1" ht="15.75">
      <c r="A38" s="925"/>
      <c r="B38" s="921"/>
      <c r="C38" s="924"/>
      <c r="D38" s="956"/>
      <c r="E38" s="956"/>
      <c r="F38" s="956"/>
      <c r="G38" s="956"/>
      <c r="H38" s="950"/>
      <c r="I38" s="947"/>
      <c r="J38" s="947"/>
      <c r="K38" s="928"/>
      <c r="L38" s="928"/>
    </row>
    <row r="39" spans="1:12" s="930" customFormat="1" ht="15.75">
      <c r="A39" s="925"/>
      <c r="B39" s="921"/>
      <c r="C39" s="948"/>
      <c r="D39" s="951"/>
      <c r="E39" s="951"/>
      <c r="F39" s="951"/>
      <c r="G39" s="951"/>
      <c r="H39" s="950"/>
      <c r="I39" s="947"/>
      <c r="J39" s="947"/>
      <c r="K39" s="928"/>
      <c r="L39" s="928"/>
    </row>
    <row r="40" spans="1:12" s="930" customFormat="1" ht="15.75">
      <c r="A40" s="925"/>
      <c r="B40" s="921"/>
      <c r="C40" s="942"/>
      <c r="D40" s="956"/>
      <c r="E40" s="956"/>
      <c r="F40" s="956"/>
      <c r="G40" s="956"/>
      <c r="H40" s="950"/>
      <c r="I40" s="947"/>
      <c r="J40" s="947"/>
      <c r="K40" s="928"/>
      <c r="L40" s="928"/>
    </row>
    <row r="41" spans="1:12" s="930" customFormat="1" ht="15.75">
      <c r="A41" s="925"/>
      <c r="B41" s="921"/>
      <c r="C41" s="948"/>
      <c r="D41" s="949"/>
      <c r="E41" s="949"/>
      <c r="F41" s="949"/>
      <c r="G41" s="949"/>
      <c r="H41" s="950"/>
      <c r="I41" s="947"/>
      <c r="J41" s="947"/>
      <c r="K41" s="928"/>
      <c r="L41" s="928"/>
    </row>
    <row r="42" spans="1:12" s="930" customFormat="1" ht="15.75">
      <c r="A42" s="925"/>
      <c r="B42" s="921"/>
      <c r="C42" s="948"/>
      <c r="D42" s="956"/>
      <c r="E42" s="956"/>
      <c r="F42" s="956"/>
      <c r="G42" s="956"/>
      <c r="H42" s="950"/>
      <c r="I42" s="947"/>
      <c r="J42" s="947"/>
      <c r="K42" s="928"/>
      <c r="L42" s="928"/>
    </row>
    <row r="43" spans="1:12" s="930" customFormat="1" ht="15.75">
      <c r="A43" s="963"/>
      <c r="B43" s="963"/>
      <c r="C43" s="963"/>
      <c r="D43" s="963"/>
      <c r="E43" s="963"/>
      <c r="F43" s="963"/>
      <c r="G43" s="963"/>
      <c r="H43" s="950"/>
      <c r="I43" s="947"/>
      <c r="J43" s="947"/>
      <c r="K43" s="928"/>
      <c r="L43" s="928"/>
    </row>
    <row r="44" spans="1:12" s="930" customFormat="1" ht="15.75">
      <c r="A44" s="938"/>
      <c r="B44" s="939"/>
      <c r="C44" s="939"/>
      <c r="D44" s="939"/>
      <c r="E44" s="939"/>
      <c r="F44" s="939"/>
      <c r="G44" s="939"/>
      <c r="H44" s="950"/>
      <c r="I44" s="947"/>
      <c r="J44" s="947"/>
      <c r="K44" s="928"/>
      <c r="L44" s="928"/>
    </row>
    <row r="45" spans="1:12" s="930" customFormat="1" ht="15.75">
      <c r="A45" s="964"/>
      <c r="B45" s="964"/>
      <c r="C45" s="964"/>
      <c r="D45" s="964"/>
      <c r="E45" s="964"/>
      <c r="F45" s="964"/>
      <c r="G45" s="964"/>
      <c r="H45" s="952"/>
    </row>
    <row r="46" spans="1:12" s="930" customFormat="1" ht="15.75">
      <c r="A46" s="940"/>
      <c r="B46" s="940"/>
      <c r="C46" s="940"/>
      <c r="D46" s="940"/>
      <c r="E46" s="940"/>
      <c r="F46" s="940"/>
      <c r="G46" s="940"/>
      <c r="H46" s="950"/>
      <c r="I46" s="947"/>
      <c r="J46" s="947"/>
      <c r="K46" s="928"/>
      <c r="L46" s="928"/>
    </row>
    <row r="47" spans="1:12" s="930" customFormat="1" ht="15.75">
      <c r="A47" s="963"/>
      <c r="B47" s="963"/>
      <c r="C47" s="963"/>
      <c r="D47" s="963"/>
      <c r="E47" s="963"/>
      <c r="F47" s="963"/>
      <c r="G47" s="963"/>
      <c r="H47" s="952"/>
      <c r="I47" s="953"/>
      <c r="J47" s="953"/>
      <c r="K47" s="928"/>
      <c r="L47" s="928"/>
    </row>
    <row r="48" spans="1:12" s="930" customFormat="1" ht="15.75">
      <c r="A48" s="925"/>
      <c r="B48" s="921"/>
      <c r="C48" s="924"/>
      <c r="D48" s="956"/>
      <c r="E48" s="956"/>
      <c r="F48" s="956"/>
      <c r="G48" s="956"/>
      <c r="H48" s="952"/>
      <c r="I48" s="953"/>
      <c r="J48" s="953"/>
      <c r="K48" s="928"/>
      <c r="L48" s="928"/>
    </row>
    <row r="49" spans="1:10" s="930" customFormat="1" ht="15.75">
      <c r="A49" s="925"/>
      <c r="B49" s="921"/>
      <c r="C49" s="924"/>
      <c r="D49" s="953"/>
      <c r="E49" s="954"/>
      <c r="F49" s="955"/>
      <c r="G49" s="953"/>
      <c r="H49" s="932"/>
    </row>
    <row r="50" spans="1:10" s="930" customFormat="1" ht="15.75">
      <c r="A50" s="925"/>
      <c r="B50" s="921"/>
      <c r="C50" s="924"/>
      <c r="D50" s="956"/>
      <c r="E50" s="956"/>
      <c r="F50" s="956"/>
      <c r="G50" s="956"/>
      <c r="H50" s="932"/>
    </row>
    <row r="51" spans="1:10" s="930" customFormat="1" ht="15.75">
      <c r="A51" s="925"/>
      <c r="B51" s="921"/>
      <c r="C51" s="924"/>
      <c r="D51" s="953"/>
      <c r="E51" s="954"/>
      <c r="F51" s="955"/>
      <c r="G51" s="953"/>
      <c r="H51" s="932"/>
    </row>
    <row r="52" spans="1:10" s="930" customFormat="1" ht="15.75">
      <c r="A52" s="925"/>
      <c r="B52" s="921"/>
      <c r="C52" s="924"/>
      <c r="D52" s="956"/>
      <c r="E52" s="956"/>
      <c r="F52" s="956"/>
      <c r="G52" s="956"/>
      <c r="H52" s="932"/>
    </row>
    <row r="53" spans="1:10" s="930" customFormat="1" ht="15.75">
      <c r="A53" s="925"/>
      <c r="B53" s="921"/>
      <c r="C53" s="924"/>
      <c r="D53" s="953"/>
      <c r="E53" s="954"/>
      <c r="F53" s="955"/>
      <c r="G53" s="953"/>
      <c r="H53" s="932"/>
    </row>
    <row r="54" spans="1:10" s="930" customFormat="1" ht="15.75">
      <c r="A54" s="925"/>
      <c r="B54" s="921"/>
      <c r="C54" s="924"/>
      <c r="D54" s="956"/>
      <c r="E54" s="956"/>
      <c r="F54" s="956"/>
      <c r="G54" s="956"/>
      <c r="H54" s="932"/>
    </row>
    <row r="55" spans="1:10" s="930" customFormat="1">
      <c r="A55" s="925"/>
      <c r="B55" s="921"/>
      <c r="C55" s="942"/>
      <c r="D55" s="953"/>
      <c r="E55" s="953"/>
      <c r="F55" s="953"/>
      <c r="G55" s="953"/>
      <c r="H55" s="952"/>
      <c r="I55" s="953"/>
      <c r="J55" s="953"/>
    </row>
    <row r="56" spans="1:10" s="930" customFormat="1" ht="15.75">
      <c r="A56" s="925"/>
      <c r="B56" s="921"/>
      <c r="C56" s="924"/>
      <c r="D56" s="956"/>
      <c r="E56" s="956"/>
      <c r="F56" s="956"/>
      <c r="G56" s="956"/>
      <c r="H56" s="952"/>
      <c r="I56" s="953"/>
      <c r="J56" s="953"/>
    </row>
    <row r="57" spans="1:10" s="930" customFormat="1" ht="15.75">
      <c r="A57" s="925"/>
      <c r="B57" s="921"/>
      <c r="C57" s="924"/>
      <c r="D57" s="956"/>
      <c r="E57" s="956"/>
      <c r="F57" s="956"/>
      <c r="G57" s="956"/>
      <c r="H57" s="952"/>
      <c r="I57" s="953"/>
      <c r="J57" s="953"/>
    </row>
    <row r="58" spans="1:10" s="930" customFormat="1" ht="15.75">
      <c r="A58" s="947"/>
      <c r="B58" s="923"/>
      <c r="C58" s="924"/>
      <c r="D58" s="957"/>
      <c r="E58" s="957"/>
      <c r="F58" s="957"/>
      <c r="G58" s="957"/>
      <c r="H58" s="952"/>
      <c r="I58" s="953"/>
      <c r="J58" s="953"/>
    </row>
    <row r="59" spans="1:10" s="930" customFormat="1">
      <c r="A59" s="942"/>
      <c r="B59" s="942"/>
      <c r="C59" s="942"/>
      <c r="D59" s="942"/>
      <c r="E59" s="942"/>
      <c r="F59" s="942"/>
      <c r="G59" s="942"/>
      <c r="H59" s="952"/>
      <c r="I59" s="953"/>
      <c r="J59" s="953"/>
    </row>
    <row r="60" spans="1:10" s="930" customFormat="1" ht="15.75">
      <c r="A60" s="947"/>
      <c r="B60" s="924"/>
      <c r="C60" s="924"/>
      <c r="D60" s="958"/>
      <c r="E60" s="958"/>
      <c r="F60" s="958"/>
      <c r="G60" s="958"/>
      <c r="H60" s="952"/>
      <c r="I60" s="953"/>
      <c r="J60" s="953"/>
    </row>
    <row r="61" spans="1:10" s="930" customFormat="1" ht="15.75">
      <c r="A61" s="947"/>
      <c r="B61" s="924"/>
      <c r="C61" s="924"/>
      <c r="D61" s="958"/>
      <c r="E61" s="958"/>
      <c r="F61" s="958"/>
      <c r="G61" s="958"/>
      <c r="H61" s="952"/>
    </row>
    <row r="62" spans="1:10" s="930" customFormat="1" ht="15.75">
      <c r="A62" s="925"/>
      <c r="B62" s="959"/>
      <c r="C62" s="924"/>
      <c r="D62" s="956"/>
      <c r="E62" s="956"/>
      <c r="F62" s="956"/>
      <c r="G62" s="956"/>
      <c r="H62" s="952"/>
    </row>
    <row r="63" spans="1:10" s="930" customFormat="1" ht="15.75">
      <c r="A63" s="298"/>
      <c r="B63" s="298"/>
      <c r="C63" s="298"/>
      <c r="D63" s="298"/>
      <c r="E63" s="298"/>
      <c r="F63" s="298"/>
      <c r="G63" s="298"/>
      <c r="H63" s="960"/>
    </row>
    <row r="64" spans="1:10" s="930" customFormat="1" ht="15.75">
      <c r="A64" s="298"/>
      <c r="B64" s="298"/>
      <c r="C64" s="298"/>
      <c r="D64" s="298"/>
      <c r="E64" s="298"/>
      <c r="F64" s="298"/>
      <c r="G64" s="298"/>
      <c r="H64" s="960"/>
    </row>
    <row r="65" spans="1:8" s="930" customFormat="1" ht="15" customHeight="1">
      <c r="A65" s="965"/>
      <c r="B65" s="965"/>
      <c r="C65" s="965"/>
      <c r="D65" s="965"/>
      <c r="E65" s="965"/>
      <c r="F65" s="965"/>
      <c r="G65" s="965"/>
      <c r="H65" s="960"/>
    </row>
    <row r="66" spans="1:8" s="930" customFormat="1" ht="15" customHeight="1">
      <c r="A66" s="965"/>
      <c r="B66" s="965"/>
      <c r="C66" s="965"/>
      <c r="D66" s="965"/>
      <c r="E66" s="965"/>
      <c r="F66" s="965"/>
      <c r="G66" s="965"/>
      <c r="H66" s="932"/>
    </row>
    <row r="67" spans="1:8" s="930" customFormat="1" ht="15.75">
      <c r="A67" s="298"/>
      <c r="B67" s="298"/>
      <c r="C67" s="298"/>
      <c r="D67" s="298"/>
      <c r="E67" s="298"/>
      <c r="F67" s="298"/>
      <c r="G67" s="298"/>
      <c r="H67" s="932"/>
    </row>
    <row r="68" spans="1:8" s="930" customFormat="1" ht="15.75">
      <c r="A68" s="298"/>
      <c r="B68" s="298"/>
      <c r="C68" s="298"/>
      <c r="D68" s="298"/>
      <c r="E68" s="298"/>
      <c r="F68" s="298"/>
      <c r="G68" s="298"/>
      <c r="H68" s="961"/>
    </row>
    <row r="69" spans="1:8" s="930" customFormat="1" ht="15.75">
      <c r="A69" s="298"/>
      <c r="B69" s="298"/>
      <c r="C69" s="298"/>
      <c r="D69" s="298"/>
      <c r="E69" s="298"/>
      <c r="F69" s="298"/>
      <c r="G69" s="298"/>
      <c r="H69" s="960"/>
    </row>
    <row r="70" spans="1:8" s="930" customFormat="1" ht="15.75">
      <c r="A70" s="298"/>
      <c r="B70" s="298"/>
      <c r="C70" s="298"/>
      <c r="D70" s="298"/>
      <c r="E70" s="298"/>
      <c r="F70" s="298"/>
      <c r="G70" s="298"/>
      <c r="H70" s="932"/>
    </row>
    <row r="71" spans="1:8" s="930" customFormat="1" ht="15.75">
      <c r="A71" s="298"/>
      <c r="B71" s="298"/>
      <c r="C71" s="298"/>
      <c r="D71" s="298"/>
      <c r="E71" s="298"/>
      <c r="F71" s="298"/>
      <c r="G71" s="298"/>
      <c r="H71" s="932"/>
    </row>
    <row r="72" spans="1:8" s="930" customFormat="1" ht="15.75">
      <c r="A72" s="298"/>
      <c r="B72" s="298"/>
      <c r="C72" s="298"/>
      <c r="D72" s="298"/>
      <c r="E72" s="298"/>
      <c r="F72" s="298"/>
      <c r="G72" s="298"/>
      <c r="H72" s="932"/>
    </row>
    <row r="73" spans="1:8" s="930" customFormat="1" ht="15.75">
      <c r="A73" s="298"/>
      <c r="B73" s="298"/>
      <c r="C73" s="298"/>
      <c r="D73" s="298"/>
      <c r="E73" s="298"/>
      <c r="F73" s="298"/>
      <c r="G73" s="298"/>
      <c r="H73" s="932"/>
    </row>
    <row r="74" spans="1:8" s="930" customFormat="1" ht="15.75">
      <c r="A74" s="298"/>
      <c r="B74" s="298"/>
      <c r="C74" s="298"/>
      <c r="D74" s="298"/>
      <c r="E74" s="298"/>
      <c r="F74" s="298"/>
      <c r="G74" s="298"/>
      <c r="H74" s="932"/>
    </row>
    <row r="75" spans="1:8" s="930" customFormat="1" ht="15.75">
      <c r="A75" s="298"/>
      <c r="B75" s="298"/>
      <c r="C75" s="298"/>
      <c r="D75" s="298"/>
      <c r="E75" s="298"/>
      <c r="F75" s="298"/>
      <c r="G75" s="298"/>
      <c r="H75" s="932"/>
    </row>
    <row r="76" spans="1:8" s="930" customFormat="1" ht="15.75">
      <c r="A76" s="298"/>
      <c r="B76" s="298"/>
      <c r="C76" s="298"/>
      <c r="D76" s="298"/>
      <c r="E76" s="298"/>
      <c r="F76" s="298"/>
      <c r="G76" s="298"/>
      <c r="H76" s="932"/>
    </row>
    <row r="77" spans="1:8" s="930" customFormat="1" ht="15.75">
      <c r="A77" s="298"/>
      <c r="B77" s="298"/>
      <c r="C77" s="298"/>
      <c r="D77" s="298"/>
      <c r="E77" s="298"/>
      <c r="F77" s="298"/>
      <c r="G77" s="298"/>
      <c r="H77" s="932"/>
    </row>
    <row r="78" spans="1:8" s="930" customFormat="1" ht="15.75">
      <c r="A78" s="298"/>
      <c r="B78" s="298"/>
      <c r="C78" s="298"/>
      <c r="D78" s="298"/>
      <c r="E78" s="298"/>
      <c r="F78" s="298"/>
      <c r="G78" s="298"/>
      <c r="H78" s="932"/>
    </row>
    <row r="79" spans="1:8" s="930" customFormat="1" ht="15.75">
      <c r="A79" s="298"/>
      <c r="B79" s="298"/>
      <c r="C79" s="298"/>
      <c r="D79" s="298"/>
      <c r="E79" s="298"/>
      <c r="F79" s="298"/>
      <c r="G79" s="298"/>
      <c r="H79" s="932"/>
    </row>
    <row r="80" spans="1:8" s="930" customFormat="1" ht="15.75">
      <c r="A80" s="298"/>
      <c r="B80" s="298"/>
      <c r="C80" s="298"/>
      <c r="D80" s="298"/>
      <c r="E80" s="298"/>
      <c r="F80" s="298"/>
      <c r="G80" s="298"/>
      <c r="H80" s="932"/>
    </row>
    <row r="81" spans="1:8" s="930" customFormat="1" ht="15.75">
      <c r="A81" s="298"/>
      <c r="B81" s="298"/>
      <c r="C81" s="298"/>
      <c r="D81" s="298"/>
      <c r="E81" s="298"/>
      <c r="F81" s="298"/>
      <c r="G81" s="298"/>
      <c r="H81" s="932"/>
    </row>
    <row r="82" spans="1:8" s="930" customFormat="1" ht="15.75">
      <c r="A82" s="298"/>
      <c r="B82" s="298"/>
      <c r="C82" s="298"/>
      <c r="D82" s="298"/>
      <c r="E82" s="298"/>
      <c r="F82" s="298"/>
      <c r="G82" s="298"/>
      <c r="H82" s="932"/>
    </row>
    <row r="83" spans="1:8" s="930" customFormat="1" ht="15.75">
      <c r="A83" s="298"/>
      <c r="B83" s="298"/>
      <c r="C83" s="298"/>
      <c r="D83" s="298"/>
      <c r="E83" s="298"/>
      <c r="F83" s="298"/>
      <c r="G83" s="298"/>
      <c r="H83" s="932"/>
    </row>
    <row r="84" spans="1:8" s="930" customFormat="1">
      <c r="A84" s="942"/>
      <c r="B84" s="942"/>
      <c r="C84" s="942"/>
      <c r="D84" s="942"/>
      <c r="E84" s="942"/>
      <c r="F84" s="942"/>
      <c r="G84" s="942"/>
      <c r="H84" s="932"/>
    </row>
    <row r="85" spans="1:8" s="930" customFormat="1">
      <c r="A85" s="942"/>
      <c r="B85" s="942"/>
      <c r="C85" s="942"/>
      <c r="D85" s="942"/>
      <c r="E85" s="942"/>
      <c r="F85" s="942"/>
      <c r="G85" s="942"/>
      <c r="H85" s="932"/>
    </row>
    <row r="86" spans="1:8">
      <c r="A86" s="907"/>
      <c r="B86" s="907"/>
      <c r="C86" s="907"/>
      <c r="D86" s="907"/>
      <c r="E86" s="907"/>
      <c r="F86" s="907"/>
      <c r="G86" s="907"/>
    </row>
    <row r="87" spans="1:8">
      <c r="A87" s="907"/>
      <c r="B87" s="907"/>
      <c r="C87" s="907"/>
      <c r="D87" s="907"/>
      <c r="E87" s="907"/>
      <c r="F87" s="907"/>
      <c r="G87" s="907"/>
    </row>
    <row r="88" spans="1:8">
      <c r="A88" s="907"/>
      <c r="B88" s="907"/>
      <c r="C88" s="907"/>
      <c r="D88" s="907"/>
      <c r="E88" s="907"/>
      <c r="F88" s="907"/>
      <c r="G88" s="907"/>
    </row>
    <row r="89" spans="1:8">
      <c r="A89" s="907"/>
      <c r="B89" s="907"/>
      <c r="C89" s="907"/>
      <c r="D89" s="907"/>
      <c r="E89" s="907"/>
      <c r="F89" s="907"/>
      <c r="G89" s="907"/>
    </row>
    <row r="90" spans="1:8">
      <c r="A90" s="907"/>
      <c r="B90" s="907"/>
      <c r="C90" s="907"/>
      <c r="D90" s="907"/>
      <c r="E90" s="907"/>
      <c r="F90" s="907"/>
      <c r="G90" s="907"/>
    </row>
    <row r="91" spans="1:8">
      <c r="A91" s="907"/>
      <c r="B91" s="907"/>
      <c r="C91" s="907"/>
      <c r="D91" s="907"/>
      <c r="E91" s="907"/>
      <c r="F91" s="907"/>
      <c r="G91" s="907"/>
    </row>
    <row r="92" spans="1:8">
      <c r="A92" s="907"/>
      <c r="B92" s="907"/>
      <c r="C92" s="907"/>
      <c r="D92" s="907"/>
      <c r="E92" s="907"/>
      <c r="F92" s="907"/>
      <c r="G92" s="907"/>
    </row>
    <row r="93" spans="1:8">
      <c r="A93" s="907"/>
      <c r="B93" s="907"/>
      <c r="C93" s="907"/>
      <c r="D93" s="907"/>
      <c r="E93" s="907"/>
      <c r="F93" s="907"/>
      <c r="G93" s="907"/>
    </row>
    <row r="94" spans="1:8">
      <c r="A94" s="907"/>
      <c r="B94" s="907"/>
      <c r="C94" s="907"/>
      <c r="D94" s="907"/>
      <c r="E94" s="907"/>
      <c r="F94" s="907"/>
      <c r="G94" s="907"/>
    </row>
    <row r="95" spans="1:8">
      <c r="A95" s="907"/>
      <c r="B95" s="907"/>
      <c r="C95" s="907"/>
      <c r="D95" s="907"/>
      <c r="E95" s="907"/>
      <c r="F95" s="907"/>
      <c r="G95" s="907"/>
    </row>
    <row r="96" spans="1:8">
      <c r="A96" s="907"/>
      <c r="B96" s="907"/>
      <c r="C96" s="907"/>
      <c r="D96" s="907"/>
      <c r="E96" s="907"/>
      <c r="F96" s="907"/>
      <c r="G96" s="907"/>
    </row>
    <row r="97" spans="1:7">
      <c r="A97" s="907"/>
      <c r="B97" s="907"/>
      <c r="C97" s="907"/>
      <c r="D97" s="907"/>
      <c r="E97" s="907"/>
      <c r="F97" s="907"/>
      <c r="G97" s="907"/>
    </row>
    <row r="98" spans="1:7">
      <c r="A98" s="907"/>
      <c r="B98" s="907"/>
      <c r="C98" s="907"/>
      <c r="D98" s="907"/>
      <c r="E98" s="907"/>
      <c r="F98" s="907"/>
      <c r="G98" s="907"/>
    </row>
    <row r="99" spans="1:7">
      <c r="A99" s="907"/>
      <c r="B99" s="907"/>
      <c r="C99" s="907"/>
      <c r="D99" s="907"/>
      <c r="E99" s="907"/>
      <c r="F99" s="907"/>
      <c r="G99" s="907"/>
    </row>
    <row r="100" spans="1:7">
      <c r="A100" s="907"/>
      <c r="B100" s="907"/>
      <c r="C100" s="907"/>
      <c r="D100" s="907"/>
      <c r="E100" s="907"/>
      <c r="F100" s="907"/>
      <c r="G100" s="907"/>
    </row>
    <row r="101" spans="1:7">
      <c r="A101" s="907"/>
      <c r="B101" s="907"/>
      <c r="C101" s="907"/>
      <c r="D101" s="907"/>
      <c r="E101" s="907"/>
      <c r="F101" s="907"/>
      <c r="G101" s="907"/>
    </row>
    <row r="102" spans="1:7">
      <c r="A102" s="907"/>
      <c r="B102" s="907"/>
      <c r="C102" s="907"/>
      <c r="D102" s="907"/>
      <c r="E102" s="907"/>
      <c r="F102" s="907"/>
      <c r="G102" s="907"/>
    </row>
    <row r="103" spans="1:7">
      <c r="A103" s="907"/>
      <c r="B103" s="907"/>
      <c r="C103" s="907"/>
      <c r="D103" s="907"/>
      <c r="E103" s="907"/>
      <c r="F103" s="907"/>
      <c r="G103" s="907"/>
    </row>
    <row r="104" spans="1:7">
      <c r="A104" s="907"/>
      <c r="B104" s="907"/>
      <c r="C104" s="907"/>
      <c r="D104" s="907"/>
      <c r="E104" s="907"/>
      <c r="F104" s="907"/>
      <c r="G104" s="907"/>
    </row>
    <row r="105" spans="1:7">
      <c r="A105" s="907"/>
      <c r="B105" s="907"/>
      <c r="C105" s="907"/>
      <c r="D105" s="907"/>
      <c r="E105" s="907"/>
      <c r="F105" s="907"/>
      <c r="G105" s="907"/>
    </row>
    <row r="106" spans="1:7">
      <c r="A106" s="907"/>
      <c r="B106" s="907"/>
      <c r="C106" s="907"/>
      <c r="D106" s="907"/>
      <c r="E106" s="907"/>
      <c r="F106" s="907"/>
      <c r="G106" s="907"/>
    </row>
    <row r="107" spans="1:7">
      <c r="A107" s="907"/>
      <c r="B107" s="907"/>
      <c r="C107" s="907"/>
      <c r="D107" s="907"/>
      <c r="E107" s="907"/>
      <c r="F107" s="907"/>
      <c r="G107" s="907"/>
    </row>
    <row r="108" spans="1:7">
      <c r="A108" s="907"/>
      <c r="B108" s="907"/>
      <c r="C108" s="907"/>
      <c r="D108" s="907"/>
      <c r="E108" s="907"/>
      <c r="F108" s="907"/>
      <c r="G108" s="907"/>
    </row>
    <row r="109" spans="1:7">
      <c r="A109" s="907"/>
      <c r="B109" s="907"/>
      <c r="C109" s="907"/>
      <c r="D109" s="907"/>
      <c r="E109" s="907"/>
      <c r="F109" s="907"/>
      <c r="G109" s="907"/>
    </row>
    <row r="110" spans="1:7">
      <c r="A110" s="907"/>
      <c r="B110" s="907"/>
      <c r="C110" s="907"/>
      <c r="D110" s="907"/>
      <c r="E110" s="907"/>
      <c r="F110" s="907"/>
      <c r="G110" s="907"/>
    </row>
    <row r="111" spans="1:7">
      <c r="A111" s="907"/>
      <c r="B111" s="907"/>
      <c r="C111" s="907"/>
      <c r="D111" s="907"/>
      <c r="E111" s="907"/>
      <c r="F111" s="907"/>
      <c r="G111" s="907"/>
    </row>
    <row r="112" spans="1:7">
      <c r="A112" s="907"/>
      <c r="B112" s="907"/>
      <c r="C112" s="907"/>
      <c r="D112" s="907"/>
      <c r="E112" s="907"/>
      <c r="F112" s="907"/>
      <c r="G112" s="907"/>
    </row>
    <row r="113" spans="1:7">
      <c r="A113" s="907"/>
      <c r="B113" s="907"/>
      <c r="C113" s="907"/>
      <c r="D113" s="907"/>
      <c r="E113" s="907"/>
      <c r="F113" s="907"/>
      <c r="G113" s="907"/>
    </row>
    <row r="114" spans="1:7">
      <c r="A114" s="907"/>
      <c r="B114" s="907"/>
      <c r="C114" s="907"/>
      <c r="D114" s="907"/>
      <c r="E114" s="907"/>
      <c r="F114" s="907"/>
      <c r="G114" s="907"/>
    </row>
    <row r="115" spans="1:7">
      <c r="A115" s="907"/>
      <c r="B115" s="907"/>
      <c r="C115" s="907"/>
      <c r="D115" s="907"/>
      <c r="E115" s="907"/>
      <c r="F115" s="907"/>
      <c r="G115" s="907"/>
    </row>
    <row r="116" spans="1:7">
      <c r="A116" s="907"/>
      <c r="B116" s="907"/>
      <c r="C116" s="907"/>
      <c r="D116" s="907"/>
      <c r="E116" s="907"/>
      <c r="F116" s="907"/>
      <c r="G116" s="907"/>
    </row>
    <row r="117" spans="1:7">
      <c r="A117" s="907"/>
      <c r="B117" s="907"/>
      <c r="C117" s="907"/>
      <c r="D117" s="907"/>
      <c r="E117" s="907"/>
      <c r="F117" s="907"/>
      <c r="G117" s="907"/>
    </row>
    <row r="118" spans="1:7">
      <c r="A118" s="907"/>
      <c r="B118" s="907"/>
      <c r="C118" s="907"/>
      <c r="D118" s="907"/>
      <c r="E118" s="907"/>
      <c r="F118" s="907"/>
      <c r="G118" s="907"/>
    </row>
    <row r="119" spans="1:7">
      <c r="A119" s="907"/>
      <c r="B119" s="907"/>
      <c r="C119" s="907"/>
      <c r="D119" s="907"/>
      <c r="E119" s="907"/>
      <c r="F119" s="907"/>
      <c r="G119" s="907"/>
    </row>
    <row r="120" spans="1:7">
      <c r="A120" s="907"/>
      <c r="B120" s="907"/>
      <c r="C120" s="907"/>
      <c r="D120" s="907"/>
      <c r="E120" s="907"/>
      <c r="F120" s="907"/>
      <c r="G120" s="907"/>
    </row>
    <row r="121" spans="1:7">
      <c r="A121" s="907"/>
      <c r="B121" s="907"/>
      <c r="C121" s="907"/>
      <c r="D121" s="907"/>
      <c r="E121" s="907"/>
      <c r="F121" s="907"/>
      <c r="G121" s="907"/>
    </row>
    <row r="122" spans="1:7">
      <c r="A122" s="907"/>
      <c r="B122" s="907"/>
      <c r="C122" s="907"/>
      <c r="D122" s="907"/>
      <c r="E122" s="907"/>
      <c r="F122" s="907"/>
      <c r="G122" s="907"/>
    </row>
    <row r="123" spans="1:7">
      <c r="A123" s="907"/>
      <c r="B123" s="907"/>
      <c r="C123" s="907"/>
      <c r="D123" s="907"/>
      <c r="E123" s="907"/>
      <c r="F123" s="907"/>
      <c r="G123" s="907"/>
    </row>
    <row r="124" spans="1:7">
      <c r="A124" s="907"/>
      <c r="B124" s="907"/>
      <c r="C124" s="907"/>
      <c r="D124" s="907"/>
      <c r="E124" s="907"/>
      <c r="F124" s="907"/>
      <c r="G124" s="907"/>
    </row>
    <row r="125" spans="1:7">
      <c r="A125" s="907"/>
      <c r="B125" s="907"/>
      <c r="C125" s="907"/>
      <c r="D125" s="907"/>
      <c r="E125" s="907"/>
      <c r="F125" s="907"/>
      <c r="G125" s="907"/>
    </row>
    <row r="126" spans="1:7">
      <c r="A126" s="907"/>
      <c r="B126" s="907"/>
      <c r="C126" s="907"/>
      <c r="D126" s="907"/>
      <c r="E126" s="907"/>
      <c r="F126" s="907"/>
      <c r="G126" s="907"/>
    </row>
    <row r="127" spans="1:7">
      <c r="A127" s="907"/>
      <c r="B127" s="907"/>
      <c r="C127" s="907"/>
      <c r="D127" s="907"/>
      <c r="E127" s="907"/>
      <c r="F127" s="907"/>
      <c r="G127" s="907"/>
    </row>
    <row r="128" spans="1:7">
      <c r="A128" s="907"/>
      <c r="B128" s="907"/>
      <c r="C128" s="907"/>
      <c r="D128" s="907"/>
      <c r="E128" s="907"/>
      <c r="F128" s="907"/>
      <c r="G128" s="907"/>
    </row>
    <row r="129" spans="1:7">
      <c r="A129" s="907"/>
      <c r="B129" s="907"/>
      <c r="C129" s="907"/>
      <c r="D129" s="907"/>
      <c r="E129" s="907"/>
      <c r="F129" s="907"/>
      <c r="G129" s="907"/>
    </row>
    <row r="130" spans="1:7">
      <c r="A130" s="907"/>
      <c r="B130" s="907"/>
      <c r="C130" s="907"/>
      <c r="D130" s="907"/>
      <c r="E130" s="907"/>
      <c r="F130" s="907"/>
      <c r="G130" s="907"/>
    </row>
    <row r="131" spans="1:7">
      <c r="A131" s="907"/>
      <c r="B131" s="907"/>
      <c r="C131" s="907"/>
      <c r="D131" s="907"/>
      <c r="E131" s="907"/>
      <c r="F131" s="907"/>
      <c r="G131" s="907"/>
    </row>
    <row r="132" spans="1:7">
      <c r="A132" s="907"/>
      <c r="B132" s="907"/>
      <c r="C132" s="907"/>
      <c r="D132" s="907"/>
      <c r="E132" s="907"/>
      <c r="F132" s="907"/>
      <c r="G132" s="907"/>
    </row>
    <row r="133" spans="1:7">
      <c r="A133" s="907"/>
      <c r="B133" s="907"/>
      <c r="C133" s="907"/>
      <c r="D133" s="907"/>
      <c r="E133" s="907"/>
      <c r="F133" s="907"/>
      <c r="G133" s="907"/>
    </row>
    <row r="134" spans="1:7">
      <c r="A134" s="907"/>
      <c r="B134" s="907"/>
      <c r="C134" s="907"/>
      <c r="D134" s="907"/>
      <c r="E134" s="907"/>
      <c r="F134" s="907"/>
      <c r="G134" s="907"/>
    </row>
    <row r="135" spans="1:7">
      <c r="A135" s="907"/>
      <c r="B135" s="907"/>
      <c r="C135" s="907"/>
      <c r="D135" s="907"/>
      <c r="E135" s="907"/>
      <c r="F135" s="907"/>
      <c r="G135" s="907"/>
    </row>
    <row r="136" spans="1:7">
      <c r="A136" s="907"/>
      <c r="B136" s="907"/>
      <c r="C136" s="907"/>
      <c r="D136" s="907"/>
      <c r="E136" s="907"/>
      <c r="F136" s="907"/>
      <c r="G136" s="907"/>
    </row>
    <row r="137" spans="1:7">
      <c r="A137" s="907"/>
      <c r="B137" s="907"/>
      <c r="C137" s="907"/>
      <c r="D137" s="907"/>
      <c r="E137" s="907"/>
      <c r="F137" s="907"/>
      <c r="G137" s="907"/>
    </row>
    <row r="138" spans="1:7">
      <c r="A138" s="907"/>
      <c r="B138" s="907"/>
      <c r="C138" s="907"/>
      <c r="D138" s="907"/>
      <c r="E138" s="907"/>
      <c r="F138" s="907"/>
      <c r="G138" s="907"/>
    </row>
    <row r="139" spans="1:7">
      <c r="A139" s="907"/>
      <c r="B139" s="907"/>
      <c r="C139" s="907"/>
      <c r="D139" s="907"/>
      <c r="E139" s="907"/>
      <c r="F139" s="907"/>
      <c r="G139" s="907"/>
    </row>
    <row r="140" spans="1:7">
      <c r="A140" s="907"/>
      <c r="B140" s="907"/>
      <c r="C140" s="907"/>
      <c r="D140" s="907"/>
      <c r="E140" s="907"/>
      <c r="F140" s="907"/>
      <c r="G140" s="907"/>
    </row>
    <row r="141" spans="1:7">
      <c r="A141" s="907"/>
      <c r="B141" s="907"/>
      <c r="C141" s="907"/>
      <c r="D141" s="907"/>
      <c r="E141" s="907"/>
      <c r="F141" s="907"/>
      <c r="G141" s="907"/>
    </row>
    <row r="142" spans="1:7">
      <c r="A142" s="907"/>
      <c r="B142" s="907"/>
      <c r="C142" s="907"/>
      <c r="D142" s="907"/>
      <c r="E142" s="907"/>
      <c r="F142" s="907"/>
      <c r="G142" s="907"/>
    </row>
    <row r="143" spans="1:7">
      <c r="A143" s="907"/>
      <c r="B143" s="907"/>
      <c r="C143" s="907"/>
      <c r="D143" s="907"/>
      <c r="E143" s="907"/>
      <c r="F143" s="907"/>
      <c r="G143" s="907"/>
    </row>
    <row r="144" spans="1:7">
      <c r="A144" s="907"/>
      <c r="B144" s="907"/>
      <c r="C144" s="907"/>
      <c r="D144" s="907"/>
      <c r="E144" s="907"/>
      <c r="F144" s="907"/>
      <c r="G144" s="907"/>
    </row>
    <row r="145" spans="1:7">
      <c r="A145" s="907"/>
      <c r="B145" s="907"/>
      <c r="C145" s="907"/>
      <c r="D145" s="907"/>
      <c r="E145" s="907"/>
      <c r="F145" s="907"/>
      <c r="G145" s="907"/>
    </row>
    <row r="146" spans="1:7">
      <c r="A146" s="907"/>
      <c r="B146" s="907"/>
      <c r="C146" s="907"/>
      <c r="D146" s="907"/>
      <c r="E146" s="907"/>
      <c r="F146" s="907"/>
      <c r="G146" s="907"/>
    </row>
    <row r="147" spans="1:7">
      <c r="A147" s="907"/>
      <c r="B147" s="907"/>
      <c r="C147" s="907"/>
      <c r="D147" s="907"/>
      <c r="E147" s="907"/>
      <c r="F147" s="907"/>
      <c r="G147" s="907"/>
    </row>
    <row r="148" spans="1:7">
      <c r="A148" s="907"/>
      <c r="B148" s="907"/>
      <c r="C148" s="907"/>
      <c r="D148" s="907"/>
      <c r="E148" s="907"/>
      <c r="F148" s="907"/>
      <c r="G148" s="907"/>
    </row>
    <row r="149" spans="1:7">
      <c r="A149" s="907"/>
      <c r="B149" s="907"/>
      <c r="C149" s="907"/>
      <c r="D149" s="907"/>
      <c r="E149" s="907"/>
      <c r="F149" s="907"/>
      <c r="G149" s="907"/>
    </row>
    <row r="150" spans="1:7">
      <c r="A150" s="907"/>
      <c r="B150" s="907"/>
      <c r="C150" s="907"/>
      <c r="D150" s="907"/>
      <c r="E150" s="907"/>
      <c r="F150" s="907"/>
      <c r="G150" s="907"/>
    </row>
    <row r="151" spans="1:7">
      <c r="A151" s="907"/>
      <c r="B151" s="907"/>
      <c r="C151" s="907"/>
      <c r="D151" s="907"/>
      <c r="E151" s="907"/>
      <c r="F151" s="907"/>
      <c r="G151" s="907"/>
    </row>
    <row r="152" spans="1:7">
      <c r="A152" s="907"/>
      <c r="B152" s="907"/>
      <c r="C152" s="907"/>
      <c r="D152" s="907"/>
      <c r="E152" s="907"/>
      <c r="F152" s="907"/>
      <c r="G152" s="907"/>
    </row>
    <row r="153" spans="1:7">
      <c r="A153" s="907"/>
      <c r="B153" s="907"/>
      <c r="C153" s="907"/>
      <c r="D153" s="907"/>
      <c r="E153" s="907"/>
      <c r="F153" s="907"/>
      <c r="G153" s="907"/>
    </row>
    <row r="154" spans="1:7">
      <c r="A154" s="907"/>
      <c r="B154" s="907"/>
      <c r="C154" s="907"/>
      <c r="D154" s="907"/>
      <c r="E154" s="907"/>
      <c r="F154" s="907"/>
      <c r="G154" s="907"/>
    </row>
    <row r="155" spans="1:7">
      <c r="A155" s="907"/>
      <c r="B155" s="907"/>
      <c r="C155" s="907"/>
      <c r="D155" s="907"/>
      <c r="E155" s="907"/>
      <c r="F155" s="907"/>
      <c r="G155" s="907"/>
    </row>
    <row r="156" spans="1:7">
      <c r="A156" s="907"/>
      <c r="B156" s="907"/>
      <c r="C156" s="907"/>
      <c r="D156" s="907"/>
      <c r="E156" s="907"/>
      <c r="F156" s="907"/>
      <c r="G156" s="907"/>
    </row>
    <row r="157" spans="1:7">
      <c r="A157" s="907"/>
      <c r="B157" s="907"/>
      <c r="C157" s="907"/>
      <c r="D157" s="907"/>
      <c r="E157" s="907"/>
      <c r="F157" s="907"/>
      <c r="G157" s="907"/>
    </row>
    <row r="158" spans="1:7">
      <c r="A158" s="907"/>
      <c r="B158" s="907"/>
      <c r="C158" s="907"/>
      <c r="D158" s="907"/>
      <c r="E158" s="907"/>
      <c r="F158" s="907"/>
      <c r="G158" s="907"/>
    </row>
    <row r="159" spans="1:7">
      <c r="A159" s="907"/>
      <c r="B159" s="907"/>
      <c r="C159" s="907"/>
      <c r="D159" s="907"/>
      <c r="E159" s="907"/>
      <c r="F159" s="907"/>
      <c r="G159" s="907"/>
    </row>
    <row r="160" spans="1:7">
      <c r="A160" s="907"/>
      <c r="B160" s="907"/>
      <c r="C160" s="907"/>
      <c r="D160" s="907"/>
      <c r="E160" s="907"/>
      <c r="F160" s="907"/>
      <c r="G160" s="907"/>
    </row>
    <row r="161" spans="1:7">
      <c r="A161" s="907"/>
      <c r="B161" s="907"/>
      <c r="C161" s="907"/>
      <c r="D161" s="907"/>
      <c r="E161" s="907"/>
      <c r="F161" s="907"/>
      <c r="G161" s="907"/>
    </row>
    <row r="162" spans="1:7">
      <c r="A162" s="907"/>
      <c r="B162" s="907"/>
      <c r="C162" s="907"/>
      <c r="D162" s="907"/>
      <c r="E162" s="907"/>
      <c r="F162" s="907"/>
      <c r="G162" s="907"/>
    </row>
    <row r="163" spans="1:7">
      <c r="A163" s="907"/>
      <c r="B163" s="907"/>
      <c r="C163" s="907"/>
      <c r="D163" s="907"/>
      <c r="E163" s="907"/>
      <c r="F163" s="907"/>
      <c r="G163" s="907"/>
    </row>
    <row r="164" spans="1:7">
      <c r="A164" s="907"/>
      <c r="B164" s="907"/>
      <c r="C164" s="907"/>
      <c r="D164" s="907"/>
      <c r="E164" s="907"/>
      <c r="F164" s="907"/>
      <c r="G164" s="907"/>
    </row>
    <row r="165" spans="1:7">
      <c r="A165" s="907"/>
      <c r="B165" s="907"/>
      <c r="C165" s="907"/>
      <c r="D165" s="907"/>
      <c r="E165" s="907"/>
      <c r="F165" s="907"/>
      <c r="G165" s="907"/>
    </row>
    <row r="166" spans="1:7">
      <c r="A166" s="907"/>
      <c r="B166" s="907"/>
      <c r="C166" s="907"/>
      <c r="D166" s="907"/>
      <c r="E166" s="907"/>
      <c r="F166" s="907"/>
      <c r="G166" s="907"/>
    </row>
    <row r="167" spans="1:7">
      <c r="A167" s="907"/>
      <c r="B167" s="907"/>
      <c r="C167" s="907"/>
      <c r="D167" s="907"/>
      <c r="E167" s="907"/>
      <c r="F167" s="907"/>
      <c r="G167" s="907"/>
    </row>
    <row r="168" spans="1:7">
      <c r="A168" s="907"/>
      <c r="B168" s="907"/>
      <c r="C168" s="907"/>
      <c r="D168" s="907"/>
      <c r="E168" s="907"/>
      <c r="F168" s="907"/>
      <c r="G168" s="907"/>
    </row>
    <row r="169" spans="1:7">
      <c r="A169" s="907"/>
      <c r="B169" s="907"/>
      <c r="C169" s="907"/>
      <c r="D169" s="907"/>
      <c r="E169" s="907"/>
      <c r="F169" s="907"/>
      <c r="G169" s="907"/>
    </row>
    <row r="170" spans="1:7">
      <c r="A170" s="907"/>
      <c r="B170" s="907"/>
      <c r="C170" s="907"/>
      <c r="D170" s="907"/>
      <c r="E170" s="907"/>
      <c r="F170" s="907"/>
      <c r="G170" s="907"/>
    </row>
    <row r="171" spans="1:7">
      <c r="A171" s="907"/>
      <c r="B171" s="907"/>
      <c r="C171" s="907"/>
      <c r="D171" s="907"/>
      <c r="E171" s="907"/>
      <c r="F171" s="907"/>
      <c r="G171" s="907"/>
    </row>
    <row r="172" spans="1:7">
      <c r="A172" s="907"/>
      <c r="B172" s="907"/>
      <c r="C172" s="907"/>
      <c r="D172" s="907"/>
      <c r="E172" s="907"/>
      <c r="F172" s="907"/>
      <c r="G172" s="907"/>
    </row>
    <row r="173" spans="1:7">
      <c r="A173" s="907"/>
      <c r="B173" s="907"/>
      <c r="C173" s="907"/>
      <c r="D173" s="907"/>
      <c r="E173" s="907"/>
      <c r="F173" s="907"/>
      <c r="G173" s="907"/>
    </row>
    <row r="174" spans="1:7">
      <c r="A174" s="907"/>
      <c r="B174" s="907"/>
      <c r="C174" s="907"/>
      <c r="D174" s="907"/>
      <c r="E174" s="907"/>
      <c r="F174" s="907"/>
      <c r="G174" s="907"/>
    </row>
    <row r="175" spans="1:7">
      <c r="A175" s="907"/>
      <c r="B175" s="907"/>
      <c r="C175" s="907"/>
      <c r="D175" s="907"/>
      <c r="E175" s="907"/>
      <c r="F175" s="907"/>
      <c r="G175" s="907"/>
    </row>
    <row r="176" spans="1:7">
      <c r="A176" s="907"/>
      <c r="B176" s="907"/>
      <c r="C176" s="907"/>
      <c r="D176" s="907"/>
      <c r="E176" s="907"/>
      <c r="F176" s="907"/>
      <c r="G176" s="907"/>
    </row>
    <row r="177" spans="1:7">
      <c r="A177" s="907"/>
      <c r="B177" s="907"/>
      <c r="C177" s="907"/>
      <c r="D177" s="907"/>
      <c r="E177" s="907"/>
      <c r="F177" s="907"/>
      <c r="G177" s="907"/>
    </row>
    <row r="178" spans="1:7">
      <c r="A178" s="907"/>
      <c r="B178" s="907"/>
      <c r="C178" s="907"/>
      <c r="D178" s="907"/>
      <c r="E178" s="907"/>
      <c r="F178" s="907"/>
      <c r="G178" s="907"/>
    </row>
    <row r="179" spans="1:7">
      <c r="A179" s="907"/>
      <c r="B179" s="907"/>
      <c r="C179" s="907"/>
      <c r="D179" s="907"/>
      <c r="E179" s="907"/>
      <c r="F179" s="907"/>
      <c r="G179" s="907"/>
    </row>
    <row r="180" spans="1:7">
      <c r="A180" s="907"/>
      <c r="B180" s="907"/>
      <c r="C180" s="907"/>
      <c r="D180" s="907"/>
      <c r="E180" s="907"/>
      <c r="F180" s="907"/>
      <c r="G180" s="907"/>
    </row>
    <row r="181" spans="1:7">
      <c r="A181" s="907"/>
      <c r="B181" s="907"/>
      <c r="C181" s="907"/>
      <c r="D181" s="907"/>
      <c r="E181" s="907"/>
      <c r="F181" s="907"/>
      <c r="G181" s="907"/>
    </row>
    <row r="182" spans="1:7">
      <c r="A182" s="907"/>
      <c r="B182" s="907"/>
      <c r="C182" s="907"/>
      <c r="D182" s="907"/>
      <c r="E182" s="907"/>
      <c r="F182" s="907"/>
      <c r="G182" s="907"/>
    </row>
    <row r="183" spans="1:7">
      <c r="A183" s="907"/>
      <c r="B183" s="907"/>
      <c r="C183" s="907"/>
      <c r="D183" s="907"/>
      <c r="E183" s="907"/>
      <c r="F183" s="907"/>
      <c r="G183" s="907"/>
    </row>
    <row r="184" spans="1:7">
      <c r="A184" s="907"/>
      <c r="B184" s="907"/>
      <c r="C184" s="907"/>
      <c r="D184" s="907"/>
      <c r="E184" s="907"/>
      <c r="F184" s="907"/>
      <c r="G184" s="907"/>
    </row>
    <row r="185" spans="1:7">
      <c r="A185" s="907"/>
      <c r="B185" s="907"/>
      <c r="C185" s="907"/>
      <c r="D185" s="907"/>
      <c r="E185" s="907"/>
      <c r="F185" s="907"/>
      <c r="G185" s="907"/>
    </row>
    <row r="186" spans="1:7">
      <c r="A186" s="907"/>
      <c r="B186" s="907"/>
      <c r="C186" s="907"/>
      <c r="D186" s="907"/>
      <c r="E186" s="907"/>
      <c r="F186" s="907"/>
      <c r="G186" s="907"/>
    </row>
    <row r="187" spans="1:7">
      <c r="A187" s="907"/>
      <c r="B187" s="907"/>
      <c r="C187" s="907"/>
      <c r="D187" s="907"/>
      <c r="E187" s="907"/>
      <c r="F187" s="907"/>
      <c r="G187" s="907"/>
    </row>
    <row r="188" spans="1:7">
      <c r="A188" s="907"/>
      <c r="B188" s="907"/>
      <c r="C188" s="907"/>
      <c r="D188" s="907"/>
      <c r="E188" s="907"/>
      <c r="F188" s="907"/>
      <c r="G188" s="907"/>
    </row>
    <row r="189" spans="1:7">
      <c r="A189" s="907"/>
      <c r="B189" s="907"/>
      <c r="C189" s="907"/>
      <c r="D189" s="907"/>
      <c r="E189" s="907"/>
      <c r="F189" s="907"/>
      <c r="G189" s="907"/>
    </row>
    <row r="190" spans="1:7">
      <c r="A190" s="907"/>
      <c r="B190" s="907"/>
      <c r="C190" s="907"/>
      <c r="D190" s="907"/>
      <c r="E190" s="907"/>
      <c r="F190" s="907"/>
      <c r="G190" s="907"/>
    </row>
    <row r="191" spans="1:7">
      <c r="A191" s="907"/>
      <c r="B191" s="907"/>
      <c r="C191" s="907"/>
      <c r="D191" s="907"/>
      <c r="E191" s="907"/>
      <c r="F191" s="907"/>
      <c r="G191" s="907"/>
    </row>
    <row r="192" spans="1:7">
      <c r="A192" s="907"/>
      <c r="B192" s="907"/>
      <c r="C192" s="907"/>
      <c r="D192" s="907"/>
      <c r="E192" s="907"/>
      <c r="F192" s="907"/>
      <c r="G192" s="907"/>
    </row>
    <row r="193" spans="1:7">
      <c r="A193" s="907"/>
      <c r="B193" s="907"/>
      <c r="C193" s="907"/>
      <c r="D193" s="907"/>
      <c r="E193" s="907"/>
      <c r="F193" s="907"/>
      <c r="G193" s="907"/>
    </row>
    <row r="194" spans="1:7">
      <c r="A194" s="907"/>
      <c r="B194" s="907"/>
      <c r="C194" s="907"/>
      <c r="D194" s="907"/>
      <c r="E194" s="907"/>
      <c r="F194" s="907"/>
      <c r="G194" s="907"/>
    </row>
    <row r="195" spans="1:7">
      <c r="A195" s="907"/>
      <c r="B195" s="907"/>
      <c r="C195" s="907"/>
      <c r="D195" s="907"/>
      <c r="E195" s="907"/>
      <c r="F195" s="907"/>
      <c r="G195" s="907"/>
    </row>
    <row r="196" spans="1:7">
      <c r="A196" s="907"/>
      <c r="B196" s="907"/>
      <c r="C196" s="907"/>
      <c r="D196" s="907"/>
      <c r="E196" s="907"/>
      <c r="F196" s="907"/>
      <c r="G196" s="907"/>
    </row>
    <row r="197" spans="1:7">
      <c r="A197" s="907"/>
      <c r="B197" s="907"/>
      <c r="C197" s="907"/>
      <c r="D197" s="907"/>
      <c r="E197" s="907"/>
      <c r="F197" s="907"/>
      <c r="G197" s="907"/>
    </row>
    <row r="198" spans="1:7">
      <c r="A198" s="907"/>
      <c r="B198" s="907"/>
      <c r="C198" s="907"/>
      <c r="D198" s="907"/>
      <c r="E198" s="907"/>
      <c r="F198" s="907"/>
      <c r="G198" s="907"/>
    </row>
    <row r="199" spans="1:7">
      <c r="A199" s="907"/>
      <c r="B199" s="907"/>
      <c r="C199" s="907"/>
      <c r="D199" s="907"/>
      <c r="E199" s="907"/>
      <c r="F199" s="907"/>
      <c r="G199" s="907"/>
    </row>
    <row r="200" spans="1:7">
      <c r="A200" s="907"/>
      <c r="B200" s="907"/>
      <c r="C200" s="907"/>
      <c r="D200" s="907"/>
      <c r="E200" s="907"/>
      <c r="F200" s="907"/>
      <c r="G200" s="907"/>
    </row>
    <row r="201" spans="1:7">
      <c r="A201" s="907"/>
      <c r="B201" s="907"/>
      <c r="C201" s="907"/>
      <c r="D201" s="907"/>
      <c r="E201" s="907"/>
      <c r="F201" s="907"/>
      <c r="G201" s="907"/>
    </row>
    <row r="202" spans="1:7">
      <c r="A202" s="907"/>
      <c r="B202" s="907"/>
      <c r="C202" s="907"/>
      <c r="D202" s="907"/>
      <c r="E202" s="907"/>
      <c r="F202" s="907"/>
      <c r="G202" s="907"/>
    </row>
    <row r="203" spans="1:7">
      <c r="A203" s="907"/>
      <c r="B203" s="907"/>
      <c r="C203" s="907"/>
      <c r="D203" s="907"/>
      <c r="E203" s="907"/>
      <c r="F203" s="907"/>
      <c r="G203" s="907"/>
    </row>
    <row r="204" spans="1:7">
      <c r="A204" s="907"/>
      <c r="B204" s="907"/>
      <c r="C204" s="907"/>
      <c r="D204" s="907"/>
      <c r="E204" s="907"/>
      <c r="F204" s="907"/>
      <c r="G204" s="907"/>
    </row>
    <row r="205" spans="1:7">
      <c r="A205" s="907"/>
      <c r="B205" s="907"/>
      <c r="C205" s="907"/>
      <c r="D205" s="907"/>
      <c r="E205" s="907"/>
      <c r="F205" s="907"/>
      <c r="G205" s="907"/>
    </row>
    <row r="206" spans="1:7">
      <c r="A206" s="907"/>
      <c r="B206" s="907"/>
      <c r="C206" s="907"/>
      <c r="D206" s="907"/>
      <c r="E206" s="907"/>
      <c r="F206" s="907"/>
      <c r="G206" s="907"/>
    </row>
    <row r="207" spans="1:7">
      <c r="A207" s="907"/>
      <c r="B207" s="907"/>
      <c r="C207" s="907"/>
      <c r="D207" s="907"/>
      <c r="E207" s="907"/>
      <c r="F207" s="907"/>
      <c r="G207" s="907"/>
    </row>
    <row r="208" spans="1:7">
      <c r="A208" s="907"/>
      <c r="B208" s="907"/>
      <c r="C208" s="907"/>
      <c r="D208" s="907"/>
      <c r="E208" s="907"/>
      <c r="F208" s="907"/>
      <c r="G208" s="907"/>
    </row>
    <row r="209" spans="1:7">
      <c r="A209" s="907"/>
      <c r="B209" s="907"/>
      <c r="C209" s="907"/>
      <c r="D209" s="907"/>
      <c r="E209" s="907"/>
      <c r="F209" s="907"/>
      <c r="G209" s="907"/>
    </row>
    <row r="210" spans="1:7">
      <c r="A210" s="907"/>
      <c r="B210" s="907"/>
      <c r="C210" s="907"/>
      <c r="D210" s="907"/>
      <c r="E210" s="907"/>
      <c r="F210" s="907"/>
      <c r="G210" s="907"/>
    </row>
    <row r="211" spans="1:7">
      <c r="A211" s="907"/>
      <c r="B211" s="907"/>
      <c r="C211" s="907"/>
      <c r="D211" s="907"/>
      <c r="E211" s="907"/>
      <c r="F211" s="907"/>
      <c r="G211" s="907"/>
    </row>
    <row r="212" spans="1:7">
      <c r="A212" s="907"/>
      <c r="B212" s="907"/>
      <c r="C212" s="907"/>
      <c r="D212" s="907"/>
      <c r="E212" s="907"/>
      <c r="F212" s="907"/>
      <c r="G212" s="907"/>
    </row>
    <row r="213" spans="1:7">
      <c r="A213" s="907"/>
      <c r="B213" s="907"/>
      <c r="C213" s="907"/>
      <c r="D213" s="907"/>
      <c r="E213" s="907"/>
      <c r="F213" s="907"/>
      <c r="G213" s="907"/>
    </row>
    <row r="214" spans="1:7">
      <c r="A214" s="907"/>
      <c r="B214" s="907"/>
      <c r="C214" s="907"/>
      <c r="D214" s="907"/>
      <c r="E214" s="907"/>
      <c r="F214" s="907"/>
      <c r="G214" s="907"/>
    </row>
    <row r="215" spans="1:7">
      <c r="A215" s="907"/>
      <c r="B215" s="907"/>
      <c r="C215" s="907"/>
      <c r="D215" s="907"/>
      <c r="E215" s="907"/>
      <c r="F215" s="907"/>
      <c r="G215" s="907"/>
    </row>
    <row r="216" spans="1:7">
      <c r="A216" s="907"/>
      <c r="B216" s="907"/>
      <c r="C216" s="907"/>
      <c r="D216" s="907"/>
      <c r="E216" s="907"/>
      <c r="F216" s="907"/>
      <c r="G216" s="907"/>
    </row>
    <row r="217" spans="1:7">
      <c r="A217" s="907"/>
      <c r="B217" s="907"/>
      <c r="C217" s="907"/>
      <c r="D217" s="907"/>
      <c r="E217" s="907"/>
      <c r="F217" s="907"/>
      <c r="G217" s="907"/>
    </row>
    <row r="218" spans="1:7">
      <c r="A218" s="907"/>
      <c r="B218" s="907"/>
      <c r="C218" s="907"/>
      <c r="D218" s="907"/>
      <c r="E218" s="907"/>
      <c r="F218" s="907"/>
      <c r="G218" s="907"/>
    </row>
    <row r="219" spans="1:7">
      <c r="A219" s="907"/>
      <c r="B219" s="907"/>
      <c r="C219" s="907"/>
      <c r="D219" s="907"/>
      <c r="E219" s="907"/>
      <c r="F219" s="907"/>
      <c r="G219" s="907"/>
    </row>
    <row r="220" spans="1:7">
      <c r="A220" s="907"/>
      <c r="B220" s="907"/>
      <c r="C220" s="907"/>
      <c r="D220" s="907"/>
      <c r="E220" s="907"/>
      <c r="F220" s="907"/>
      <c r="G220" s="907"/>
    </row>
    <row r="221" spans="1:7">
      <c r="A221" s="907"/>
      <c r="B221" s="907"/>
      <c r="C221" s="907"/>
      <c r="D221" s="907"/>
      <c r="E221" s="907"/>
      <c r="F221" s="907"/>
      <c r="G221" s="907"/>
    </row>
    <row r="222" spans="1:7">
      <c r="A222" s="907"/>
      <c r="B222" s="907"/>
      <c r="C222" s="907"/>
      <c r="D222" s="907"/>
      <c r="E222" s="907"/>
      <c r="F222" s="907"/>
      <c r="G222" s="907"/>
    </row>
    <row r="223" spans="1:7">
      <c r="A223" s="907"/>
      <c r="B223" s="907"/>
      <c r="C223" s="907"/>
      <c r="D223" s="907"/>
      <c r="E223" s="907"/>
      <c r="F223" s="907"/>
      <c r="G223" s="907"/>
    </row>
    <row r="224" spans="1:7">
      <c r="A224" s="907"/>
      <c r="B224" s="907"/>
      <c r="C224" s="907"/>
      <c r="D224" s="907"/>
      <c r="E224" s="907"/>
      <c r="F224" s="907"/>
      <c r="G224" s="907"/>
    </row>
    <row r="225" spans="1:7">
      <c r="A225" s="907"/>
      <c r="B225" s="907"/>
      <c r="C225" s="907"/>
      <c r="D225" s="907"/>
      <c r="E225" s="907"/>
      <c r="F225" s="907"/>
      <c r="G225" s="907"/>
    </row>
    <row r="226" spans="1:7">
      <c r="A226" s="907"/>
      <c r="B226" s="907"/>
      <c r="C226" s="907"/>
      <c r="D226" s="907"/>
      <c r="E226" s="907"/>
      <c r="F226" s="907"/>
      <c r="G226" s="907"/>
    </row>
    <row r="227" spans="1:7">
      <c r="A227" s="907"/>
      <c r="B227" s="907"/>
      <c r="C227" s="907"/>
      <c r="D227" s="907"/>
      <c r="E227" s="907"/>
      <c r="F227" s="907"/>
      <c r="G227" s="907"/>
    </row>
    <row r="228" spans="1:7">
      <c r="A228" s="907"/>
      <c r="B228" s="907"/>
      <c r="C228" s="907"/>
      <c r="D228" s="907"/>
      <c r="E228" s="907"/>
      <c r="F228" s="907"/>
      <c r="G228" s="907"/>
    </row>
    <row r="229" spans="1:7">
      <c r="A229" s="907"/>
      <c r="B229" s="907"/>
      <c r="C229" s="907"/>
      <c r="D229" s="907"/>
      <c r="E229" s="907"/>
      <c r="F229" s="907"/>
      <c r="G229" s="907"/>
    </row>
    <row r="230" spans="1:7">
      <c r="A230" s="907"/>
      <c r="B230" s="907"/>
      <c r="C230" s="907"/>
      <c r="D230" s="907"/>
      <c r="E230" s="907"/>
      <c r="F230" s="907"/>
      <c r="G230" s="907"/>
    </row>
    <row r="231" spans="1:7">
      <c r="A231" s="907"/>
      <c r="B231" s="907"/>
      <c r="C231" s="907"/>
      <c r="D231" s="907"/>
      <c r="E231" s="907"/>
      <c r="F231" s="907"/>
      <c r="G231" s="907"/>
    </row>
    <row r="232" spans="1:7">
      <c r="A232" s="907"/>
      <c r="B232" s="907"/>
      <c r="C232" s="907"/>
      <c r="D232" s="907"/>
      <c r="E232" s="907"/>
      <c r="F232" s="907"/>
      <c r="G232" s="907"/>
    </row>
    <row r="233" spans="1:7">
      <c r="A233" s="907"/>
      <c r="B233" s="907"/>
      <c r="C233" s="907"/>
      <c r="D233" s="907"/>
      <c r="E233" s="907"/>
      <c r="F233" s="907"/>
      <c r="G233" s="907"/>
    </row>
    <row r="234" spans="1:7">
      <c r="A234" s="907"/>
      <c r="B234" s="907"/>
      <c r="C234" s="907"/>
      <c r="D234" s="907"/>
      <c r="E234" s="907"/>
      <c r="F234" s="907"/>
      <c r="G234" s="907"/>
    </row>
    <row r="235" spans="1:7">
      <c r="A235" s="907"/>
      <c r="B235" s="907"/>
      <c r="C235" s="907"/>
      <c r="D235" s="907"/>
      <c r="E235" s="907"/>
      <c r="F235" s="907"/>
      <c r="G235" s="907"/>
    </row>
    <row r="236" spans="1:7">
      <c r="A236" s="907"/>
      <c r="B236" s="907"/>
      <c r="C236" s="907"/>
      <c r="D236" s="907"/>
      <c r="E236" s="907"/>
      <c r="F236" s="907"/>
      <c r="G236" s="907"/>
    </row>
    <row r="237" spans="1:7">
      <c r="A237" s="907"/>
      <c r="B237" s="907"/>
      <c r="C237" s="907"/>
      <c r="D237" s="907"/>
      <c r="E237" s="907"/>
      <c r="F237" s="907"/>
      <c r="G237" s="907"/>
    </row>
    <row r="238" spans="1:7">
      <c r="A238" s="907"/>
      <c r="B238" s="907"/>
      <c r="C238" s="907"/>
      <c r="D238" s="907"/>
      <c r="E238" s="907"/>
      <c r="F238" s="907"/>
      <c r="G238" s="907"/>
    </row>
    <row r="239" spans="1:7">
      <c r="A239" s="907"/>
      <c r="B239" s="907"/>
      <c r="C239" s="907"/>
      <c r="D239" s="907"/>
      <c r="E239" s="907"/>
      <c r="F239" s="907"/>
      <c r="G239" s="907"/>
    </row>
    <row r="240" spans="1:7">
      <c r="A240" s="907"/>
      <c r="B240" s="907"/>
      <c r="C240" s="907"/>
      <c r="D240" s="907"/>
      <c r="E240" s="907"/>
      <c r="F240" s="907"/>
      <c r="G240" s="907"/>
    </row>
    <row r="241" spans="1:7">
      <c r="A241" s="907"/>
      <c r="B241" s="907"/>
      <c r="C241" s="907"/>
      <c r="D241" s="907"/>
      <c r="E241" s="907"/>
      <c r="F241" s="907"/>
      <c r="G241" s="907"/>
    </row>
    <row r="242" spans="1:7">
      <c r="A242" s="907"/>
      <c r="B242" s="907"/>
      <c r="C242" s="907"/>
      <c r="D242" s="907"/>
      <c r="E242" s="907"/>
      <c r="F242" s="907"/>
      <c r="G242" s="907"/>
    </row>
    <row r="243" spans="1:7">
      <c r="A243" s="907"/>
      <c r="B243" s="907"/>
      <c r="C243" s="907"/>
      <c r="D243" s="907"/>
      <c r="E243" s="907"/>
      <c r="F243" s="907"/>
      <c r="G243" s="907"/>
    </row>
    <row r="244" spans="1:7">
      <c r="A244" s="907"/>
      <c r="B244" s="907"/>
      <c r="C244" s="907"/>
      <c r="D244" s="907"/>
      <c r="E244" s="907"/>
      <c r="F244" s="907"/>
      <c r="G244" s="907"/>
    </row>
    <row r="245" spans="1:7">
      <c r="A245" s="907"/>
      <c r="B245" s="907"/>
      <c r="C245" s="907"/>
      <c r="D245" s="907"/>
      <c r="E245" s="907"/>
      <c r="F245" s="907"/>
      <c r="G245" s="907"/>
    </row>
    <row r="246" spans="1:7">
      <c r="A246" s="907"/>
      <c r="B246" s="907"/>
      <c r="C246" s="907"/>
      <c r="D246" s="907"/>
      <c r="E246" s="907"/>
      <c r="F246" s="907"/>
      <c r="G246" s="907"/>
    </row>
    <row r="247" spans="1:7">
      <c r="A247" s="907"/>
      <c r="B247" s="907"/>
      <c r="C247" s="907"/>
      <c r="D247" s="907"/>
      <c r="E247" s="907"/>
      <c r="F247" s="907"/>
      <c r="G247" s="907"/>
    </row>
    <row r="248" spans="1:7">
      <c r="A248" s="907"/>
      <c r="B248" s="907"/>
      <c r="C248" s="907"/>
      <c r="D248" s="907"/>
      <c r="E248" s="907"/>
      <c r="F248" s="907"/>
      <c r="G248" s="907"/>
    </row>
    <row r="249" spans="1:7">
      <c r="A249" s="907"/>
      <c r="B249" s="907"/>
      <c r="C249" s="907"/>
      <c r="D249" s="907"/>
      <c r="E249" s="907"/>
      <c r="F249" s="907"/>
      <c r="G249" s="907"/>
    </row>
    <row r="250" spans="1:7">
      <c r="A250" s="907"/>
      <c r="B250" s="907"/>
      <c r="C250" s="907"/>
      <c r="D250" s="907"/>
      <c r="E250" s="907"/>
      <c r="F250" s="907"/>
      <c r="G250" s="907"/>
    </row>
    <row r="251" spans="1:7">
      <c r="A251" s="907"/>
      <c r="B251" s="907"/>
      <c r="C251" s="907"/>
      <c r="D251" s="907"/>
      <c r="E251" s="907"/>
      <c r="F251" s="907"/>
      <c r="G251" s="907"/>
    </row>
    <row r="252" spans="1:7">
      <c r="A252" s="907"/>
      <c r="B252" s="907"/>
      <c r="C252" s="907"/>
      <c r="D252" s="907"/>
      <c r="E252" s="907"/>
      <c r="F252" s="907"/>
      <c r="G252" s="907"/>
    </row>
    <row r="253" spans="1:7">
      <c r="A253" s="907"/>
      <c r="B253" s="907"/>
      <c r="C253" s="907"/>
      <c r="D253" s="907"/>
      <c r="E253" s="907"/>
      <c r="F253" s="907"/>
      <c r="G253" s="907"/>
    </row>
    <row r="254" spans="1:7">
      <c r="A254" s="907"/>
      <c r="B254" s="907"/>
      <c r="C254" s="907"/>
      <c r="D254" s="907"/>
      <c r="E254" s="907"/>
      <c r="F254" s="907"/>
      <c r="G254" s="907"/>
    </row>
    <row r="255" spans="1:7">
      <c r="A255" s="907"/>
      <c r="B255" s="907"/>
      <c r="C255" s="907"/>
      <c r="D255" s="907"/>
      <c r="E255" s="907"/>
      <c r="F255" s="907"/>
      <c r="G255" s="907"/>
    </row>
    <row r="256" spans="1:7">
      <c r="A256" s="907"/>
      <c r="B256" s="907"/>
      <c r="C256" s="907"/>
      <c r="D256" s="907"/>
      <c r="E256" s="907"/>
      <c r="F256" s="907"/>
      <c r="G256" s="907"/>
    </row>
    <row r="257" spans="1:7">
      <c r="A257" s="907"/>
      <c r="B257" s="907"/>
      <c r="C257" s="907"/>
      <c r="D257" s="907"/>
      <c r="E257" s="907"/>
      <c r="F257" s="907"/>
      <c r="G257" s="907"/>
    </row>
    <row r="258" spans="1:7">
      <c r="A258" s="907"/>
      <c r="B258" s="907"/>
      <c r="C258" s="907"/>
      <c r="D258" s="907"/>
      <c r="E258" s="907"/>
      <c r="F258" s="907"/>
      <c r="G258" s="907"/>
    </row>
    <row r="259" spans="1:7">
      <c r="A259" s="907"/>
      <c r="B259" s="907"/>
      <c r="C259" s="907"/>
      <c r="D259" s="907"/>
      <c r="E259" s="907"/>
      <c r="F259" s="907"/>
      <c r="G259" s="907"/>
    </row>
    <row r="260" spans="1:7">
      <c r="A260" s="907"/>
      <c r="B260" s="907"/>
      <c r="C260" s="907"/>
      <c r="D260" s="907"/>
      <c r="E260" s="907"/>
      <c r="F260" s="907"/>
      <c r="G260" s="907"/>
    </row>
    <row r="261" spans="1:7">
      <c r="A261" s="907"/>
      <c r="B261" s="907"/>
      <c r="C261" s="907"/>
      <c r="D261" s="907"/>
      <c r="E261" s="907"/>
      <c r="F261" s="907"/>
      <c r="G261" s="907"/>
    </row>
    <row r="262" spans="1:7">
      <c r="A262" s="907"/>
      <c r="B262" s="907"/>
      <c r="C262" s="907"/>
      <c r="D262" s="907"/>
      <c r="E262" s="907"/>
      <c r="F262" s="907"/>
      <c r="G262" s="907"/>
    </row>
    <row r="263" spans="1:7">
      <c r="A263" s="907"/>
      <c r="B263" s="907"/>
      <c r="C263" s="907"/>
      <c r="D263" s="907"/>
      <c r="E263" s="907"/>
      <c r="F263" s="907"/>
      <c r="G263" s="907"/>
    </row>
    <row r="264" spans="1:7">
      <c r="A264" s="907"/>
      <c r="B264" s="907"/>
      <c r="C264" s="907"/>
      <c r="D264" s="907"/>
      <c r="E264" s="907"/>
      <c r="F264" s="907"/>
      <c r="G264" s="907"/>
    </row>
    <row r="265" spans="1:7">
      <c r="A265" s="907"/>
      <c r="B265" s="907"/>
      <c r="C265" s="907"/>
      <c r="D265" s="907"/>
      <c r="E265" s="907"/>
      <c r="F265" s="907"/>
      <c r="G265" s="907"/>
    </row>
    <row r="266" spans="1:7">
      <c r="A266" s="907"/>
      <c r="B266" s="907"/>
      <c r="C266" s="907"/>
      <c r="D266" s="907"/>
      <c r="E266" s="907"/>
      <c r="F266" s="907"/>
      <c r="G266" s="907"/>
    </row>
    <row r="267" spans="1:7">
      <c r="A267" s="907"/>
      <c r="B267" s="907"/>
      <c r="C267" s="907"/>
      <c r="D267" s="907"/>
      <c r="E267" s="907"/>
      <c r="F267" s="907"/>
      <c r="G267" s="907"/>
    </row>
    <row r="268" spans="1:7">
      <c r="A268" s="907"/>
      <c r="B268" s="907"/>
      <c r="C268" s="907"/>
      <c r="D268" s="907"/>
      <c r="E268" s="907"/>
      <c r="F268" s="907"/>
      <c r="G268" s="907"/>
    </row>
    <row r="269" spans="1:7">
      <c r="A269" s="907"/>
      <c r="B269" s="907"/>
      <c r="C269" s="907"/>
      <c r="D269" s="907"/>
      <c r="E269" s="907"/>
      <c r="F269" s="907"/>
      <c r="G269" s="907"/>
    </row>
    <row r="270" spans="1:7">
      <c r="A270" s="907"/>
      <c r="B270" s="907"/>
      <c r="C270" s="907"/>
      <c r="D270" s="907"/>
      <c r="E270" s="907"/>
      <c r="F270" s="907"/>
      <c r="G270" s="907"/>
    </row>
    <row r="271" spans="1:7">
      <c r="A271" s="907"/>
      <c r="B271" s="907"/>
      <c r="C271" s="907"/>
      <c r="D271" s="907"/>
      <c r="E271" s="907"/>
      <c r="F271" s="907"/>
      <c r="G271" s="907"/>
    </row>
    <row r="272" spans="1:7">
      <c r="A272" s="907"/>
      <c r="B272" s="907"/>
      <c r="C272" s="907"/>
      <c r="D272" s="907"/>
      <c r="E272" s="907"/>
      <c r="F272" s="907"/>
      <c r="G272" s="907"/>
    </row>
    <row r="273" spans="1:7">
      <c r="A273" s="907"/>
      <c r="B273" s="907"/>
      <c r="C273" s="907"/>
      <c r="D273" s="907"/>
      <c r="E273" s="907"/>
      <c r="F273" s="907"/>
      <c r="G273" s="907"/>
    </row>
    <row r="274" spans="1:7">
      <c r="A274" s="907"/>
      <c r="B274" s="907"/>
      <c r="C274" s="907"/>
      <c r="D274" s="907"/>
      <c r="E274" s="907"/>
      <c r="F274" s="907"/>
      <c r="G274" s="907"/>
    </row>
    <row r="275" spans="1:7">
      <c r="A275" s="907"/>
      <c r="B275" s="907"/>
      <c r="C275" s="907"/>
      <c r="D275" s="907"/>
      <c r="E275" s="907"/>
      <c r="F275" s="907"/>
      <c r="G275" s="907"/>
    </row>
    <row r="276" spans="1:7">
      <c r="A276" s="907"/>
      <c r="B276" s="907"/>
      <c r="C276" s="907"/>
      <c r="D276" s="907"/>
      <c r="E276" s="907"/>
      <c r="F276" s="907"/>
      <c r="G276" s="907"/>
    </row>
    <row r="277" spans="1:7">
      <c r="A277" s="907"/>
      <c r="B277" s="907"/>
      <c r="C277" s="907"/>
      <c r="D277" s="907"/>
      <c r="E277" s="907"/>
      <c r="F277" s="907"/>
      <c r="G277" s="907"/>
    </row>
    <row r="278" spans="1:7">
      <c r="A278" s="907"/>
      <c r="B278" s="907"/>
      <c r="C278" s="907"/>
      <c r="D278" s="907"/>
      <c r="E278" s="907"/>
      <c r="F278" s="907"/>
      <c r="G278" s="907"/>
    </row>
    <row r="279" spans="1:7">
      <c r="A279" s="907"/>
      <c r="B279" s="907"/>
      <c r="C279" s="907"/>
      <c r="D279" s="907"/>
      <c r="E279" s="907"/>
      <c r="F279" s="907"/>
      <c r="G279" s="907"/>
    </row>
    <row r="280" spans="1:7">
      <c r="A280" s="907"/>
      <c r="B280" s="907"/>
      <c r="C280" s="907"/>
      <c r="D280" s="907"/>
      <c r="E280" s="907"/>
      <c r="F280" s="907"/>
      <c r="G280" s="907"/>
    </row>
    <row r="281" spans="1:7">
      <c r="A281" s="907"/>
      <c r="B281" s="907"/>
      <c r="C281" s="907"/>
      <c r="D281" s="907"/>
      <c r="E281" s="907"/>
      <c r="F281" s="907"/>
      <c r="G281" s="907"/>
    </row>
    <row r="282" spans="1:7">
      <c r="A282" s="907"/>
      <c r="B282" s="907"/>
      <c r="C282" s="907"/>
      <c r="D282" s="907"/>
      <c r="E282" s="907"/>
      <c r="F282" s="907"/>
      <c r="G282" s="907"/>
    </row>
    <row r="283" spans="1:7">
      <c r="A283" s="907"/>
      <c r="B283" s="907"/>
      <c r="C283" s="907"/>
      <c r="D283" s="907"/>
      <c r="E283" s="907"/>
      <c r="F283" s="907"/>
      <c r="G283" s="907"/>
    </row>
    <row r="284" spans="1:7">
      <c r="A284" s="907"/>
      <c r="B284" s="907"/>
      <c r="C284" s="907"/>
      <c r="D284" s="907"/>
      <c r="E284" s="907"/>
      <c r="F284" s="907"/>
      <c r="G284" s="907"/>
    </row>
    <row r="285" spans="1:7">
      <c r="A285" s="907"/>
      <c r="B285" s="907"/>
      <c r="C285" s="907"/>
      <c r="D285" s="907"/>
      <c r="E285" s="907"/>
      <c r="F285" s="907"/>
      <c r="G285" s="907"/>
    </row>
    <row r="286" spans="1:7">
      <c r="A286" s="907"/>
      <c r="B286" s="907"/>
      <c r="C286" s="907"/>
      <c r="D286" s="907"/>
      <c r="E286" s="907"/>
      <c r="F286" s="907"/>
      <c r="G286" s="907"/>
    </row>
    <row r="287" spans="1:7">
      <c r="A287" s="907"/>
      <c r="B287" s="907"/>
      <c r="C287" s="907"/>
      <c r="D287" s="907"/>
      <c r="E287" s="907"/>
      <c r="F287" s="907"/>
      <c r="G287" s="907"/>
    </row>
    <row r="288" spans="1:7">
      <c r="A288" s="907"/>
      <c r="B288" s="907"/>
      <c r="C288" s="907"/>
      <c r="D288" s="907"/>
      <c r="E288" s="907"/>
      <c r="F288" s="907"/>
      <c r="G288" s="907"/>
    </row>
    <row r="289" spans="1:7">
      <c r="A289" s="907"/>
      <c r="B289" s="907"/>
      <c r="C289" s="907"/>
      <c r="D289" s="907"/>
      <c r="E289" s="907"/>
      <c r="F289" s="907"/>
      <c r="G289" s="907"/>
    </row>
    <row r="290" spans="1:7">
      <c r="A290" s="907"/>
      <c r="B290" s="907"/>
      <c r="C290" s="907"/>
      <c r="D290" s="907"/>
      <c r="E290" s="907"/>
      <c r="F290" s="907"/>
      <c r="G290" s="907"/>
    </row>
    <row r="291" spans="1:7">
      <c r="A291" s="907"/>
      <c r="B291" s="907"/>
      <c r="C291" s="907"/>
      <c r="D291" s="907"/>
      <c r="E291" s="907"/>
      <c r="F291" s="907"/>
      <c r="G291" s="907"/>
    </row>
    <row r="292" spans="1:7">
      <c r="A292" s="907"/>
      <c r="B292" s="907"/>
      <c r="C292" s="907"/>
      <c r="D292" s="907"/>
      <c r="E292" s="907"/>
      <c r="F292" s="907"/>
      <c r="G292" s="907"/>
    </row>
    <row r="293" spans="1:7">
      <c r="A293" s="907"/>
      <c r="B293" s="907"/>
      <c r="C293" s="907"/>
      <c r="D293" s="907"/>
      <c r="E293" s="907"/>
      <c r="F293" s="907"/>
      <c r="G293" s="907"/>
    </row>
    <row r="294" spans="1:7">
      <c r="A294" s="907"/>
      <c r="B294" s="907"/>
      <c r="C294" s="907"/>
      <c r="D294" s="907"/>
      <c r="E294" s="907"/>
      <c r="F294" s="907"/>
      <c r="G294" s="907"/>
    </row>
    <row r="295" spans="1:7">
      <c r="A295" s="907"/>
      <c r="B295" s="907"/>
      <c r="C295" s="907"/>
      <c r="D295" s="907"/>
      <c r="E295" s="907"/>
      <c r="F295" s="907"/>
      <c r="G295" s="907"/>
    </row>
    <row r="296" spans="1:7">
      <c r="A296" s="907"/>
      <c r="B296" s="907"/>
      <c r="C296" s="907"/>
      <c r="D296" s="907"/>
      <c r="E296" s="907"/>
      <c r="F296" s="907"/>
      <c r="G296" s="907"/>
    </row>
    <row r="297" spans="1:7">
      <c r="A297" s="907"/>
      <c r="B297" s="907"/>
      <c r="C297" s="907"/>
      <c r="D297" s="907"/>
      <c r="E297" s="907"/>
      <c r="F297" s="907"/>
      <c r="G297" s="907"/>
    </row>
    <row r="298" spans="1:7">
      <c r="A298" s="907"/>
      <c r="B298" s="907"/>
      <c r="C298" s="907"/>
      <c r="D298" s="907"/>
      <c r="E298" s="907"/>
      <c r="F298" s="907"/>
      <c r="G298" s="907"/>
    </row>
    <row r="299" spans="1:7">
      <c r="A299" s="907"/>
      <c r="B299" s="907"/>
      <c r="C299" s="907"/>
      <c r="D299" s="907"/>
      <c r="E299" s="907"/>
      <c r="F299" s="907"/>
      <c r="G299" s="907"/>
    </row>
    <row r="300" spans="1:7">
      <c r="A300" s="907"/>
      <c r="B300" s="907"/>
      <c r="C300" s="907"/>
      <c r="D300" s="907"/>
      <c r="E300" s="907"/>
      <c r="F300" s="907"/>
      <c r="G300" s="907"/>
    </row>
    <row r="301" spans="1:7">
      <c r="A301" s="907"/>
      <c r="B301" s="907"/>
      <c r="C301" s="907"/>
      <c r="D301" s="907"/>
      <c r="E301" s="907"/>
      <c r="F301" s="907"/>
      <c r="G301" s="907"/>
    </row>
    <row r="302" spans="1:7">
      <c r="A302" s="907"/>
      <c r="B302" s="907"/>
      <c r="C302" s="907"/>
      <c r="D302" s="907"/>
      <c r="E302" s="907"/>
      <c r="F302" s="907"/>
      <c r="G302" s="907"/>
    </row>
    <row r="303" spans="1:7">
      <c r="A303" s="907"/>
      <c r="B303" s="907"/>
      <c r="C303" s="907"/>
      <c r="D303" s="907"/>
      <c r="E303" s="907"/>
      <c r="F303" s="907"/>
      <c r="G303" s="907"/>
    </row>
    <row r="304" spans="1:7">
      <c r="A304" s="907"/>
      <c r="B304" s="907"/>
      <c r="C304" s="907"/>
      <c r="D304" s="907"/>
      <c r="E304" s="907"/>
      <c r="F304" s="907"/>
      <c r="G304" s="907"/>
    </row>
    <row r="305" spans="1:7">
      <c r="A305" s="907"/>
      <c r="B305" s="907"/>
      <c r="C305" s="907"/>
      <c r="D305" s="907"/>
      <c r="E305" s="907"/>
      <c r="F305" s="907"/>
      <c r="G305" s="907"/>
    </row>
    <row r="306" spans="1:7">
      <c r="A306" s="907"/>
      <c r="B306" s="907"/>
      <c r="C306" s="907"/>
      <c r="D306" s="907"/>
      <c r="E306" s="907"/>
      <c r="F306" s="907"/>
      <c r="G306" s="907"/>
    </row>
    <row r="307" spans="1:7">
      <c r="A307" s="907"/>
      <c r="B307" s="907"/>
      <c r="C307" s="907"/>
      <c r="D307" s="907"/>
      <c r="E307" s="907"/>
      <c r="F307" s="907"/>
      <c r="G307" s="907"/>
    </row>
    <row r="308" spans="1:7">
      <c r="A308" s="907"/>
      <c r="B308" s="907"/>
      <c r="C308" s="907"/>
      <c r="D308" s="907"/>
      <c r="E308" s="907"/>
      <c r="F308" s="907"/>
      <c r="G308" s="907"/>
    </row>
    <row r="309" spans="1:7">
      <c r="A309" s="907"/>
      <c r="B309" s="907"/>
      <c r="C309" s="907"/>
      <c r="D309" s="907"/>
      <c r="E309" s="907"/>
      <c r="F309" s="907"/>
      <c r="G309" s="907"/>
    </row>
    <row r="310" spans="1:7">
      <c r="A310" s="907"/>
      <c r="B310" s="907"/>
      <c r="C310" s="907"/>
      <c r="D310" s="907"/>
      <c r="E310" s="907"/>
      <c r="F310" s="907"/>
      <c r="G310" s="907"/>
    </row>
    <row r="311" spans="1:7">
      <c r="A311" s="907"/>
      <c r="B311" s="907"/>
      <c r="C311" s="907"/>
      <c r="D311" s="907"/>
      <c r="E311" s="907"/>
      <c r="F311" s="907"/>
      <c r="G311" s="907"/>
    </row>
    <row r="312" spans="1:7">
      <c r="A312" s="907"/>
      <c r="B312" s="907"/>
      <c r="C312" s="907"/>
      <c r="D312" s="907"/>
      <c r="E312" s="907"/>
      <c r="F312" s="907"/>
      <c r="G312" s="907"/>
    </row>
    <row r="313" spans="1:7">
      <c r="A313" s="907"/>
      <c r="B313" s="907"/>
      <c r="C313" s="907"/>
      <c r="D313" s="907"/>
      <c r="E313" s="907"/>
      <c r="F313" s="907"/>
      <c r="G313" s="907"/>
    </row>
    <row r="314" spans="1:7">
      <c r="A314" s="907"/>
      <c r="B314" s="907"/>
      <c r="C314" s="907"/>
      <c r="D314" s="907"/>
      <c r="E314" s="907"/>
      <c r="F314" s="907"/>
      <c r="G314" s="907"/>
    </row>
    <row r="315" spans="1:7">
      <c r="A315" s="907"/>
      <c r="B315" s="907"/>
      <c r="C315" s="907"/>
      <c r="D315" s="907"/>
      <c r="E315" s="907"/>
      <c r="F315" s="907"/>
      <c r="G315" s="907"/>
    </row>
    <row r="316" spans="1:7">
      <c r="A316" s="907"/>
      <c r="B316" s="907"/>
      <c r="C316" s="907"/>
      <c r="D316" s="907"/>
      <c r="E316" s="907"/>
      <c r="F316" s="907"/>
      <c r="G316" s="907"/>
    </row>
    <row r="317" spans="1:7">
      <c r="A317" s="907"/>
      <c r="B317" s="907"/>
      <c r="C317" s="907"/>
      <c r="D317" s="907"/>
      <c r="E317" s="907"/>
      <c r="F317" s="907"/>
      <c r="G317" s="907"/>
    </row>
    <row r="318" spans="1:7">
      <c r="A318" s="907"/>
      <c r="B318" s="907"/>
      <c r="C318" s="907"/>
      <c r="D318" s="907"/>
      <c r="E318" s="907"/>
      <c r="F318" s="907"/>
      <c r="G318" s="907"/>
    </row>
    <row r="319" spans="1:7">
      <c r="A319" s="907"/>
      <c r="B319" s="907"/>
      <c r="C319" s="907"/>
      <c r="D319" s="907"/>
      <c r="E319" s="907"/>
      <c r="F319" s="907"/>
      <c r="G319" s="907"/>
    </row>
    <row r="320" spans="1:7">
      <c r="A320" s="907"/>
      <c r="B320" s="907"/>
      <c r="C320" s="907"/>
      <c r="D320" s="907"/>
      <c r="E320" s="907"/>
      <c r="F320" s="907"/>
      <c r="G320" s="907"/>
    </row>
    <row r="321" spans="1:7">
      <c r="A321" s="907"/>
      <c r="B321" s="907"/>
      <c r="C321" s="907"/>
      <c r="D321" s="907"/>
      <c r="E321" s="907"/>
      <c r="F321" s="907"/>
      <c r="G321" s="907"/>
    </row>
    <row r="322" spans="1:7">
      <c r="A322" s="907"/>
      <c r="B322" s="907"/>
      <c r="C322" s="907"/>
      <c r="D322" s="907"/>
      <c r="E322" s="907"/>
      <c r="F322" s="907"/>
      <c r="G322" s="907"/>
    </row>
    <row r="323" spans="1:7">
      <c r="A323" s="907"/>
      <c r="B323" s="907"/>
      <c r="C323" s="907"/>
      <c r="D323" s="907"/>
      <c r="E323" s="907"/>
      <c r="F323" s="907"/>
      <c r="G323" s="907"/>
    </row>
    <row r="324" spans="1:7">
      <c r="A324" s="907"/>
      <c r="B324" s="907"/>
      <c r="C324" s="907"/>
      <c r="D324" s="907"/>
      <c r="E324" s="907"/>
      <c r="F324" s="907"/>
      <c r="G324" s="907"/>
    </row>
    <row r="325" spans="1:7">
      <c r="A325" s="907"/>
      <c r="B325" s="907"/>
      <c r="C325" s="907"/>
      <c r="D325" s="907"/>
      <c r="E325" s="907"/>
      <c r="F325" s="907"/>
      <c r="G325" s="907"/>
    </row>
    <row r="326" spans="1:7">
      <c r="A326" s="907"/>
      <c r="B326" s="907"/>
      <c r="C326" s="907"/>
      <c r="D326" s="907"/>
      <c r="E326" s="907"/>
      <c r="F326" s="907"/>
      <c r="G326" s="907"/>
    </row>
    <row r="327" spans="1:7">
      <c r="A327" s="907"/>
      <c r="B327" s="907"/>
      <c r="C327" s="907"/>
      <c r="D327" s="907"/>
      <c r="E327" s="907"/>
      <c r="F327" s="907"/>
      <c r="G327" s="907"/>
    </row>
    <row r="328" spans="1:7">
      <c r="A328" s="907"/>
      <c r="B328" s="907"/>
      <c r="C328" s="907"/>
      <c r="D328" s="907"/>
      <c r="E328" s="907"/>
      <c r="F328" s="907"/>
      <c r="G328" s="907"/>
    </row>
    <row r="329" spans="1:7">
      <c r="A329" s="907"/>
      <c r="B329" s="907"/>
      <c r="C329" s="907"/>
      <c r="D329" s="907"/>
      <c r="E329" s="907"/>
      <c r="F329" s="907"/>
      <c r="G329" s="907"/>
    </row>
    <row r="330" spans="1:7">
      <c r="A330" s="907"/>
      <c r="B330" s="907"/>
      <c r="C330" s="907"/>
      <c r="D330" s="907"/>
      <c r="E330" s="907"/>
      <c r="F330" s="907"/>
      <c r="G330" s="907"/>
    </row>
  </sheetData>
  <mergeCells count="5">
    <mergeCell ref="K9:M9"/>
    <mergeCell ref="A1:G1"/>
    <mergeCell ref="A3:G3"/>
    <mergeCell ref="A5:G5"/>
    <mergeCell ref="D9:G9"/>
  </mergeCells>
  <printOptions horizontalCentered="1"/>
  <pageMargins left="0.9" right="0.7" top="0.75" bottom="0.75" header="0" footer="0.25"/>
  <pageSetup scale="79" orientation="portrait" horizontalDpi="300" verticalDpi="300" r:id="rId1"/>
  <rowBreaks count="2" manualBreakCount="2">
    <brk id="10" max="6" man="1"/>
    <brk id="42"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46"/>
  <sheetViews>
    <sheetView topLeftCell="A4" zoomScaleNormal="100" workbookViewId="0">
      <selection activeCell="N29" sqref="N29"/>
    </sheetView>
  </sheetViews>
  <sheetFormatPr defaultRowHeight="15.75"/>
  <cols>
    <col min="1" max="1" width="23.33203125" style="166" customWidth="1"/>
    <col min="2" max="2" width="3.5546875" style="166" customWidth="1"/>
    <col min="3" max="3" width="13.6640625" style="166" bestFit="1" customWidth="1"/>
    <col min="4" max="4" width="1.77734375" style="188" customWidth="1"/>
    <col min="5" max="5" width="15.44140625" style="166" customWidth="1"/>
    <col min="6" max="6" width="1.44140625" style="166" customWidth="1"/>
    <col min="7" max="7" width="11" style="166" bestFit="1" customWidth="1"/>
    <col min="8" max="8" width="10.44140625" style="166" customWidth="1"/>
    <col min="9" max="9" width="13.109375" style="236" bestFit="1" customWidth="1"/>
    <col min="10" max="16384" width="8.88671875" style="166"/>
  </cols>
  <sheetData>
    <row r="1" spans="1:11">
      <c r="A1" s="1052" t="str">
        <f>+'WP-5 - Capital Structure'!A1:H1</f>
        <v>Pullman Disposal Services, Inc.</v>
      </c>
      <c r="B1" s="1052"/>
      <c r="C1" s="1052"/>
      <c r="D1" s="1052"/>
      <c r="E1" s="1052"/>
      <c r="F1" s="1052"/>
      <c r="G1" s="1052"/>
      <c r="H1" s="1052"/>
      <c r="I1" s="1052"/>
    </row>
    <row r="2" spans="1:11">
      <c r="A2" s="35"/>
      <c r="B2" s="36"/>
      <c r="C2" s="36"/>
      <c r="D2" s="36"/>
      <c r="E2" s="34"/>
      <c r="F2" s="36"/>
      <c r="G2" s="34"/>
    </row>
    <row r="3" spans="1:11">
      <c r="A3" s="1051" t="s">
        <v>270</v>
      </c>
      <c r="B3" s="1051"/>
      <c r="C3" s="1051"/>
      <c r="D3" s="1051"/>
      <c r="E3" s="1051"/>
      <c r="F3" s="1051"/>
      <c r="G3" s="1051"/>
      <c r="H3" s="1051"/>
      <c r="I3" s="1051"/>
    </row>
    <row r="4" spans="1:11">
      <c r="A4" s="39"/>
      <c r="B4" s="39"/>
      <c r="C4" s="39"/>
      <c r="D4" s="38"/>
      <c r="E4" s="39"/>
      <c r="F4" s="39"/>
      <c r="G4" s="39"/>
    </row>
    <row r="5" spans="1:11">
      <c r="A5" s="1053" t="str">
        <f>'WP-6 - Affiliated '!A5:G5</f>
        <v>In Support of Tariff 18 effective January 1, 2020</v>
      </c>
      <c r="B5" s="1053"/>
      <c r="C5" s="1053"/>
      <c r="D5" s="1053"/>
      <c r="E5" s="1053"/>
      <c r="F5" s="1053"/>
      <c r="G5" s="1053"/>
      <c r="H5" s="1053"/>
      <c r="I5" s="1053"/>
    </row>
    <row r="6" spans="1:11">
      <c r="I6" s="433"/>
    </row>
    <row r="7" spans="1:11">
      <c r="K7" s="433"/>
    </row>
    <row r="8" spans="1:11">
      <c r="A8" s="167"/>
      <c r="B8" s="167"/>
      <c r="C8" s="193" t="s">
        <v>189</v>
      </c>
      <c r="D8" s="194"/>
      <c r="E8" s="195"/>
      <c r="F8" s="196"/>
      <c r="G8" s="1048" t="s">
        <v>1026</v>
      </c>
      <c r="H8" s="1048"/>
    </row>
    <row r="9" spans="1:11">
      <c r="A9" s="167"/>
      <c r="B9" s="167"/>
      <c r="C9" s="193" t="s">
        <v>39</v>
      </c>
      <c r="D9" s="194"/>
      <c r="E9" s="197" t="s">
        <v>39</v>
      </c>
      <c r="F9" s="196"/>
      <c r="G9" s="1049" t="s">
        <v>164</v>
      </c>
      <c r="H9" s="1049"/>
      <c r="I9" s="335"/>
    </row>
    <row r="10" spans="1:11">
      <c r="A10" s="167"/>
      <c r="B10" s="167"/>
      <c r="C10" s="198" t="s">
        <v>120</v>
      </c>
      <c r="D10" s="199"/>
      <c r="E10" s="200" t="s">
        <v>165</v>
      </c>
      <c r="F10" s="201"/>
      <c r="G10" s="1050" t="s">
        <v>261</v>
      </c>
      <c r="H10" s="1050"/>
      <c r="I10" s="340"/>
    </row>
    <row r="11" spans="1:11">
      <c r="A11" s="339">
        <v>43101</v>
      </c>
      <c r="B11" s="167"/>
      <c r="C11" s="447">
        <f>3234.68+241.403+56.924</f>
        <v>3533.0069999999996</v>
      </c>
      <c r="D11" s="189"/>
      <c r="E11" s="169">
        <v>10947.06</v>
      </c>
      <c r="F11" s="170"/>
      <c r="G11" s="171">
        <f t="shared" ref="G11:G31" si="0">+E11/C11</f>
        <v>3.0985107020733333</v>
      </c>
      <c r="H11" s="168" t="s">
        <v>166</v>
      </c>
      <c r="I11" s="433"/>
    </row>
    <row r="12" spans="1:11">
      <c r="A12" s="339">
        <v>43132</v>
      </c>
      <c r="B12" s="167"/>
      <c r="C12" s="447">
        <f>2828.939+197.17</f>
        <v>3026.1089999999999</v>
      </c>
      <c r="D12" s="189"/>
      <c r="E12" s="169">
        <v>9530.6299999999992</v>
      </c>
      <c r="F12" s="170"/>
      <c r="G12" s="171">
        <f t="shared" si="0"/>
        <v>3.1494668566135586</v>
      </c>
      <c r="H12" s="168" t="s">
        <v>166</v>
      </c>
      <c r="I12" s="433"/>
    </row>
    <row r="13" spans="1:11">
      <c r="A13" s="339">
        <v>43160</v>
      </c>
      <c r="B13" s="167"/>
      <c r="C13" s="447">
        <f>3152.04+170.72+37.51+28.689</f>
        <v>3388.9589999999998</v>
      </c>
      <c r="D13" s="189"/>
      <c r="E13" s="169">
        <v>10750.83</v>
      </c>
      <c r="F13" s="170"/>
      <c r="G13" s="171">
        <f t="shared" si="0"/>
        <v>3.1723104351513252</v>
      </c>
      <c r="H13" s="168" t="s">
        <v>166</v>
      </c>
      <c r="I13" s="333"/>
    </row>
    <row r="14" spans="1:11">
      <c r="A14" s="339">
        <v>43191</v>
      </c>
      <c r="B14" s="167"/>
      <c r="C14" s="447">
        <f>3590.316+229.16+27.951</f>
        <v>3847.4269999999997</v>
      </c>
      <c r="D14" s="189"/>
      <c r="E14" s="169">
        <v>12648.87</v>
      </c>
      <c r="F14" s="170"/>
      <c r="G14" s="171">
        <f t="shared" si="0"/>
        <v>3.2876179327119144</v>
      </c>
      <c r="H14" s="168" t="s">
        <v>166</v>
      </c>
      <c r="I14" s="333"/>
    </row>
    <row r="15" spans="1:11">
      <c r="A15" s="339">
        <v>43221</v>
      </c>
      <c r="B15" s="167"/>
      <c r="C15" s="447">
        <f>3719.152+194.386+55.49+8.839</f>
        <v>3977.8669999999997</v>
      </c>
      <c r="D15" s="189"/>
      <c r="E15" s="169">
        <v>14077.07</v>
      </c>
      <c r="F15" s="170"/>
      <c r="G15" s="171">
        <f t="shared" si="0"/>
        <v>3.5388488353180234</v>
      </c>
      <c r="H15" s="168" t="s">
        <v>166</v>
      </c>
      <c r="I15" s="333"/>
    </row>
    <row r="16" spans="1:11">
      <c r="A16" s="339">
        <v>43252</v>
      </c>
      <c r="B16" s="167"/>
      <c r="C16" s="447">
        <f>3238.652+193.39+32.96+25.78</f>
        <v>3490.7820000000002</v>
      </c>
      <c r="D16" s="189"/>
      <c r="E16" s="169">
        <v>12907.43</v>
      </c>
      <c r="F16" s="170"/>
      <c r="G16" s="171">
        <f t="shared" si="0"/>
        <v>3.6975755002747235</v>
      </c>
      <c r="H16" s="168" t="s">
        <v>166</v>
      </c>
      <c r="I16" s="333"/>
    </row>
    <row r="17" spans="1:9">
      <c r="A17" s="339">
        <v>43282</v>
      </c>
      <c r="B17" s="167"/>
      <c r="C17" s="447">
        <f>3619.085+248.03</f>
        <v>3867.1150000000002</v>
      </c>
      <c r="D17" s="189"/>
      <c r="E17" s="169">
        <v>14108.34</v>
      </c>
      <c r="F17" s="170"/>
      <c r="G17" s="171">
        <f t="shared" si="0"/>
        <v>3.6482856082635244</v>
      </c>
      <c r="H17" s="168" t="s">
        <v>166</v>
      </c>
      <c r="I17" s="333"/>
    </row>
    <row r="18" spans="1:9">
      <c r="A18" s="339">
        <v>43313</v>
      </c>
      <c r="B18" s="167"/>
      <c r="C18" s="447">
        <f>3920.616+285.56+15.01+29.991</f>
        <v>4251.1770000000006</v>
      </c>
      <c r="D18" s="189"/>
      <c r="E18" s="169">
        <v>15320.27</v>
      </c>
      <c r="F18" s="170"/>
      <c r="G18" s="171">
        <f t="shared" si="0"/>
        <v>3.603771379079252</v>
      </c>
      <c r="H18" s="168" t="s">
        <v>166</v>
      </c>
      <c r="I18" s="333"/>
    </row>
    <row r="19" spans="1:9">
      <c r="A19" s="339">
        <v>43344</v>
      </c>
      <c r="B19" s="167"/>
      <c r="C19" s="447">
        <f>3146.658+262.778+4.98</f>
        <v>3414.4159999999997</v>
      </c>
      <c r="D19" s="189"/>
      <c r="E19" s="169">
        <v>12475.78</v>
      </c>
      <c r="F19" s="170"/>
      <c r="G19" s="171">
        <f t="shared" si="0"/>
        <v>3.6538547148326397</v>
      </c>
      <c r="H19" s="168" t="s">
        <v>166</v>
      </c>
      <c r="I19" s="333"/>
    </row>
    <row r="20" spans="1:9">
      <c r="A20" s="339">
        <v>43374</v>
      </c>
      <c r="B20" s="167"/>
      <c r="C20" s="448">
        <f>3700.905+236.53+22.085+23.108</f>
        <v>3982.6280000000006</v>
      </c>
      <c r="D20" s="190"/>
      <c r="E20" s="169">
        <v>14734.55</v>
      </c>
      <c r="F20" s="170"/>
      <c r="G20" s="171">
        <f t="shared" si="0"/>
        <v>3.6997053202056525</v>
      </c>
      <c r="H20" s="168" t="s">
        <v>166</v>
      </c>
      <c r="I20" s="333"/>
    </row>
    <row r="21" spans="1:9">
      <c r="A21" s="339">
        <v>43405</v>
      </c>
      <c r="B21" s="167"/>
      <c r="C21" s="448">
        <f>3358.038+177.57+29.029</f>
        <v>3564.6370000000002</v>
      </c>
      <c r="D21" s="190"/>
      <c r="E21" s="169">
        <v>13119.41</v>
      </c>
      <c r="F21" s="170"/>
      <c r="G21" s="171">
        <f t="shared" si="0"/>
        <v>3.6804336598649452</v>
      </c>
      <c r="H21" s="168" t="s">
        <v>166</v>
      </c>
      <c r="I21" s="333">
        <f>SUM(E11:E22)</f>
        <v>150939.59999999998</v>
      </c>
    </row>
    <row r="22" spans="1:9" ht="18" customHeight="1">
      <c r="A22" s="339">
        <v>43435</v>
      </c>
      <c r="B22" s="189"/>
      <c r="C22" s="449">
        <f>2757.708+172.05+7.32+24.938</f>
        <v>2962.0160000000005</v>
      </c>
      <c r="D22" s="191"/>
      <c r="E22" s="336">
        <v>10319.36</v>
      </c>
      <c r="F22" s="434"/>
      <c r="G22" s="171">
        <f t="shared" si="0"/>
        <v>3.4838974536261786</v>
      </c>
      <c r="H22" s="337" t="s">
        <v>166</v>
      </c>
      <c r="I22" s="765">
        <f>+'Sch 4 - 12 Months'!O47</f>
        <v>169941.77000000002</v>
      </c>
    </row>
    <row r="23" spans="1:9" ht="18" customHeight="1">
      <c r="A23" s="339">
        <v>43466</v>
      </c>
      <c r="B23" s="189"/>
      <c r="C23" s="449">
        <f>3172.012+175.85+24.8</f>
        <v>3372.6620000000003</v>
      </c>
      <c r="D23" s="191"/>
      <c r="E23" s="336">
        <v>10836.05</v>
      </c>
      <c r="F23" s="434"/>
      <c r="G23" s="171">
        <f t="shared" si="0"/>
        <v>3.2129071931904232</v>
      </c>
      <c r="H23" s="337" t="s">
        <v>166</v>
      </c>
      <c r="I23" s="778">
        <f>+I21-I22</f>
        <v>-19002.170000000042</v>
      </c>
    </row>
    <row r="24" spans="1:9" ht="18" customHeight="1">
      <c r="A24" s="339">
        <v>43497</v>
      </c>
      <c r="B24" s="189"/>
      <c r="C24" s="449">
        <f>2731.108+258.18+11.5</f>
        <v>3000.788</v>
      </c>
      <c r="D24" s="191"/>
      <c r="E24" s="336">
        <v>9389.7199999999993</v>
      </c>
      <c r="F24" s="434"/>
      <c r="G24" s="171">
        <f t="shared" si="0"/>
        <v>3.1290847604029342</v>
      </c>
      <c r="H24" s="337" t="s">
        <v>166</v>
      </c>
      <c r="I24" s="433"/>
    </row>
    <row r="25" spans="1:9" ht="18" customHeight="1">
      <c r="A25" s="339">
        <v>43525</v>
      </c>
      <c r="B25" s="189"/>
      <c r="C25" s="449">
        <f>3133.429+204.49+50.065</f>
        <v>3387.9839999999999</v>
      </c>
      <c r="D25" s="191"/>
      <c r="E25" s="336">
        <v>10679.87</v>
      </c>
      <c r="F25" s="434"/>
      <c r="G25" s="741">
        <f t="shared" si="0"/>
        <v>3.1522787592857586</v>
      </c>
      <c r="H25" s="337" t="s">
        <v>166</v>
      </c>
      <c r="I25" s="338"/>
    </row>
    <row r="26" spans="1:9" ht="18" customHeight="1">
      <c r="A26" s="339">
        <v>43556</v>
      </c>
      <c r="B26" s="189"/>
      <c r="C26" s="449">
        <f>3413.175+251.236+30.796</f>
        <v>3695.2069999999999</v>
      </c>
      <c r="D26" s="191"/>
      <c r="E26" s="336">
        <v>12092.51</v>
      </c>
      <c r="F26" s="434"/>
      <c r="G26" s="741">
        <f t="shared" si="0"/>
        <v>3.2724851408865594</v>
      </c>
      <c r="H26" s="337" t="s">
        <v>166</v>
      </c>
      <c r="I26" s="338"/>
    </row>
    <row r="27" spans="1:9" ht="18" customHeight="1">
      <c r="A27" s="339">
        <v>43586</v>
      </c>
      <c r="B27" s="189"/>
      <c r="C27" s="449">
        <f>3534.486+311.699+19.37+31.136</f>
        <v>3896.6909999999998</v>
      </c>
      <c r="D27" s="191"/>
      <c r="E27" s="336">
        <v>13071.04</v>
      </c>
      <c r="F27" s="434"/>
      <c r="G27" s="741">
        <f t="shared" si="0"/>
        <v>3.3543947929153228</v>
      </c>
      <c r="H27" s="337" t="s">
        <v>166</v>
      </c>
      <c r="I27" s="338"/>
    </row>
    <row r="28" spans="1:9" ht="18" customHeight="1">
      <c r="A28" s="339">
        <v>43617</v>
      </c>
      <c r="B28" s="189"/>
      <c r="C28" s="449">
        <f>3253.39+226.58+8.22</f>
        <v>3488.1899999999996</v>
      </c>
      <c r="D28" s="191"/>
      <c r="E28" s="336">
        <v>11408.88</v>
      </c>
      <c r="F28" s="434"/>
      <c r="G28" s="741">
        <f t="shared" si="0"/>
        <v>3.270716331392499</v>
      </c>
      <c r="H28" s="337" t="s">
        <v>166</v>
      </c>
      <c r="I28" s="338"/>
    </row>
    <row r="29" spans="1:9" ht="18" customHeight="1">
      <c r="A29" s="339">
        <v>43647</v>
      </c>
      <c r="B29" s="189"/>
      <c r="C29" s="449">
        <f>3654.061+183.96</f>
        <v>3838.0210000000002</v>
      </c>
      <c r="D29" s="191"/>
      <c r="E29" s="336">
        <v>12162.72</v>
      </c>
      <c r="F29" s="434"/>
      <c r="G29" s="741">
        <f t="shared" si="0"/>
        <v>3.1690081945877835</v>
      </c>
      <c r="H29" s="337" t="s">
        <v>166</v>
      </c>
      <c r="I29" s="338"/>
    </row>
    <row r="30" spans="1:9">
      <c r="A30" s="339">
        <v>43678</v>
      </c>
      <c r="B30" s="167"/>
      <c r="C30" s="191">
        <f>3661.055+115.21+327.702+89.917</f>
        <v>4193.884</v>
      </c>
      <c r="D30" s="191"/>
      <c r="E30" s="336">
        <v>13248.94</v>
      </c>
      <c r="F30" s="170"/>
      <c r="G30" s="171">
        <f t="shared" si="0"/>
        <v>3.1591097893980855</v>
      </c>
      <c r="H30" s="337" t="s">
        <v>166</v>
      </c>
      <c r="I30" s="332"/>
    </row>
    <row r="31" spans="1:9">
      <c r="A31" s="339">
        <v>43709</v>
      </c>
      <c r="B31" s="167"/>
      <c r="C31" s="191">
        <f>210.215+229.105+278.975+158.64+211.075+275.125+31.92+484.98+595.76+131.335+100.325+614.015+63.445+334.915+77.56+257.251+48.72</f>
        <v>4103.3609999999999</v>
      </c>
      <c r="D31" s="191"/>
      <c r="E31" s="336">
        <f>666.17+726.03+885.39+502.72+668.9+871.86+101.15+1536.89+1887.96+416.2+333.97+1945.74+201.05+1061.32+245.78+782.93+154.41</f>
        <v>12988.47</v>
      </c>
      <c r="F31" s="170"/>
      <c r="G31" s="171">
        <f t="shared" si="0"/>
        <v>3.1653247179568162</v>
      </c>
      <c r="H31" s="337"/>
      <c r="I31" s="332"/>
    </row>
    <row r="32" spans="1:9" ht="16.5" thickBot="1">
      <c r="C32" s="450">
        <f>SUM(C20:C31)</f>
        <v>43486.068999999996</v>
      </c>
      <c r="E32" s="173"/>
      <c r="F32" s="168"/>
      <c r="I32" s="334"/>
    </row>
    <row r="33" spans="1:12" ht="16.5" thickTop="1">
      <c r="A33" s="166" t="s">
        <v>891</v>
      </c>
      <c r="C33" s="775">
        <f>SUM(C11:C22)</f>
        <v>43306.14</v>
      </c>
      <c r="E33" s="173"/>
      <c r="F33" s="168"/>
      <c r="I33" s="334"/>
    </row>
    <row r="34" spans="1:12">
      <c r="A34" s="170" t="s">
        <v>167</v>
      </c>
      <c r="B34" s="170"/>
      <c r="C34" s="170"/>
      <c r="D34" s="434"/>
      <c r="E34" s="169">
        <f>+G34*C33</f>
        <v>143449.22897574242</v>
      </c>
      <c r="F34" s="170"/>
      <c r="G34" s="456">
        <f>AVERAGE(G20:G31)</f>
        <v>3.3124455094760794</v>
      </c>
      <c r="H34" s="239" t="s">
        <v>245</v>
      </c>
      <c r="I34" s="238"/>
      <c r="J34" s="237"/>
      <c r="K34" s="237"/>
      <c r="L34" s="237"/>
    </row>
    <row r="35" spans="1:12">
      <c r="A35" s="170" t="s">
        <v>228</v>
      </c>
      <c r="B35" s="170"/>
      <c r="C35" s="170"/>
      <c r="D35" s="434"/>
      <c r="E35" s="172">
        <f>-I23</f>
        <v>19002.170000000042</v>
      </c>
      <c r="F35" s="452"/>
      <c r="G35" s="170"/>
      <c r="H35" s="168"/>
      <c r="I35" s="238"/>
      <c r="J35" s="237"/>
      <c r="K35" s="241"/>
      <c r="L35" s="241"/>
    </row>
    <row r="36" spans="1:12">
      <c r="A36" s="167" t="s">
        <v>168</v>
      </c>
      <c r="B36" s="167"/>
      <c r="C36" s="167"/>
      <c r="D36" s="189"/>
      <c r="E36" s="169">
        <f>SUM(E34:E35)</f>
        <v>162451.39897574246</v>
      </c>
      <c r="F36" s="170"/>
      <c r="G36" s="170"/>
      <c r="H36" s="168"/>
      <c r="I36" s="238"/>
      <c r="J36" s="237"/>
      <c r="K36" s="237"/>
      <c r="L36" s="241"/>
    </row>
    <row r="37" spans="1:12">
      <c r="E37" s="173"/>
      <c r="F37" s="168"/>
      <c r="G37" s="168"/>
      <c r="H37" s="168"/>
      <c r="I37" s="238"/>
      <c r="J37" s="237"/>
      <c r="K37" s="237"/>
      <c r="L37" s="272"/>
    </row>
    <row r="38" spans="1:12">
      <c r="A38" s="167" t="s">
        <v>51</v>
      </c>
      <c r="B38" s="167"/>
      <c r="C38" s="167"/>
      <c r="D38" s="189"/>
      <c r="E38" s="172">
        <f>-Operations!C49</f>
        <v>-169941.77000000002</v>
      </c>
      <c r="F38" s="170"/>
      <c r="G38" s="170"/>
      <c r="H38" s="168"/>
      <c r="I38" s="238"/>
      <c r="J38" s="237"/>
      <c r="K38" s="237"/>
      <c r="L38" s="237"/>
    </row>
    <row r="39" spans="1:12">
      <c r="J39" s="242"/>
      <c r="K39" s="242"/>
      <c r="L39" s="273"/>
    </row>
    <row r="40" spans="1:12" ht="16.5" thickBot="1">
      <c r="A40" s="174" t="s">
        <v>169</v>
      </c>
      <c r="B40" s="174"/>
      <c r="C40" s="174"/>
      <c r="D40" s="192"/>
      <c r="E40" s="175">
        <f>+E36+E38</f>
        <v>-7490.3710242575617</v>
      </c>
      <c r="F40" s="167"/>
      <c r="G40" s="167"/>
      <c r="J40" s="237"/>
      <c r="K40" s="237"/>
      <c r="L40" s="237"/>
    </row>
    <row r="41" spans="1:12" ht="16.5" thickTop="1">
      <c r="A41" s="243"/>
      <c r="B41" s="244"/>
      <c r="C41" s="244"/>
      <c r="D41" s="245"/>
      <c r="E41" s="244"/>
      <c r="F41" s="244"/>
      <c r="G41" s="244"/>
      <c r="J41" s="237"/>
      <c r="K41" s="237"/>
      <c r="L41" s="237"/>
    </row>
    <row r="42" spans="1:12" s="236" customFormat="1">
      <c r="A42" s="244"/>
      <c r="B42" s="244"/>
      <c r="C42" s="246"/>
      <c r="D42" s="244"/>
      <c r="E42" s="246"/>
      <c r="F42" s="244"/>
      <c r="G42" s="247"/>
      <c r="J42" s="237"/>
      <c r="K42" s="237"/>
      <c r="L42" s="237"/>
    </row>
    <row r="43" spans="1:12" s="236" customFormat="1">
      <c r="A43" s="244"/>
      <c r="B43" s="244"/>
      <c r="C43" s="246"/>
      <c r="D43" s="244"/>
      <c r="E43" s="246"/>
      <c r="F43" s="244"/>
      <c r="G43" s="247"/>
      <c r="J43" s="237"/>
      <c r="K43" s="237"/>
      <c r="L43" s="237"/>
    </row>
    <row r="44" spans="1:12" s="236" customFormat="1">
      <c r="A44" s="244"/>
      <c r="B44" s="244"/>
      <c r="C44" s="246"/>
      <c r="D44" s="244"/>
      <c r="E44" s="246"/>
      <c r="F44" s="244"/>
      <c r="G44" s="247"/>
      <c r="I44" s="240"/>
      <c r="J44" s="237"/>
      <c r="K44" s="237"/>
      <c r="L44" s="237"/>
    </row>
    <row r="45" spans="1:12" s="236" customFormat="1">
      <c r="A45" s="244"/>
      <c r="B45" s="244"/>
      <c r="C45" s="244"/>
      <c r="D45" s="245"/>
      <c r="E45" s="244"/>
      <c r="F45" s="244"/>
      <c r="G45" s="244"/>
    </row>
    <row r="46" spans="1:12">
      <c r="J46" s="236"/>
      <c r="K46" s="236"/>
      <c r="L46" s="236"/>
    </row>
  </sheetData>
  <mergeCells count="6">
    <mergeCell ref="G8:H8"/>
    <mergeCell ref="G9:H9"/>
    <mergeCell ref="G10:H10"/>
    <mergeCell ref="A3:I3"/>
    <mergeCell ref="A1:I1"/>
    <mergeCell ref="A5:I5"/>
  </mergeCells>
  <printOptions horizontalCentered="1"/>
  <pageMargins left="0.7" right="0.7" top="0.75" bottom="0.75" header="0.3" footer="0.3"/>
  <pageSetup scale="7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28"/>
  <sheetViews>
    <sheetView topLeftCell="A7" zoomScaleNormal="100" workbookViewId="0">
      <selection activeCell="J18" sqref="J18"/>
    </sheetView>
  </sheetViews>
  <sheetFormatPr defaultRowHeight="24.95" customHeight="1"/>
  <cols>
    <col min="1" max="1" width="14.77734375" style="253" customWidth="1"/>
    <col min="2" max="2" width="9.109375" style="253" customWidth="1"/>
    <col min="3" max="3" width="12.109375" style="253" bestFit="1" customWidth="1"/>
    <col min="4" max="4" width="8.5546875" style="253" bestFit="1" customWidth="1"/>
    <col min="5" max="5" width="7" style="253" bestFit="1" customWidth="1"/>
    <col min="6" max="7" width="8.5546875" style="253" bestFit="1" customWidth="1"/>
    <col min="8" max="9" width="9" style="253" bestFit="1" customWidth="1"/>
    <col min="10" max="10" width="7.44140625" style="253" bestFit="1" customWidth="1"/>
    <col min="11" max="11" width="7.88671875" style="253" bestFit="1" customWidth="1"/>
    <col min="12" max="12" width="8.77734375" style="253" bestFit="1" customWidth="1"/>
    <col min="13" max="13" width="7.44140625" style="253" bestFit="1" customWidth="1"/>
    <col min="14" max="16384" width="8.88671875" style="253"/>
  </cols>
  <sheetData>
    <row r="1" spans="1:15" ht="24.95" customHeight="1">
      <c r="A1" s="1052" t="str">
        <f>'WP-7 - Fuel'!A1:G1</f>
        <v>Pullman Disposal Services, Inc.</v>
      </c>
      <c r="B1" s="1052"/>
      <c r="C1" s="1052"/>
      <c r="D1" s="1052"/>
      <c r="E1" s="1052"/>
      <c r="F1" s="1052"/>
      <c r="G1" s="1052"/>
      <c r="H1" s="1052"/>
    </row>
    <row r="2" spans="1:15" ht="5.0999999999999996" customHeight="1">
      <c r="A2" s="35"/>
      <c r="B2" s="36"/>
      <c r="C2" s="36"/>
      <c r="D2" s="36"/>
      <c r="E2" s="34"/>
      <c r="F2" s="36"/>
      <c r="G2" s="34"/>
      <c r="H2" s="270"/>
      <c r="I2" s="270"/>
      <c r="J2" s="270"/>
      <c r="K2" s="265"/>
      <c r="L2" s="265"/>
      <c r="M2" s="265"/>
    </row>
    <row r="3" spans="1:15" ht="24.95" customHeight="1">
      <c r="A3" s="1051" t="s">
        <v>271</v>
      </c>
      <c r="B3" s="1051"/>
      <c r="C3" s="1051"/>
      <c r="D3" s="1051"/>
      <c r="E3" s="1051"/>
      <c r="F3" s="1051"/>
      <c r="G3" s="1051"/>
      <c r="H3" s="1051"/>
      <c r="I3" s="266"/>
      <c r="J3" s="266"/>
      <c r="K3" s="266"/>
      <c r="L3" s="266"/>
      <c r="M3" s="266"/>
    </row>
    <row r="4" spans="1:15" ht="5.0999999999999996" customHeight="1">
      <c r="A4" s="39"/>
      <c r="B4" s="39"/>
      <c r="C4" s="39"/>
      <c r="D4" s="38"/>
      <c r="E4" s="39"/>
      <c r="F4" s="39"/>
      <c r="G4" s="39"/>
      <c r="H4" s="267"/>
      <c r="I4" s="267"/>
      <c r="J4" s="267"/>
      <c r="K4" s="267"/>
      <c r="L4" s="266"/>
      <c r="M4" s="266"/>
    </row>
    <row r="5" spans="1:15" ht="24.95" customHeight="1">
      <c r="A5" s="1053" t="str">
        <f>'WP-7 - Fuel'!$A$5</f>
        <v>In Support of Tariff 18 effective January 1, 2020</v>
      </c>
      <c r="B5" s="1053"/>
      <c r="C5" s="1053"/>
      <c r="D5" s="1053"/>
      <c r="E5" s="1053"/>
      <c r="F5" s="1053"/>
      <c r="G5" s="1053"/>
      <c r="H5" s="1053"/>
      <c r="I5" s="267"/>
      <c r="J5" s="267"/>
      <c r="K5" s="267"/>
      <c r="L5" s="266"/>
      <c r="M5" s="266"/>
    </row>
    <row r="6" spans="1:15" ht="20.100000000000001" customHeight="1">
      <c r="A6" s="1054"/>
      <c r="B6" s="1055" t="s">
        <v>837</v>
      </c>
      <c r="C6" s="1055"/>
      <c r="D6" s="266"/>
      <c r="E6" s="266"/>
      <c r="F6" s="266"/>
      <c r="G6" s="266"/>
      <c r="H6" s="269"/>
      <c r="I6" s="269"/>
      <c r="J6" s="269"/>
      <c r="K6" s="269"/>
      <c r="L6" s="269"/>
      <c r="M6" s="269"/>
      <c r="N6" s="261"/>
      <c r="O6" s="261"/>
    </row>
    <row r="7" spans="1:15" ht="20.100000000000001" customHeight="1">
      <c r="A7" s="1054"/>
      <c r="B7" s="1055"/>
      <c r="C7" s="1055"/>
      <c r="D7" s="267"/>
      <c r="E7" s="267"/>
      <c r="F7" s="267"/>
      <c r="G7" s="267"/>
      <c r="H7" s="269"/>
      <c r="I7" s="269"/>
      <c r="J7" s="269"/>
      <c r="K7" s="269"/>
      <c r="L7" s="269"/>
      <c r="M7" s="269"/>
      <c r="N7" s="261"/>
      <c r="O7" s="261"/>
    </row>
    <row r="8" spans="1:15" ht="24.95" customHeight="1">
      <c r="A8" s="454" t="s">
        <v>277</v>
      </c>
      <c r="B8" s="1061">
        <f>+'Sch 4 - 12 Months'!C39</f>
        <v>0</v>
      </c>
      <c r="C8" s="1061"/>
      <c r="D8" s="269"/>
      <c r="E8" s="269"/>
      <c r="F8" s="269"/>
      <c r="G8" s="269"/>
      <c r="H8" s="269"/>
      <c r="I8" s="269"/>
      <c r="J8" s="269"/>
      <c r="K8" s="269"/>
      <c r="L8" s="269"/>
      <c r="M8" s="269"/>
      <c r="N8" s="261"/>
      <c r="O8" s="261"/>
    </row>
    <row r="9" spans="1:15" ht="24.95" customHeight="1">
      <c r="A9" s="454" t="s">
        <v>278</v>
      </c>
      <c r="B9" s="1061">
        <f>+'Sch 4 - 12 Months'!D39</f>
        <v>0</v>
      </c>
      <c r="C9" s="1061"/>
      <c r="D9" s="269"/>
      <c r="E9" s="269"/>
      <c r="F9" s="269"/>
      <c r="G9" s="269"/>
      <c r="H9" s="269"/>
      <c r="I9" s="269"/>
      <c r="J9" s="269"/>
      <c r="K9" s="269"/>
      <c r="L9" s="269"/>
      <c r="M9" s="269"/>
      <c r="N9" s="261"/>
      <c r="O9" s="261"/>
    </row>
    <row r="10" spans="1:15" ht="24.95" customHeight="1">
      <c r="A10" s="454" t="s">
        <v>279</v>
      </c>
      <c r="B10" s="1061">
        <f>+'Sch 4 - 12 Months'!E39</f>
        <v>118.92</v>
      </c>
      <c r="C10" s="1061"/>
      <c r="D10" s="269"/>
      <c r="E10" s="269"/>
      <c r="F10" s="269"/>
      <c r="G10" s="269"/>
      <c r="H10" s="269"/>
      <c r="I10" s="269"/>
      <c r="J10" s="269"/>
      <c r="K10" s="269"/>
      <c r="L10" s="269"/>
      <c r="M10" s="269"/>
      <c r="N10" s="261"/>
      <c r="O10" s="261"/>
    </row>
    <row r="11" spans="1:15" ht="24.95" customHeight="1">
      <c r="A11" s="454" t="s">
        <v>274</v>
      </c>
      <c r="B11" s="1061">
        <f>+'Sch 4 - 12 Months'!F39</f>
        <v>0</v>
      </c>
      <c r="C11" s="1061"/>
      <c r="D11" s="269"/>
      <c r="E11" s="269"/>
      <c r="F11" s="269"/>
      <c r="G11" s="269"/>
      <c r="H11" s="269"/>
      <c r="I11" s="269"/>
      <c r="J11" s="269"/>
      <c r="K11" s="269"/>
      <c r="L11" s="269"/>
      <c r="M11" s="269"/>
      <c r="N11" s="261"/>
      <c r="O11" s="261"/>
    </row>
    <row r="12" spans="1:15" ht="24.95" customHeight="1">
      <c r="A12" s="454" t="s">
        <v>275</v>
      </c>
      <c r="B12" s="1061">
        <f>+'Sch 4 - 12 Months'!G39</f>
        <v>0</v>
      </c>
      <c r="C12" s="1061"/>
      <c r="D12" s="269"/>
      <c r="E12" s="269"/>
      <c r="F12" s="269"/>
      <c r="G12" s="269"/>
      <c r="H12" s="269"/>
      <c r="I12" s="269"/>
      <c r="J12" s="269"/>
      <c r="K12" s="269"/>
      <c r="L12" s="269"/>
      <c r="M12" s="269"/>
      <c r="N12" s="261"/>
      <c r="O12" s="261"/>
    </row>
    <row r="13" spans="1:15" ht="24.95" customHeight="1">
      <c r="A13" s="454" t="s">
        <v>276</v>
      </c>
      <c r="B13" s="1061">
        <f>+'Sch 4 - 12 Months'!H39</f>
        <v>212.36</v>
      </c>
      <c r="C13" s="1061"/>
      <c r="D13" s="269"/>
      <c r="E13" s="269"/>
      <c r="F13" s="269"/>
      <c r="G13" s="269"/>
      <c r="H13" s="269"/>
      <c r="I13" s="269"/>
      <c r="J13" s="269"/>
      <c r="K13" s="269"/>
      <c r="L13" s="269"/>
      <c r="M13" s="269"/>
      <c r="N13" s="261"/>
      <c r="O13" s="261"/>
    </row>
    <row r="14" spans="1:15" ht="24.95" customHeight="1">
      <c r="A14" s="454" t="s">
        <v>838</v>
      </c>
      <c r="B14" s="1061">
        <f>+'Sch 4 - 12 Months'!I39</f>
        <v>0</v>
      </c>
      <c r="C14" s="1061"/>
      <c r="D14" s="269"/>
      <c r="E14" s="269"/>
      <c r="F14" s="269"/>
      <c r="G14" s="269"/>
      <c r="H14" s="269"/>
      <c r="I14" s="269"/>
      <c r="J14" s="269"/>
      <c r="K14" s="269"/>
      <c r="L14" s="269"/>
      <c r="M14" s="269"/>
      <c r="N14" s="261"/>
      <c r="O14" s="261"/>
    </row>
    <row r="15" spans="1:15" ht="24.95" customHeight="1">
      <c r="A15" s="454" t="s">
        <v>839</v>
      </c>
      <c r="B15" s="1061">
        <f>+'Sch 4 - 12 Months'!J39</f>
        <v>0</v>
      </c>
      <c r="C15" s="1061"/>
      <c r="D15" s="269"/>
      <c r="E15" s="269"/>
      <c r="F15" s="269"/>
      <c r="G15" s="269"/>
      <c r="H15" s="269"/>
      <c r="I15" s="269"/>
      <c r="J15" s="269"/>
      <c r="K15" s="269"/>
      <c r="L15" s="269"/>
      <c r="M15" s="269"/>
      <c r="N15" s="261"/>
      <c r="O15" s="261"/>
    </row>
    <row r="16" spans="1:15" ht="24.95" customHeight="1">
      <c r="A16" s="454" t="s">
        <v>840</v>
      </c>
      <c r="B16" s="1061">
        <f>+'Sch 4 - 12 Months'!K39</f>
        <v>1389.82</v>
      </c>
      <c r="C16" s="1061"/>
      <c r="D16" s="269"/>
      <c r="E16" s="269"/>
      <c r="F16" s="269"/>
      <c r="G16" s="269"/>
      <c r="H16" s="268"/>
      <c r="I16" s="268"/>
      <c r="J16" s="268"/>
      <c r="K16" s="268"/>
      <c r="L16" s="268"/>
      <c r="M16" s="268"/>
      <c r="N16" s="261"/>
      <c r="O16" s="261"/>
    </row>
    <row r="17" spans="1:15" ht="24.95" customHeight="1">
      <c r="A17" s="454" t="s">
        <v>841</v>
      </c>
      <c r="B17" s="1061">
        <f>+'Sch 4 - 12 Months'!L39</f>
        <v>0</v>
      </c>
      <c r="C17" s="1061"/>
      <c r="D17" s="269"/>
      <c r="E17" s="269"/>
      <c r="F17" s="269"/>
      <c r="G17" s="269"/>
      <c r="H17" s="271"/>
      <c r="I17" s="271"/>
      <c r="J17" s="271"/>
      <c r="K17" s="268"/>
      <c r="L17" s="268"/>
      <c r="M17" s="261"/>
      <c r="N17" s="261"/>
      <c r="O17" s="261"/>
    </row>
    <row r="18" spans="1:15" ht="24.95" customHeight="1">
      <c r="A18" s="454" t="s">
        <v>842</v>
      </c>
      <c r="B18" s="1061">
        <f>+'Sch 4 - 12 Months'!M39</f>
        <v>0</v>
      </c>
      <c r="C18" s="1061"/>
      <c r="D18" s="269"/>
      <c r="E18" s="269"/>
      <c r="F18" s="269"/>
      <c r="G18" s="269"/>
      <c r="H18" s="261"/>
      <c r="I18" s="261"/>
      <c r="J18" s="261"/>
      <c r="K18" s="261"/>
      <c r="L18" s="261"/>
      <c r="M18" s="261"/>
      <c r="N18" s="261"/>
      <c r="O18" s="261"/>
    </row>
    <row r="19" spans="1:15" ht="24.95" customHeight="1">
      <c r="A19" s="454" t="s">
        <v>843</v>
      </c>
      <c r="B19" s="1062">
        <f>+'Sch 4 - 12 Months'!N39</f>
        <v>4160.53</v>
      </c>
      <c r="C19" s="1062"/>
      <c r="D19" s="269"/>
      <c r="E19" s="269"/>
      <c r="F19" s="269"/>
      <c r="G19" s="269"/>
      <c r="H19" s="261"/>
      <c r="I19" s="261"/>
      <c r="J19" s="261"/>
      <c r="K19" s="261"/>
      <c r="L19" s="261"/>
      <c r="M19" s="261"/>
      <c r="N19" s="261"/>
      <c r="O19" s="261"/>
    </row>
    <row r="20" spans="1:15" ht="5.0999999999999996" customHeight="1">
      <c r="A20" s="265"/>
      <c r="B20" s="1060"/>
      <c r="C20" s="1060"/>
      <c r="D20" s="268"/>
      <c r="E20" s="268"/>
      <c r="F20" s="268"/>
      <c r="G20" s="268"/>
      <c r="H20" s="261"/>
      <c r="I20" s="261"/>
      <c r="J20" s="261"/>
      <c r="K20" s="261"/>
      <c r="L20" s="261"/>
      <c r="M20" s="261"/>
      <c r="N20" s="261"/>
      <c r="O20" s="261"/>
    </row>
    <row r="21" spans="1:15" ht="25.5" customHeight="1">
      <c r="A21" s="253" t="s">
        <v>0</v>
      </c>
      <c r="B21" s="1058">
        <f>SUM(B8:C19)</f>
        <v>5881.6299999999992</v>
      </c>
      <c r="C21" s="1058"/>
      <c r="D21" s="464" t="s">
        <v>846</v>
      </c>
      <c r="E21" s="401"/>
      <c r="F21" s="401"/>
      <c r="G21" s="401"/>
    </row>
    <row r="22" spans="1:15" ht="59.25" customHeight="1">
      <c r="A22" s="762" t="s">
        <v>879</v>
      </c>
      <c r="B22" s="758"/>
      <c r="C22" s="758">
        <v>758.02</v>
      </c>
      <c r="D22" s="464"/>
      <c r="E22" s="401"/>
      <c r="F22" s="401"/>
      <c r="G22" s="401"/>
    </row>
    <row r="23" spans="1:15" ht="63" customHeight="1">
      <c r="A23" s="762" t="s">
        <v>880</v>
      </c>
      <c r="B23" s="758"/>
      <c r="C23" s="758">
        <v>-900.46</v>
      </c>
      <c r="D23" s="464"/>
      <c r="E23" s="401"/>
      <c r="F23" s="401"/>
      <c r="G23" s="401"/>
    </row>
    <row r="24" spans="1:15" ht="48" customHeight="1">
      <c r="A24" s="763" t="s">
        <v>844</v>
      </c>
      <c r="B24" s="1059">
        <f>+C22+C23</f>
        <v>-142.44000000000005</v>
      </c>
      <c r="C24" s="1059"/>
      <c r="D24" s="1063"/>
      <c r="E24" s="1063"/>
      <c r="F24" s="1063"/>
      <c r="G24" s="261"/>
    </row>
    <row r="25" spans="1:15" ht="24.95" customHeight="1" thickBot="1">
      <c r="A25" s="253" t="s">
        <v>845</v>
      </c>
      <c r="B25" s="1056">
        <f>+B21+B24</f>
        <v>5739.1899999999987</v>
      </c>
      <c r="C25" s="1057"/>
      <c r="D25" s="755"/>
    </row>
    <row r="26" spans="1:15" ht="24.95" customHeight="1" thickTop="1"/>
    <row r="27" spans="1:15" ht="24.95" customHeight="1">
      <c r="A27" s="253" t="s">
        <v>309</v>
      </c>
      <c r="C27" s="258">
        <f>+Operations!C27</f>
        <v>4997116.0000000009</v>
      </c>
    </row>
    <row r="28" spans="1:15" ht="24.95" customHeight="1">
      <c r="A28" s="253" t="s">
        <v>310</v>
      </c>
      <c r="C28" s="492">
        <f>+B25/C27</f>
        <v>1.1485004550624797E-3</v>
      </c>
    </row>
  </sheetData>
  <mergeCells count="22">
    <mergeCell ref="D24:F24"/>
    <mergeCell ref="B15:C15"/>
    <mergeCell ref="B16:C16"/>
    <mergeCell ref="B17:C17"/>
    <mergeCell ref="A5:H5"/>
    <mergeCell ref="B11:C11"/>
    <mergeCell ref="A3:H3"/>
    <mergeCell ref="A1:H1"/>
    <mergeCell ref="A6:A7"/>
    <mergeCell ref="B6:C7"/>
    <mergeCell ref="B25:C25"/>
    <mergeCell ref="B21:C21"/>
    <mergeCell ref="B24:C24"/>
    <mergeCell ref="B20:C20"/>
    <mergeCell ref="B8:C8"/>
    <mergeCell ref="B9:C9"/>
    <mergeCell ref="B10:C10"/>
    <mergeCell ref="B13:C13"/>
    <mergeCell ref="B14:C14"/>
    <mergeCell ref="B19:C19"/>
    <mergeCell ref="B18:C18"/>
    <mergeCell ref="B12:C12"/>
  </mergeCells>
  <printOptions horizontalCentered="1"/>
  <pageMargins left="0.7" right="0.7" top="0.75" bottom="0.75" header="0.3" footer="0.3"/>
  <pageSetup scale="91"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4"/>
  <sheetViews>
    <sheetView zoomScale="70" zoomScaleNormal="70" zoomScaleSheetLayoutView="55" workbookViewId="0">
      <selection activeCell="J37" sqref="J37"/>
    </sheetView>
  </sheetViews>
  <sheetFormatPr defaultRowHeight="15.75"/>
  <cols>
    <col min="1" max="1" width="32.109375" style="253" customWidth="1"/>
    <col min="2" max="2" width="10.77734375" style="253" customWidth="1"/>
    <col min="3" max="3" width="12.33203125" style="253" bestFit="1" customWidth="1"/>
    <col min="4" max="13" width="10.77734375" style="253" customWidth="1"/>
    <col min="14" max="14" width="1.77734375" style="253" customWidth="1"/>
    <col min="15" max="15" width="12.33203125" style="253" bestFit="1" customWidth="1"/>
    <col min="16" max="16" width="12.33203125" style="265" customWidth="1"/>
    <col min="17" max="17" width="12.33203125" style="265" bestFit="1" customWidth="1"/>
    <col min="18" max="18" width="1.77734375" style="253" customWidth="1"/>
    <col min="19" max="16384" width="8.88671875" style="253"/>
  </cols>
  <sheetData>
    <row r="1" spans="1:17">
      <c r="A1" s="1052" t="str">
        <f>+'WP-8 Bad Debts'!A1:H1</f>
        <v>Pullman Disposal Services, Inc.</v>
      </c>
      <c r="B1" s="1052"/>
      <c r="C1" s="1052"/>
      <c r="D1" s="1052"/>
      <c r="E1" s="1052"/>
      <c r="F1" s="1052"/>
      <c r="G1" s="1052"/>
      <c r="H1" s="764"/>
    </row>
    <row r="2" spans="1:17" ht="18" customHeight="1">
      <c r="A2" s="35"/>
      <c r="B2" s="36"/>
      <c r="C2" s="36"/>
      <c r="D2" s="36"/>
      <c r="E2" s="34"/>
      <c r="F2" s="36"/>
      <c r="G2" s="34"/>
      <c r="H2" s="270"/>
      <c r="I2" s="839"/>
      <c r="J2" s="270"/>
      <c r="K2" s="265"/>
      <c r="L2" s="265"/>
      <c r="M2" s="265"/>
    </row>
    <row r="3" spans="1:17">
      <c r="A3" s="1051" t="s">
        <v>272</v>
      </c>
      <c r="B3" s="1051"/>
      <c r="C3" s="1051"/>
      <c r="D3" s="1051"/>
      <c r="E3" s="1051"/>
      <c r="F3" s="1051"/>
      <c r="G3" s="1051"/>
      <c r="H3" s="266"/>
      <c r="I3" s="445"/>
      <c r="J3" s="445"/>
      <c r="K3" s="445"/>
      <c r="L3" s="445"/>
      <c r="M3" s="445"/>
      <c r="N3" s="445"/>
      <c r="O3" s="445"/>
      <c r="P3" s="445"/>
      <c r="Q3" s="445"/>
    </row>
    <row r="4" spans="1:17">
      <c r="A4" s="39"/>
      <c r="B4" s="39"/>
      <c r="C4" s="39"/>
      <c r="D4" s="38"/>
      <c r="E4" s="39"/>
      <c r="F4" s="39"/>
      <c r="G4" s="39"/>
      <c r="H4" s="267"/>
      <c r="I4" s="445"/>
      <c r="J4" s="445"/>
      <c r="K4" s="445"/>
      <c r="L4" s="445"/>
      <c r="M4" s="445"/>
      <c r="N4" s="445"/>
      <c r="O4" s="445"/>
      <c r="P4" s="445"/>
      <c r="Q4" s="445"/>
    </row>
    <row r="5" spans="1:17">
      <c r="A5" s="1053" t="str">
        <f>+'WP-8 Bad Debts'!A5:H5</f>
        <v>In Support of Tariff 18 effective January 1, 2020</v>
      </c>
      <c r="B5" s="1053"/>
      <c r="C5" s="1053"/>
      <c r="D5" s="1053"/>
      <c r="E5" s="1053"/>
      <c r="F5" s="1053"/>
      <c r="G5" s="1053"/>
      <c r="H5" s="267"/>
      <c r="I5" s="267"/>
      <c r="J5" s="267"/>
      <c r="K5" s="267"/>
      <c r="L5" s="266"/>
      <c r="M5" s="266"/>
    </row>
    <row r="6" spans="1:17">
      <c r="A6" s="400"/>
      <c r="B6" s="400"/>
      <c r="C6" s="400"/>
      <c r="D6" s="400"/>
      <c r="E6" s="400"/>
      <c r="F6" s="400"/>
      <c r="G6" s="400"/>
      <c r="H6" s="267"/>
      <c r="I6" s="267"/>
      <c r="J6" s="267"/>
      <c r="K6" s="267"/>
      <c r="L6" s="266"/>
      <c r="M6" s="266"/>
    </row>
    <row r="7" spans="1:17" customFormat="1">
      <c r="A7" s="253" t="s">
        <v>824</v>
      </c>
      <c r="B7" s="253"/>
      <c r="C7" s="253"/>
      <c r="D7" s="253"/>
      <c r="E7" s="253"/>
      <c r="F7" s="253"/>
      <c r="G7" s="253"/>
      <c r="H7" s="253"/>
      <c r="I7" s="253"/>
      <c r="J7" s="253"/>
      <c r="K7" s="253"/>
      <c r="L7" s="253"/>
      <c r="M7" s="253"/>
      <c r="N7" s="253"/>
      <c r="O7" s="253"/>
      <c r="P7" s="265"/>
      <c r="Q7" s="265"/>
    </row>
    <row r="8" spans="1:17" customFormat="1">
      <c r="A8" s="253"/>
      <c r="B8" s="253"/>
      <c r="C8" s="253"/>
      <c r="D8" s="253"/>
      <c r="E8" s="261"/>
      <c r="F8" s="261"/>
      <c r="G8" s="253"/>
      <c r="H8" s="253"/>
      <c r="I8" s="253"/>
      <c r="J8" s="253"/>
      <c r="K8" s="253"/>
      <c r="L8" s="253"/>
      <c r="M8" s="253"/>
      <c r="N8" s="253"/>
      <c r="O8" s="253"/>
      <c r="P8" s="265"/>
      <c r="Q8" s="265"/>
    </row>
    <row r="9" spans="1:17" customFormat="1">
      <c r="A9" s="253"/>
      <c r="B9" s="254">
        <v>2018</v>
      </c>
      <c r="C9" s="254">
        <v>2018</v>
      </c>
      <c r="D9" s="254">
        <v>2018</v>
      </c>
      <c r="E9" s="254">
        <v>2018</v>
      </c>
      <c r="F9" s="254">
        <v>2018</v>
      </c>
      <c r="G9" s="254">
        <v>2018</v>
      </c>
      <c r="H9" s="254">
        <v>2018</v>
      </c>
      <c r="I9" s="254">
        <v>2018</v>
      </c>
      <c r="J9" s="254">
        <v>2018</v>
      </c>
      <c r="K9" s="254">
        <v>2018</v>
      </c>
      <c r="L9" s="254">
        <v>2018</v>
      </c>
      <c r="M9" s="254">
        <v>2018</v>
      </c>
      <c r="N9" s="253"/>
      <c r="O9" s="253"/>
      <c r="P9" s="265"/>
      <c r="Q9" s="786"/>
    </row>
    <row r="10" spans="1:17" customFormat="1">
      <c r="A10" s="255"/>
      <c r="B10" s="256" t="s">
        <v>83</v>
      </c>
      <c r="C10" s="256" t="s">
        <v>84</v>
      </c>
      <c r="D10" s="256" t="s">
        <v>85</v>
      </c>
      <c r="E10" s="256" t="s">
        <v>86</v>
      </c>
      <c r="F10" s="256" t="s">
        <v>87</v>
      </c>
      <c r="G10" s="256" t="s">
        <v>88</v>
      </c>
      <c r="H10" s="256" t="s">
        <v>89</v>
      </c>
      <c r="I10" s="256" t="s">
        <v>90</v>
      </c>
      <c r="J10" s="256" t="s">
        <v>82</v>
      </c>
      <c r="K10" s="256" t="s">
        <v>81</v>
      </c>
      <c r="L10" s="256" t="s">
        <v>80</v>
      </c>
      <c r="M10" s="256" t="s">
        <v>79</v>
      </c>
      <c r="N10" s="253"/>
      <c r="O10" s="256" t="s">
        <v>6</v>
      </c>
      <c r="P10" s="267"/>
      <c r="Q10" s="267"/>
    </row>
    <row r="11" spans="1:17" customFormat="1">
      <c r="A11" s="253"/>
      <c r="B11" s="253"/>
      <c r="C11" s="253"/>
      <c r="D11" s="253"/>
      <c r="E11" s="253"/>
      <c r="F11" s="253"/>
      <c r="G11" s="253"/>
      <c r="H11" s="253"/>
      <c r="I11" s="253"/>
      <c r="J11" s="253"/>
      <c r="K11" s="253"/>
      <c r="L11" s="253"/>
      <c r="M11" s="253"/>
      <c r="N11" s="253"/>
      <c r="O11" s="253"/>
      <c r="P11" s="265">
        <v>106</v>
      </c>
      <c r="Q11" s="265" t="s">
        <v>32</v>
      </c>
    </row>
    <row r="12" spans="1:17" customFormat="1">
      <c r="A12" s="257" t="s">
        <v>259</v>
      </c>
      <c r="B12" s="785">
        <f>2561200/2000</f>
        <v>1280.5999999999999</v>
      </c>
      <c r="C12" s="785">
        <f>2137380/2000</f>
        <v>1068.69</v>
      </c>
      <c r="D12" s="785">
        <f>2702400/2000</f>
        <v>1351.2</v>
      </c>
      <c r="E12" s="785">
        <f>2965568/2000</f>
        <v>1482.7840000000001</v>
      </c>
      <c r="F12" s="785">
        <f>3190672/2000</f>
        <v>1595.336</v>
      </c>
      <c r="G12" s="785">
        <f>2492260/2000</f>
        <v>1246.1300000000001</v>
      </c>
      <c r="H12" s="785">
        <f>2419140/2000</f>
        <v>1209.57</v>
      </c>
      <c r="I12" s="785">
        <f>2978518/2000</f>
        <v>1489.259</v>
      </c>
      <c r="J12" s="785">
        <f>2358600/2000</f>
        <v>1179.3</v>
      </c>
      <c r="K12" s="785">
        <f>2600920/2000</f>
        <v>1300.46</v>
      </c>
      <c r="L12" s="785">
        <f>2528900/2000</f>
        <v>1264.45</v>
      </c>
      <c r="M12" s="785">
        <f>2274990/2000</f>
        <v>1137.4949999999999</v>
      </c>
      <c r="N12" s="785"/>
      <c r="O12" s="785">
        <f>SUM(B12:M12)</f>
        <v>15605.273999999998</v>
      </c>
      <c r="P12" s="786">
        <f>+P11*O12</f>
        <v>1654159.0439999998</v>
      </c>
      <c r="Q12" s="766" t="s">
        <v>908</v>
      </c>
    </row>
    <row r="13" spans="1:17" customFormat="1">
      <c r="A13" s="257" t="s">
        <v>319</v>
      </c>
      <c r="B13" s="785">
        <v>133152.29</v>
      </c>
      <c r="C13" s="785">
        <v>108277.64</v>
      </c>
      <c r="D13" s="785">
        <v>129752.98</v>
      </c>
      <c r="E13" s="785">
        <v>138930.75</v>
      </c>
      <c r="F13" s="785">
        <v>155758.48000000001</v>
      </c>
      <c r="G13" s="785">
        <v>124109.04</v>
      </c>
      <c r="H13" s="785">
        <v>122893.22</v>
      </c>
      <c r="I13" s="785">
        <v>150421.31</v>
      </c>
      <c r="J13" s="785">
        <v>118263.97</v>
      </c>
      <c r="K13" s="785">
        <v>131143.44</v>
      </c>
      <c r="L13" s="785">
        <v>129051.19</v>
      </c>
      <c r="M13" s="785">
        <v>115939.01</v>
      </c>
      <c r="N13" s="785"/>
      <c r="O13" s="785">
        <f>SUM(B13:M13)</f>
        <v>1557693.3199999998</v>
      </c>
      <c r="P13" s="766">
        <f>+'Sch 4 - 12 Months'!O51-8428.19</f>
        <v>1557693.32</v>
      </c>
      <c r="Q13" s="265" t="s">
        <v>909</v>
      </c>
    </row>
    <row r="14" spans="1:17" customFormat="1">
      <c r="A14" s="806" t="s">
        <v>948</v>
      </c>
      <c r="B14" s="265"/>
      <c r="C14" s="265"/>
      <c r="D14" s="265"/>
      <c r="E14" s="807"/>
      <c r="F14" s="807"/>
      <c r="G14" s="807"/>
      <c r="H14" s="807"/>
      <c r="I14" s="807"/>
      <c r="J14" s="807"/>
      <c r="K14" s="807"/>
      <c r="L14" s="807"/>
      <c r="M14" s="807"/>
      <c r="N14" s="265"/>
      <c r="O14" s="766">
        <f>+'IS-PBC'!P34</f>
        <v>349662</v>
      </c>
      <c r="P14" s="766"/>
      <c r="Q14" s="265"/>
    </row>
    <row r="15" spans="1:17" customFormat="1">
      <c r="A15" s="808" t="s">
        <v>949</v>
      </c>
      <c r="B15" s="809"/>
      <c r="C15" s="809"/>
      <c r="D15" s="809"/>
      <c r="E15" s="809"/>
      <c r="F15" s="810"/>
      <c r="G15" s="810"/>
      <c r="H15" s="810"/>
      <c r="I15" s="810"/>
      <c r="J15" s="810"/>
      <c r="K15" s="810"/>
      <c r="L15" s="810"/>
      <c r="M15" s="810"/>
      <c r="N15" s="265"/>
      <c r="O15" s="811">
        <f>+O13-O14</f>
        <v>1208031.3199999998</v>
      </c>
      <c r="P15" s="767"/>
      <c r="Q15" s="767"/>
    </row>
    <row r="16" spans="1:17" s="779" customFormat="1" ht="15"/>
    <row r="17" spans="1:17" s="779" customFormat="1" ht="15"/>
    <row r="18" spans="1:17" customFormat="1">
      <c r="A18" s="257" t="s">
        <v>259</v>
      </c>
      <c r="B18" s="785">
        <f>2561200/2000</f>
        <v>1280.5999999999999</v>
      </c>
      <c r="C18" s="785">
        <f>2137380/2000</f>
        <v>1068.69</v>
      </c>
      <c r="D18" s="785">
        <f>2702400/2000</f>
        <v>1351.2</v>
      </c>
      <c r="E18" s="785">
        <f>2965568/2000</f>
        <v>1482.7840000000001</v>
      </c>
      <c r="F18" s="785">
        <f>3190672/2000</f>
        <v>1595.336</v>
      </c>
      <c r="G18" s="785">
        <f>2492260/2000</f>
        <v>1246.1300000000001</v>
      </c>
      <c r="H18" s="785">
        <f>2419140/2000</f>
        <v>1209.57</v>
      </c>
      <c r="I18" s="785">
        <f>2978518/2000</f>
        <v>1489.259</v>
      </c>
      <c r="J18" s="785">
        <f>2358600/2000</f>
        <v>1179.3</v>
      </c>
      <c r="K18" s="785">
        <f>2600920/2000</f>
        <v>1300.46</v>
      </c>
      <c r="L18" s="785">
        <f>2528900/2000</f>
        <v>1264.45</v>
      </c>
      <c r="M18" s="785">
        <f>2274990/2000</f>
        <v>1137.4949999999999</v>
      </c>
      <c r="N18" s="785"/>
      <c r="O18" s="785">
        <f>SUM(B18:M18)</f>
        <v>15605.273999999998</v>
      </c>
      <c r="P18" s="766"/>
      <c r="Q18" s="766"/>
    </row>
    <row r="19" spans="1:17" s="779" customFormat="1">
      <c r="A19" s="806" t="s">
        <v>950</v>
      </c>
      <c r="B19" s="812"/>
      <c r="C19" s="812"/>
      <c r="D19" s="812"/>
      <c r="E19" s="812"/>
      <c r="F19" s="812"/>
      <c r="G19" s="812"/>
      <c r="H19" s="812"/>
      <c r="I19" s="812"/>
      <c r="J19" s="812"/>
      <c r="K19" s="812"/>
      <c r="L19" s="812"/>
      <c r="M19" s="812"/>
      <c r="O19" s="766">
        <f>SUM(B19:M19)</f>
        <v>0</v>
      </c>
      <c r="P19" s="766"/>
      <c r="Q19" s="766"/>
    </row>
    <row r="20" spans="1:17" s="779" customFormat="1">
      <c r="A20" s="806" t="s">
        <v>249</v>
      </c>
      <c r="B20" s="812"/>
      <c r="C20" s="812"/>
      <c r="D20" s="812"/>
      <c r="E20" s="812"/>
      <c r="F20" s="812"/>
      <c r="G20" s="812"/>
      <c r="H20" s="812"/>
      <c r="I20" s="812"/>
      <c r="J20" s="812"/>
      <c r="K20" s="812"/>
      <c r="L20" s="812"/>
      <c r="M20" s="812"/>
      <c r="O20" s="766">
        <f>+O14/P11</f>
        <v>3298.6981132075471</v>
      </c>
      <c r="P20" s="766"/>
      <c r="Q20" s="766"/>
    </row>
    <row r="21" spans="1:17" s="779" customFormat="1">
      <c r="A21" s="806" t="s">
        <v>951</v>
      </c>
      <c r="B21" s="812"/>
      <c r="C21" s="812"/>
      <c r="D21" s="812"/>
      <c r="E21" s="812"/>
      <c r="F21" s="812"/>
      <c r="G21" s="812"/>
      <c r="H21" s="812"/>
      <c r="I21" s="812"/>
      <c r="J21" s="812"/>
      <c r="K21" s="812"/>
      <c r="L21" s="812"/>
      <c r="M21" s="812"/>
      <c r="O21" s="766"/>
      <c r="P21" s="766"/>
      <c r="Q21" s="766"/>
    </row>
    <row r="22" spans="1:17" s="779" customFormat="1" ht="15">
      <c r="A22" s="813"/>
    </row>
    <row r="23" spans="1:17" s="265" customFormat="1">
      <c r="A23" s="265" t="s">
        <v>302</v>
      </c>
      <c r="D23" s="814"/>
      <c r="E23" s="814"/>
    </row>
    <row r="24" spans="1:17" s="265" customFormat="1">
      <c r="A24" s="815">
        <v>106</v>
      </c>
      <c r="B24" s="265" t="s">
        <v>189</v>
      </c>
      <c r="E24" s="814"/>
    </row>
    <row r="25" spans="1:17" s="265" customFormat="1">
      <c r="A25" s="815">
        <v>110</v>
      </c>
      <c r="B25" s="265" t="s">
        <v>952</v>
      </c>
      <c r="E25" s="814"/>
      <c r="F25" s="816"/>
    </row>
    <row r="26" spans="1:17" s="265" customFormat="1">
      <c r="A26" s="268">
        <f>A25-A24</f>
        <v>4</v>
      </c>
      <c r="B26" s="265" t="s">
        <v>4</v>
      </c>
      <c r="E26" s="814"/>
    </row>
    <row r="27" spans="1:17" s="265" customFormat="1">
      <c r="A27" s="817"/>
      <c r="C27" s="814"/>
      <c r="E27" s="814"/>
    </row>
    <row r="28" spans="1:17" s="265" customFormat="1">
      <c r="A28" s="818">
        <f>A26/A24</f>
        <v>3.7735849056603772E-2</v>
      </c>
      <c r="B28" s="265" t="s">
        <v>246</v>
      </c>
      <c r="E28" s="816"/>
    </row>
    <row r="29" spans="1:17" s="265" customFormat="1">
      <c r="A29" s="819"/>
      <c r="B29" s="266"/>
      <c r="C29" s="266"/>
      <c r="D29" s="266"/>
      <c r="E29" s="266"/>
      <c r="F29" s="266"/>
      <c r="G29" s="266"/>
      <c r="H29" s="266"/>
      <c r="I29" s="266"/>
      <c r="J29" s="266"/>
      <c r="K29" s="266"/>
      <c r="L29" s="266"/>
      <c r="M29" s="266"/>
    </row>
    <row r="30" spans="1:17" s="779" customFormat="1" ht="16.5" thickBot="1">
      <c r="A30" s="820" t="s">
        <v>49</v>
      </c>
      <c r="B30" s="265"/>
      <c r="C30" s="265"/>
      <c r="D30" s="265"/>
      <c r="E30" s="265"/>
    </row>
    <row r="31" spans="1:17" s="265" customFormat="1">
      <c r="A31" s="821"/>
      <c r="B31" s="822" t="s">
        <v>953</v>
      </c>
      <c r="C31" s="823">
        <v>124367.2</v>
      </c>
      <c r="D31" s="824"/>
      <c r="E31" s="825"/>
      <c r="G31" s="265">
        <f>49.78*1.025</f>
        <v>51.024499999999996</v>
      </c>
    </row>
    <row r="32" spans="1:17" s="265" customFormat="1">
      <c r="A32" s="826"/>
      <c r="B32" s="827" t="s">
        <v>954</v>
      </c>
      <c r="C32" s="840">
        <v>115939.01</v>
      </c>
      <c r="D32" s="266"/>
      <c r="E32" s="828"/>
    </row>
    <row r="33" spans="1:18" s="265" customFormat="1">
      <c r="A33" s="826"/>
      <c r="B33" s="827" t="s">
        <v>955</v>
      </c>
      <c r="C33" s="269">
        <f>+C31-C32</f>
        <v>8428.1900000000023</v>
      </c>
      <c r="D33" s="266"/>
      <c r="E33" s="828"/>
    </row>
    <row r="34" spans="1:18" s="265" customFormat="1">
      <c r="A34" s="826"/>
      <c r="B34" s="266"/>
      <c r="C34" s="266"/>
      <c r="D34" s="266"/>
      <c r="E34" s="828"/>
    </row>
    <row r="35" spans="1:18" s="265" customFormat="1" ht="16.5" thickBot="1">
      <c r="A35" s="829"/>
      <c r="B35" s="830"/>
      <c r="C35" s="830"/>
      <c r="D35" s="830"/>
      <c r="E35" s="831"/>
    </row>
    <row r="36" spans="1:18" s="265" customFormat="1"/>
    <row r="37" spans="1:18" s="265" customFormat="1" ht="16.5" thickBot="1">
      <c r="A37" s="820" t="s">
        <v>250</v>
      </c>
      <c r="B37" s="814"/>
      <c r="C37" s="814"/>
      <c r="D37" s="814"/>
      <c r="E37" s="814"/>
    </row>
    <row r="38" spans="1:18" s="265" customFormat="1">
      <c r="A38" s="821"/>
      <c r="B38" s="824"/>
      <c r="C38" s="832"/>
      <c r="D38" s="824"/>
      <c r="E38" s="825"/>
    </row>
    <row r="39" spans="1:18" s="265" customFormat="1">
      <c r="A39" s="826"/>
      <c r="B39" s="827" t="s">
        <v>319</v>
      </c>
      <c r="C39" s="269">
        <f>+O15</f>
        <v>1208031.3199999998</v>
      </c>
      <c r="D39" s="269"/>
      <c r="E39" s="828"/>
    </row>
    <row r="40" spans="1:18" s="265" customFormat="1">
      <c r="A40" s="826"/>
      <c r="B40" s="827" t="s">
        <v>4</v>
      </c>
      <c r="C40" s="833">
        <f>+A28</f>
        <v>3.7735849056603772E-2</v>
      </c>
      <c r="D40" s="266"/>
      <c r="E40" s="828"/>
    </row>
    <row r="41" spans="1:18" s="265" customFormat="1" ht="16.5" thickBot="1">
      <c r="A41" s="826"/>
      <c r="B41" s="855" t="s">
        <v>250</v>
      </c>
      <c r="C41" s="834">
        <f>C39*C40</f>
        <v>45586.087547169802</v>
      </c>
      <c r="D41" s="266"/>
      <c r="E41" s="828"/>
    </row>
    <row r="42" spans="1:18" s="265" customFormat="1" ht="16.5" thickTop="1">
      <c r="A42" s="826"/>
      <c r="B42" s="855"/>
      <c r="C42" s="854"/>
      <c r="D42" s="266"/>
      <c r="E42" s="828"/>
    </row>
    <row r="43" spans="1:18" s="265" customFormat="1">
      <c r="A43" s="826"/>
      <c r="B43" s="827" t="s">
        <v>962</v>
      </c>
      <c r="C43" s="269">
        <f>+O14</f>
        <v>349662</v>
      </c>
      <c r="D43" s="266"/>
      <c r="E43" s="828"/>
    </row>
    <row r="44" spans="1:18" s="265" customFormat="1">
      <c r="A44" s="826"/>
      <c r="B44" s="827" t="s">
        <v>4</v>
      </c>
      <c r="C44" s="833">
        <f>+A28</f>
        <v>3.7735849056603772E-2</v>
      </c>
      <c r="D44" s="266"/>
      <c r="E44" s="828"/>
    </row>
    <row r="45" spans="1:18" s="265" customFormat="1" ht="16.5" thickBot="1">
      <c r="A45" s="826"/>
      <c r="B45" s="855" t="s">
        <v>250</v>
      </c>
      <c r="C45" s="513">
        <f>+C43*C44</f>
        <v>13194.792452830188</v>
      </c>
      <c r="D45" s="266"/>
      <c r="E45" s="828"/>
    </row>
    <row r="46" spans="1:18" s="265" customFormat="1" ht="17.25" thickTop="1" thickBot="1">
      <c r="A46" s="829"/>
      <c r="B46" s="830"/>
      <c r="C46" s="830"/>
      <c r="D46" s="830"/>
      <c r="E46" s="831"/>
    </row>
    <row r="47" spans="1:18" s="265" customFormat="1">
      <c r="A47" s="835"/>
      <c r="B47" s="836"/>
      <c r="C47" s="836"/>
      <c r="D47" s="836"/>
      <c r="E47" s="266"/>
      <c r="F47" s="266"/>
      <c r="G47" s="266"/>
      <c r="H47" s="266"/>
      <c r="I47" s="266"/>
      <c r="J47" s="768"/>
      <c r="K47" s="768"/>
      <c r="L47" s="768"/>
      <c r="M47" s="768"/>
      <c r="N47" s="768"/>
      <c r="O47" s="768"/>
      <c r="P47" s="768"/>
      <c r="Q47" s="768"/>
    </row>
    <row r="48" spans="1:18" s="265" customFormat="1" ht="16.5" thickBot="1">
      <c r="A48" s="820" t="s">
        <v>1000</v>
      </c>
      <c r="B48" s="814"/>
      <c r="C48" s="814"/>
      <c r="D48" s="814"/>
      <c r="E48" s="814"/>
      <c r="R48" s="814"/>
    </row>
    <row r="49" spans="1:17" s="265" customFormat="1">
      <c r="A49" s="821"/>
      <c r="B49" s="824"/>
      <c r="C49" s="832"/>
      <c r="D49" s="824"/>
      <c r="E49" s="825"/>
      <c r="M49" s="815"/>
    </row>
    <row r="50" spans="1:17" s="265" customFormat="1">
      <c r="A50" s="826"/>
      <c r="B50" s="827" t="s">
        <v>994</v>
      </c>
      <c r="C50" s="269">
        <v>42808.35</v>
      </c>
      <c r="D50" s="269"/>
      <c r="E50" s="828"/>
      <c r="F50" s="266"/>
      <c r="G50" s="266"/>
      <c r="H50" s="266"/>
      <c r="I50" s="768"/>
      <c r="J50" s="837"/>
      <c r="K50" s="838"/>
      <c r="L50" s="838"/>
      <c r="M50" s="768"/>
      <c r="N50" s="768"/>
      <c r="O50" s="768"/>
      <c r="P50" s="768"/>
      <c r="Q50" s="768"/>
    </row>
    <row r="51" spans="1:17">
      <c r="A51" s="826"/>
      <c r="B51" s="827"/>
      <c r="C51" s="833"/>
      <c r="D51" s="266"/>
      <c r="E51" s="828"/>
      <c r="F51" s="264"/>
      <c r="G51" s="264"/>
      <c r="H51" s="264"/>
      <c r="I51" s="259"/>
      <c r="J51" s="262"/>
      <c r="K51" s="263"/>
      <c r="L51" s="263"/>
      <c r="M51" s="259"/>
      <c r="N51" s="259"/>
      <c r="O51" s="259"/>
      <c r="P51" s="768"/>
      <c r="Q51" s="768"/>
    </row>
    <row r="52" spans="1:17">
      <c r="A52" s="826"/>
      <c r="B52" s="827" t="s">
        <v>996</v>
      </c>
      <c r="C52" s="885">
        <f>+Operations!C12</f>
        <v>1436848</v>
      </c>
      <c r="D52" s="883">
        <f>+C52/C54</f>
        <v>0.40004020314280547</v>
      </c>
      <c r="E52" s="828"/>
      <c r="F52" s="264"/>
      <c r="G52" s="264"/>
      <c r="H52" s="264"/>
      <c r="I52" s="259"/>
      <c r="J52" s="259"/>
      <c r="K52" s="259"/>
      <c r="L52" s="259"/>
      <c r="M52" s="259"/>
      <c r="N52" s="259"/>
      <c r="O52" s="259"/>
      <c r="P52" s="768"/>
      <c r="Q52" s="768"/>
    </row>
    <row r="53" spans="1:17">
      <c r="A53" s="826"/>
      <c r="B53" s="827" t="s">
        <v>995</v>
      </c>
      <c r="C53" s="886">
        <f>+Operations!C13</f>
        <v>2154911.0000000005</v>
      </c>
      <c r="D53" s="883">
        <f>+C53/C54</f>
        <v>0.59995979685719458</v>
      </c>
      <c r="E53" s="828"/>
      <c r="F53" s="264"/>
      <c r="G53" s="264"/>
      <c r="H53" s="264"/>
      <c r="I53" s="259"/>
      <c r="J53" s="259"/>
      <c r="K53" s="259"/>
      <c r="L53" s="259"/>
      <c r="M53" s="259"/>
      <c r="N53" s="259"/>
      <c r="O53" s="259"/>
      <c r="P53" s="768"/>
      <c r="Q53" s="768"/>
    </row>
    <row r="54" spans="1:17">
      <c r="A54" s="826"/>
      <c r="B54" s="827" t="s">
        <v>997</v>
      </c>
      <c r="C54" s="269">
        <f>+C52+C53</f>
        <v>3591759.0000000005</v>
      </c>
      <c r="D54" s="266"/>
      <c r="E54" s="828"/>
      <c r="F54" s="264"/>
      <c r="G54" s="264"/>
      <c r="H54" s="264"/>
      <c r="I54" s="259"/>
      <c r="J54" s="259"/>
      <c r="K54" s="259"/>
      <c r="L54" s="259"/>
      <c r="M54" s="259"/>
      <c r="N54" s="259"/>
      <c r="O54" s="259"/>
      <c r="P54" s="768"/>
      <c r="Q54" s="768"/>
    </row>
    <row r="55" spans="1:17">
      <c r="A55" s="826"/>
      <c r="B55" s="827"/>
      <c r="C55" s="833"/>
      <c r="D55" s="266"/>
      <c r="E55" s="828"/>
      <c r="F55" s="264"/>
      <c r="G55" s="264"/>
      <c r="H55" s="264"/>
      <c r="I55" s="264"/>
      <c r="J55" s="259"/>
      <c r="K55" s="259"/>
      <c r="L55" s="259"/>
      <c r="M55" s="259"/>
      <c r="N55" s="259"/>
      <c r="O55" s="259"/>
      <c r="P55" s="768"/>
      <c r="Q55" s="768"/>
    </row>
    <row r="56" spans="1:17">
      <c r="A56" s="826"/>
      <c r="B56" s="827" t="s">
        <v>998</v>
      </c>
      <c r="C56" s="884">
        <f>+C50*D52</f>
        <v>17125.061030208315</v>
      </c>
      <c r="D56" s="266"/>
      <c r="E56" s="828"/>
      <c r="F56" s="264"/>
      <c r="G56" s="264"/>
      <c r="H56" s="264"/>
      <c r="I56" s="264"/>
      <c r="J56" s="259"/>
      <c r="K56" s="259"/>
      <c r="L56" s="259"/>
      <c r="M56" s="259"/>
      <c r="N56" s="259"/>
      <c r="O56" s="259"/>
      <c r="P56" s="768"/>
      <c r="Q56" s="768"/>
    </row>
    <row r="57" spans="1:17">
      <c r="A57" s="826"/>
      <c r="B57" s="827" t="s">
        <v>999</v>
      </c>
      <c r="C57" s="884">
        <f>+C50*D53</f>
        <v>25683.288969791683</v>
      </c>
      <c r="D57" s="266"/>
      <c r="E57" s="828"/>
      <c r="F57" s="453"/>
      <c r="G57" s="264"/>
      <c r="H57" s="453"/>
      <c r="I57" s="408"/>
      <c r="J57" s="259"/>
      <c r="K57" s="259"/>
      <c r="L57" s="259"/>
      <c r="M57" s="259"/>
      <c r="N57" s="259"/>
      <c r="O57" s="259"/>
      <c r="P57" s="768"/>
      <c r="Q57" s="768"/>
    </row>
    <row r="58" spans="1:17" ht="16.5" thickBot="1">
      <c r="A58" s="829"/>
      <c r="B58" s="830"/>
      <c r="C58" s="830"/>
      <c r="D58" s="830"/>
      <c r="E58" s="831"/>
      <c r="F58" s="453"/>
      <c r="G58" s="264"/>
      <c r="H58" s="453"/>
      <c r="I58" s="408"/>
      <c r="J58" s="259"/>
      <c r="K58" s="259"/>
      <c r="L58" s="259"/>
      <c r="M58" s="259"/>
      <c r="N58" s="259"/>
      <c r="O58" s="259"/>
      <c r="P58" s="768"/>
      <c r="Q58" s="768"/>
    </row>
    <row r="59" spans="1:17">
      <c r="A59" s="457"/>
      <c r="B59" s="458"/>
      <c r="C59" s="458"/>
      <c r="D59" s="458"/>
      <c r="E59" s="459"/>
      <c r="F59" s="453"/>
      <c r="G59" s="264"/>
      <c r="H59" s="264"/>
      <c r="I59" s="259"/>
      <c r="J59" s="259"/>
      <c r="K59" s="259"/>
      <c r="L59" s="259"/>
      <c r="M59" s="259"/>
      <c r="N59" s="259"/>
      <c r="O59" s="259"/>
      <c r="P59" s="768"/>
      <c r="Q59" s="768"/>
    </row>
    <row r="60" spans="1:17">
      <c r="A60" s="457"/>
      <c r="B60" s="458"/>
      <c r="C60" s="458"/>
      <c r="D60" s="458"/>
      <c r="E60" s="459"/>
      <c r="F60" s="453"/>
      <c r="G60" s="264"/>
      <c r="H60" s="264"/>
      <c r="I60" s="259"/>
      <c r="J60" s="259"/>
      <c r="K60" s="259"/>
      <c r="L60" s="259"/>
      <c r="M60" s="259"/>
      <c r="N60" s="259"/>
      <c r="O60" s="259"/>
      <c r="P60" s="768"/>
      <c r="Q60" s="768"/>
    </row>
    <row r="61" spans="1:17">
      <c r="A61" s="457"/>
      <c r="B61" s="458"/>
      <c r="C61" s="458"/>
      <c r="D61" s="458"/>
      <c r="E61" s="459"/>
      <c r="F61" s="453"/>
      <c r="G61" s="264"/>
      <c r="H61" s="264"/>
      <c r="I61" s="259"/>
      <c r="J61" s="259"/>
      <c r="K61" s="259"/>
      <c r="L61" s="259"/>
      <c r="M61" s="259"/>
      <c r="N61" s="259"/>
      <c r="O61" s="259"/>
      <c r="P61" s="768"/>
      <c r="Q61" s="768"/>
    </row>
    <row r="62" spans="1:17">
      <c r="A62" s="457"/>
      <c r="B62" s="458"/>
      <c r="C62" s="458"/>
      <c r="D62" s="458"/>
      <c r="E62" s="459"/>
      <c r="F62" s="264"/>
      <c r="G62" s="264"/>
      <c r="H62" s="264"/>
      <c r="I62" s="259"/>
      <c r="J62" s="259"/>
      <c r="K62" s="259"/>
      <c r="L62" s="259"/>
      <c r="M62" s="259"/>
      <c r="N62" s="259"/>
      <c r="O62" s="259"/>
      <c r="P62" s="768"/>
      <c r="Q62" s="768"/>
    </row>
    <row r="63" spans="1:17">
      <c r="A63" s="457"/>
      <c r="B63" s="458"/>
      <c r="C63" s="458"/>
      <c r="D63" s="458"/>
      <c r="E63" s="459"/>
      <c r="F63" s="264"/>
      <c r="G63" s="264"/>
      <c r="H63" s="264"/>
      <c r="I63" s="259"/>
      <c r="J63" s="259"/>
      <c r="K63" s="259"/>
      <c r="L63" s="259"/>
      <c r="M63" s="259"/>
      <c r="N63" s="259"/>
      <c r="O63" s="259"/>
      <c r="P63" s="768"/>
      <c r="Q63" s="768"/>
    </row>
    <row r="64" spans="1:17">
      <c r="A64" s="457"/>
      <c r="B64" s="458"/>
      <c r="C64" s="458"/>
      <c r="D64" s="458"/>
      <c r="E64" s="459"/>
      <c r="F64" s="264"/>
      <c r="G64" s="264"/>
      <c r="H64" s="264"/>
      <c r="I64" s="259"/>
      <c r="J64" s="259"/>
      <c r="K64" s="259"/>
      <c r="L64" s="259"/>
      <c r="M64" s="259"/>
      <c r="N64" s="259"/>
      <c r="O64" s="259"/>
      <c r="P64" s="768"/>
      <c r="Q64" s="768"/>
    </row>
    <row r="65" spans="1:17">
      <c r="A65" s="457"/>
      <c r="B65" s="458"/>
      <c r="C65" s="458"/>
      <c r="D65" s="458"/>
      <c r="E65" s="459"/>
      <c r="F65" s="264"/>
      <c r="G65" s="264"/>
      <c r="H65" s="264"/>
      <c r="I65" s="259"/>
      <c r="J65" s="259"/>
      <c r="K65" s="259"/>
      <c r="L65" s="259"/>
      <c r="M65" s="259"/>
      <c r="N65" s="259"/>
      <c r="O65" s="259"/>
      <c r="P65" s="768"/>
      <c r="Q65" s="768"/>
    </row>
    <row r="66" spans="1:17">
      <c r="A66" s="457"/>
      <c r="B66" s="458"/>
      <c r="C66" s="458"/>
      <c r="D66" s="458"/>
      <c r="E66" s="459"/>
      <c r="F66" s="264"/>
      <c r="G66" s="264"/>
      <c r="H66" s="264"/>
      <c r="I66" s="259"/>
      <c r="J66" s="259"/>
      <c r="K66" s="259"/>
      <c r="L66" s="259"/>
      <c r="M66" s="259"/>
      <c r="N66" s="259"/>
      <c r="O66" s="259"/>
      <c r="P66" s="768"/>
      <c r="Q66" s="768"/>
    </row>
    <row r="67" spans="1:17">
      <c r="A67" s="457"/>
      <c r="B67" s="458"/>
      <c r="C67" s="458"/>
      <c r="D67" s="458"/>
      <c r="E67" s="459"/>
      <c r="F67" s="264"/>
      <c r="G67" s="264"/>
      <c r="H67" s="264"/>
      <c r="I67" s="259"/>
      <c r="J67" s="259"/>
      <c r="K67" s="259"/>
      <c r="L67" s="259"/>
      <c r="M67" s="259"/>
      <c r="N67" s="259"/>
      <c r="O67" s="259"/>
      <c r="P67" s="768"/>
      <c r="Q67" s="768"/>
    </row>
    <row r="68" spans="1:17">
      <c r="A68" s="457"/>
      <c r="B68" s="458"/>
      <c r="C68" s="458"/>
      <c r="D68" s="458"/>
      <c r="E68" s="459"/>
      <c r="F68" s="264"/>
      <c r="G68" s="264"/>
      <c r="H68" s="264"/>
      <c r="I68" s="259"/>
      <c r="J68" s="259"/>
      <c r="K68" s="259"/>
      <c r="L68" s="259"/>
      <c r="M68" s="259"/>
      <c r="N68" s="259"/>
      <c r="O68" s="259"/>
      <c r="P68" s="768"/>
      <c r="Q68" s="768"/>
    </row>
    <row r="69" spans="1:17">
      <c r="A69" s="457"/>
      <c r="B69" s="458"/>
      <c r="C69" s="458"/>
      <c r="D69" s="458"/>
      <c r="E69" s="459"/>
      <c r="F69" s="264"/>
      <c r="G69" s="264"/>
      <c r="H69" s="264"/>
      <c r="I69" s="259"/>
      <c r="J69" s="259"/>
      <c r="K69" s="259"/>
      <c r="L69" s="259"/>
      <c r="M69" s="259"/>
      <c r="N69" s="259"/>
      <c r="O69" s="259"/>
      <c r="P69" s="768"/>
      <c r="Q69" s="768"/>
    </row>
    <row r="70" spans="1:17">
      <c r="A70" s="457"/>
      <c r="B70" s="458"/>
      <c r="C70" s="458"/>
      <c r="D70" s="458"/>
      <c r="E70" s="459"/>
      <c r="F70" s="264"/>
      <c r="G70" s="264"/>
      <c r="H70" s="264"/>
      <c r="I70" s="259"/>
      <c r="J70" s="259"/>
      <c r="K70" s="259"/>
      <c r="L70" s="259"/>
      <c r="M70" s="259"/>
      <c r="N70" s="259"/>
      <c r="O70" s="259"/>
      <c r="P70" s="768"/>
      <c r="Q70" s="768"/>
    </row>
    <row r="71" spans="1:17">
      <c r="A71" s="457"/>
      <c r="B71" s="458"/>
      <c r="C71" s="458"/>
      <c r="D71" s="458"/>
      <c r="E71" s="264"/>
      <c r="F71" s="264"/>
      <c r="G71" s="264"/>
      <c r="H71" s="264"/>
      <c r="I71" s="264"/>
      <c r="J71" s="259"/>
      <c r="K71" s="260"/>
      <c r="L71" s="260"/>
      <c r="M71" s="259"/>
      <c r="N71" s="259"/>
      <c r="O71" s="259"/>
      <c r="P71" s="768"/>
      <c r="Q71" s="768"/>
    </row>
    <row r="72" spans="1:17">
      <c r="A72" s="457"/>
      <c r="B72" s="458"/>
      <c r="C72" s="458"/>
      <c r="D72" s="458"/>
      <c r="E72" s="459"/>
      <c r="F72" s="453"/>
      <c r="G72" s="264"/>
      <c r="H72" s="453"/>
      <c r="I72" s="408"/>
      <c r="J72" s="259"/>
      <c r="K72" s="260"/>
      <c r="L72" s="260"/>
      <c r="M72" s="259"/>
      <c r="N72" s="259"/>
      <c r="O72" s="259"/>
      <c r="P72" s="768"/>
      <c r="Q72" s="768"/>
    </row>
    <row r="73" spans="1:17">
      <c r="A73" s="457"/>
      <c r="B73" s="458"/>
      <c r="C73" s="458"/>
      <c r="D73" s="458"/>
      <c r="E73" s="459"/>
      <c r="F73" s="453"/>
      <c r="G73" s="264"/>
      <c r="H73" s="453"/>
      <c r="I73" s="408"/>
      <c r="J73" s="259"/>
      <c r="K73" s="260"/>
      <c r="L73" s="260"/>
      <c r="M73" s="259"/>
      <c r="N73" s="259"/>
      <c r="O73" s="259"/>
      <c r="P73" s="768"/>
      <c r="Q73" s="768"/>
    </row>
    <row r="74" spans="1:17">
      <c r="A74" s="457"/>
      <c r="B74" s="458"/>
      <c r="C74" s="458"/>
      <c r="D74" s="458"/>
      <c r="E74" s="459"/>
      <c r="F74" s="264"/>
      <c r="G74" s="264"/>
      <c r="H74" s="264"/>
      <c r="I74" s="264"/>
      <c r="J74" s="259"/>
      <c r="K74" s="260"/>
      <c r="L74" s="264"/>
      <c r="M74" s="264"/>
      <c r="N74" s="264"/>
      <c r="O74" s="264"/>
      <c r="P74" s="266"/>
      <c r="Q74" s="266"/>
    </row>
    <row r="75" spans="1:17">
      <c r="A75" s="457"/>
      <c r="B75" s="458"/>
      <c r="C75" s="458"/>
      <c r="D75" s="458"/>
      <c r="E75" s="459"/>
      <c r="F75" s="264"/>
      <c r="G75" s="264"/>
      <c r="H75" s="264"/>
      <c r="I75" s="264"/>
      <c r="J75" s="259"/>
      <c r="K75" s="260"/>
      <c r="L75" s="264"/>
      <c r="M75" s="264"/>
      <c r="N75" s="264"/>
      <c r="O75" s="264"/>
      <c r="P75" s="266"/>
      <c r="Q75" s="266"/>
    </row>
    <row r="76" spans="1:17">
      <c r="A76" s="457"/>
      <c r="B76" s="458"/>
      <c r="C76" s="458"/>
      <c r="D76" s="458"/>
      <c r="E76" s="459"/>
      <c r="F76" s="264"/>
      <c r="G76" s="264"/>
      <c r="H76" s="264"/>
      <c r="I76" s="264"/>
      <c r="J76" s="259"/>
      <c r="K76" s="260"/>
      <c r="L76" s="264"/>
      <c r="M76" s="264"/>
      <c r="N76" s="264"/>
      <c r="O76" s="264"/>
      <c r="P76" s="266"/>
      <c r="Q76" s="266"/>
    </row>
    <row r="77" spans="1:17">
      <c r="A77" s="457"/>
      <c r="B77" s="458"/>
      <c r="C77" s="458"/>
      <c r="D77" s="458"/>
      <c r="E77" s="459"/>
      <c r="F77" s="264"/>
      <c r="G77" s="264"/>
      <c r="H77" s="264"/>
      <c r="I77" s="264"/>
      <c r="J77" s="262"/>
      <c r="K77" s="409"/>
      <c r="L77" s="264"/>
      <c r="M77" s="264"/>
      <c r="N77" s="264"/>
      <c r="O77" s="264"/>
      <c r="P77" s="266"/>
      <c r="Q77" s="266"/>
    </row>
    <row r="78" spans="1:17">
      <c r="A78" s="457"/>
      <c r="B78" s="458"/>
      <c r="C78" s="458"/>
      <c r="D78" s="458"/>
      <c r="E78" s="459"/>
      <c r="F78" s="264"/>
      <c r="G78" s="264"/>
      <c r="H78" s="264"/>
      <c r="I78" s="264"/>
      <c r="J78" s="262"/>
      <c r="K78" s="409"/>
      <c r="L78" s="264"/>
      <c r="M78" s="264"/>
      <c r="N78" s="264"/>
      <c r="O78" s="264"/>
      <c r="P78" s="266"/>
      <c r="Q78" s="266"/>
    </row>
    <row r="79" spans="1:17">
      <c r="A79" s="457"/>
      <c r="B79" s="458"/>
      <c r="C79" s="458"/>
      <c r="D79" s="458"/>
      <c r="E79" s="459"/>
      <c r="F79" s="264"/>
      <c r="G79" s="264"/>
      <c r="H79" s="264"/>
      <c r="I79" s="264"/>
      <c r="J79" s="262"/>
      <c r="K79" s="409"/>
      <c r="L79" s="264"/>
      <c r="M79" s="264"/>
      <c r="N79" s="264"/>
      <c r="O79" s="264"/>
      <c r="P79" s="266"/>
      <c r="Q79" s="266"/>
    </row>
    <row r="80" spans="1:17">
      <c r="A80" s="457"/>
      <c r="B80" s="458"/>
      <c r="C80" s="458"/>
      <c r="D80" s="458"/>
      <c r="E80" s="459"/>
      <c r="F80" s="264"/>
      <c r="G80" s="264"/>
      <c r="H80" s="264"/>
      <c r="I80" s="264"/>
      <c r="J80" s="264"/>
      <c r="K80" s="264"/>
      <c r="L80" s="264"/>
      <c r="M80" s="264"/>
      <c r="N80" s="264"/>
      <c r="O80" s="264"/>
      <c r="P80" s="266"/>
      <c r="Q80" s="266"/>
    </row>
    <row r="81" spans="1:17">
      <c r="A81" s="457"/>
      <c r="B81" s="458"/>
      <c r="C81" s="458"/>
      <c r="D81" s="458"/>
      <c r="E81" s="459"/>
      <c r="F81" s="264"/>
      <c r="G81" s="264"/>
      <c r="H81" s="264"/>
      <c r="I81" s="264"/>
      <c r="J81" s="264"/>
      <c r="K81" s="264"/>
      <c r="L81" s="264"/>
      <c r="M81" s="264"/>
      <c r="N81" s="264"/>
      <c r="O81" s="264"/>
      <c r="P81" s="266"/>
      <c r="Q81" s="266"/>
    </row>
    <row r="82" spans="1:17">
      <c r="A82" s="457"/>
      <c r="B82" s="458"/>
      <c r="C82" s="458"/>
      <c r="D82" s="458"/>
      <c r="E82" s="459"/>
      <c r="F82" s="264"/>
      <c r="G82" s="264"/>
      <c r="H82" s="264"/>
      <c r="I82" s="264"/>
      <c r="J82" s="264"/>
      <c r="K82" s="264"/>
      <c r="L82" s="264"/>
      <c r="M82" s="264"/>
      <c r="N82" s="264"/>
      <c r="O82" s="264"/>
      <c r="P82" s="266"/>
      <c r="Q82" s="266"/>
    </row>
    <row r="83" spans="1:17">
      <c r="A83" s="457"/>
      <c r="B83" s="458"/>
      <c r="C83" s="458"/>
      <c r="D83" s="458"/>
      <c r="E83" s="264"/>
      <c r="F83" s="264"/>
      <c r="G83" s="264"/>
      <c r="H83" s="264"/>
      <c r="I83" s="264"/>
      <c r="J83" s="264"/>
      <c r="K83" s="264"/>
      <c r="L83" s="264"/>
      <c r="M83" s="264"/>
      <c r="N83" s="264"/>
      <c r="O83" s="264"/>
      <c r="P83" s="266"/>
      <c r="Q83" s="266"/>
    </row>
    <row r="84" spans="1:17">
      <c r="A84" s="457"/>
      <c r="B84" s="458"/>
      <c r="C84" s="458"/>
      <c r="D84" s="458"/>
      <c r="E84" s="459"/>
      <c r="F84" s="453"/>
      <c r="G84" s="264"/>
      <c r="H84" s="453"/>
      <c r="I84" s="408"/>
      <c r="J84" s="264"/>
      <c r="K84" s="264"/>
      <c r="L84" s="264"/>
      <c r="M84" s="264"/>
      <c r="N84" s="264"/>
      <c r="O84" s="264"/>
      <c r="P84" s="266"/>
      <c r="Q84" s="266"/>
    </row>
    <row r="85" spans="1:17">
      <c r="A85" s="457"/>
      <c r="B85" s="458"/>
      <c r="C85" s="458"/>
      <c r="D85" s="458"/>
      <c r="E85" s="459"/>
      <c r="F85" s="453"/>
      <c r="G85" s="264"/>
      <c r="H85" s="453"/>
      <c r="I85" s="408"/>
      <c r="J85" s="264"/>
      <c r="K85" s="264"/>
      <c r="L85" s="264"/>
      <c r="M85" s="264"/>
      <c r="N85" s="264"/>
      <c r="O85" s="264"/>
      <c r="P85" s="266"/>
      <c r="Q85" s="266"/>
    </row>
    <row r="86" spans="1:17">
      <c r="A86" s="457"/>
      <c r="B86" s="458"/>
      <c r="C86" s="458"/>
      <c r="D86" s="458"/>
      <c r="E86" s="459"/>
      <c r="F86" s="453"/>
      <c r="G86" s="264"/>
      <c r="H86" s="264"/>
      <c r="I86" s="264"/>
      <c r="J86" s="264"/>
      <c r="K86" s="264"/>
      <c r="L86" s="264"/>
      <c r="M86" s="264"/>
      <c r="N86" s="264"/>
      <c r="O86" s="264"/>
      <c r="P86" s="266"/>
      <c r="Q86" s="266"/>
    </row>
    <row r="87" spans="1:17">
      <c r="A87" s="457"/>
      <c r="B87" s="458"/>
      <c r="C87" s="458"/>
      <c r="D87" s="458"/>
      <c r="E87" s="459"/>
      <c r="F87" s="453"/>
      <c r="G87" s="264"/>
      <c r="H87" s="264"/>
      <c r="I87" s="264"/>
      <c r="J87" s="264"/>
      <c r="K87" s="264"/>
      <c r="L87" s="264"/>
      <c r="M87" s="264"/>
      <c r="N87" s="264"/>
      <c r="O87" s="264"/>
      <c r="P87" s="266"/>
      <c r="Q87" s="266"/>
    </row>
    <row r="88" spans="1:17">
      <c r="A88" s="457"/>
      <c r="B88" s="458"/>
      <c r="C88" s="458"/>
      <c r="D88" s="458"/>
      <c r="E88" s="459"/>
      <c r="F88" s="453"/>
      <c r="G88" s="264"/>
      <c r="H88" s="264"/>
      <c r="I88" s="264"/>
      <c r="J88" s="264"/>
      <c r="K88" s="264"/>
      <c r="L88" s="264"/>
      <c r="M88" s="264"/>
      <c r="N88" s="264"/>
      <c r="O88" s="264"/>
      <c r="P88" s="266"/>
      <c r="Q88" s="266"/>
    </row>
    <row r="89" spans="1:17">
      <c r="A89" s="457"/>
      <c r="B89" s="458"/>
      <c r="C89" s="458"/>
      <c r="D89" s="458"/>
      <c r="E89" s="459"/>
      <c r="F89" s="264"/>
      <c r="G89" s="264"/>
      <c r="H89" s="264"/>
      <c r="I89" s="264"/>
      <c r="J89" s="264"/>
      <c r="K89" s="264"/>
      <c r="L89" s="264"/>
      <c r="M89" s="264"/>
    </row>
    <row r="90" spans="1:17">
      <c r="A90" s="457"/>
      <c r="B90" s="458"/>
      <c r="C90" s="458"/>
      <c r="D90" s="458"/>
      <c r="E90" s="459"/>
      <c r="F90" s="264"/>
      <c r="G90" s="264"/>
      <c r="H90" s="264"/>
      <c r="I90" s="264"/>
      <c r="J90" s="264"/>
      <c r="K90" s="264"/>
      <c r="L90" s="264"/>
      <c r="M90" s="264"/>
    </row>
    <row r="91" spans="1:17">
      <c r="A91" s="457"/>
      <c r="B91" s="458"/>
      <c r="C91" s="458"/>
      <c r="D91" s="458"/>
      <c r="E91" s="459"/>
      <c r="F91" s="264"/>
      <c r="G91" s="264"/>
      <c r="H91" s="264"/>
      <c r="I91" s="264"/>
      <c r="J91" s="264"/>
      <c r="K91" s="264"/>
      <c r="L91" s="264"/>
      <c r="M91" s="264"/>
    </row>
    <row r="92" spans="1:17">
      <c r="A92" s="457"/>
      <c r="B92" s="458"/>
      <c r="C92" s="458"/>
      <c r="D92" s="458"/>
      <c r="E92" s="459"/>
      <c r="F92" s="264"/>
      <c r="G92" s="264"/>
      <c r="H92" s="264"/>
      <c r="I92" s="264"/>
      <c r="J92" s="264"/>
      <c r="K92" s="264"/>
      <c r="L92" s="264"/>
      <c r="M92" s="264"/>
    </row>
    <row r="93" spans="1:17">
      <c r="A93" s="457"/>
      <c r="B93" s="458"/>
      <c r="C93" s="458"/>
      <c r="D93" s="458"/>
      <c r="E93" s="459"/>
      <c r="F93" s="264"/>
      <c r="G93" s="264"/>
      <c r="H93" s="264"/>
      <c r="I93" s="264"/>
      <c r="J93" s="264"/>
      <c r="K93" s="264"/>
      <c r="L93" s="264"/>
      <c r="M93" s="264"/>
    </row>
    <row r="94" spans="1:17">
      <c r="A94" s="457"/>
      <c r="B94" s="458"/>
      <c r="C94" s="458"/>
      <c r="D94" s="458"/>
      <c r="E94" s="459"/>
      <c r="F94" s="264"/>
      <c r="G94" s="264"/>
      <c r="H94" s="264"/>
      <c r="I94" s="264"/>
      <c r="J94" s="264"/>
      <c r="K94" s="264"/>
      <c r="L94" s="264"/>
      <c r="M94" s="264"/>
    </row>
    <row r="95" spans="1:17">
      <c r="A95" s="457"/>
      <c r="B95" s="458"/>
      <c r="C95" s="458"/>
      <c r="D95" s="458"/>
      <c r="E95" s="459"/>
      <c r="F95" s="264"/>
      <c r="G95" s="264"/>
      <c r="H95" s="264"/>
      <c r="I95" s="264"/>
      <c r="J95" s="264"/>
      <c r="K95" s="264"/>
      <c r="L95" s="264"/>
      <c r="M95" s="264"/>
    </row>
    <row r="96" spans="1:17">
      <c r="A96" s="457"/>
      <c r="B96" s="458"/>
      <c r="C96" s="458"/>
      <c r="D96" s="458"/>
      <c r="E96" s="459"/>
      <c r="F96" s="264"/>
      <c r="G96" s="264"/>
      <c r="H96" s="264"/>
      <c r="I96" s="264"/>
      <c r="J96" s="264"/>
      <c r="K96" s="264"/>
      <c r="L96" s="264"/>
      <c r="M96" s="264"/>
    </row>
    <row r="97" spans="1:13">
      <c r="A97" s="457"/>
      <c r="B97" s="458"/>
      <c r="C97" s="458"/>
      <c r="D97" s="458"/>
      <c r="E97" s="459"/>
      <c r="F97" s="264"/>
      <c r="G97" s="264"/>
      <c r="H97" s="264"/>
      <c r="I97" s="264"/>
      <c r="J97" s="264"/>
      <c r="K97" s="264"/>
      <c r="L97" s="264"/>
      <c r="M97" s="264"/>
    </row>
    <row r="98" spans="1:13">
      <c r="A98" s="457"/>
      <c r="B98" s="458"/>
      <c r="C98" s="458"/>
      <c r="D98" s="458"/>
      <c r="E98" s="459"/>
      <c r="F98" s="453"/>
      <c r="G98" s="264"/>
      <c r="H98" s="453"/>
      <c r="I98" s="408"/>
      <c r="J98" s="264"/>
      <c r="K98" s="264"/>
      <c r="L98" s="264"/>
      <c r="M98" s="264"/>
    </row>
    <row r="99" spans="1:13">
      <c r="A99" s="457"/>
      <c r="B99" s="458"/>
      <c r="C99" s="458"/>
      <c r="D99" s="458"/>
      <c r="E99" s="459"/>
      <c r="F99" s="453"/>
      <c r="G99" s="264"/>
      <c r="H99" s="453"/>
      <c r="I99" s="408"/>
      <c r="J99" s="264"/>
      <c r="K99" s="264"/>
      <c r="L99" s="264"/>
      <c r="M99" s="264"/>
    </row>
    <row r="100" spans="1:13">
      <c r="A100" s="457"/>
      <c r="B100" s="458"/>
      <c r="C100" s="458"/>
      <c r="D100" s="458"/>
      <c r="E100" s="459"/>
      <c r="F100" s="453"/>
      <c r="G100" s="264"/>
      <c r="H100" s="453"/>
      <c r="I100" s="408"/>
      <c r="J100" s="264"/>
      <c r="K100" s="264"/>
      <c r="L100" s="264"/>
      <c r="M100" s="264"/>
    </row>
    <row r="101" spans="1:13">
      <c r="A101" s="457"/>
      <c r="B101" s="458"/>
      <c r="C101" s="458"/>
      <c r="D101" s="458"/>
      <c r="E101" s="459"/>
      <c r="F101" s="264"/>
      <c r="G101" s="264"/>
      <c r="H101" s="264"/>
      <c r="I101" s="264"/>
      <c r="J101" s="264"/>
      <c r="K101" s="264"/>
      <c r="L101" s="264"/>
      <c r="M101" s="264"/>
    </row>
    <row r="102" spans="1:13">
      <c r="A102" s="457"/>
      <c r="B102" s="458"/>
      <c r="C102" s="458"/>
      <c r="D102" s="458"/>
      <c r="E102" s="459"/>
      <c r="F102" s="264"/>
      <c r="G102" s="264"/>
      <c r="H102" s="264"/>
      <c r="I102" s="264"/>
      <c r="J102" s="264"/>
      <c r="K102" s="264"/>
      <c r="L102" s="264"/>
      <c r="M102" s="264"/>
    </row>
    <row r="103" spans="1:13">
      <c r="A103" s="457"/>
      <c r="B103" s="458"/>
      <c r="C103" s="458"/>
      <c r="D103" s="458"/>
      <c r="E103" s="459"/>
      <c r="F103" s="264"/>
      <c r="G103" s="264"/>
      <c r="H103" s="264"/>
      <c r="I103" s="264"/>
      <c r="J103" s="264"/>
      <c r="K103" s="264"/>
      <c r="L103" s="264"/>
      <c r="M103" s="264"/>
    </row>
    <row r="104" spans="1:13">
      <c r="A104" s="457"/>
      <c r="B104" s="458"/>
      <c r="C104" s="458"/>
      <c r="D104" s="458"/>
      <c r="E104" s="459"/>
      <c r="F104" s="264"/>
      <c r="G104" s="264"/>
      <c r="H104" s="264"/>
      <c r="I104" s="264"/>
      <c r="J104" s="264"/>
      <c r="K104" s="264"/>
      <c r="L104" s="264"/>
      <c r="M104" s="264"/>
    </row>
    <row r="105" spans="1:13">
      <c r="A105" s="457"/>
      <c r="B105" s="458"/>
      <c r="C105" s="458"/>
      <c r="D105" s="458"/>
      <c r="E105" s="459"/>
      <c r="F105" s="264"/>
      <c r="G105" s="264"/>
      <c r="H105" s="264"/>
      <c r="I105" s="264"/>
      <c r="J105" s="264"/>
      <c r="K105" s="264"/>
      <c r="L105" s="264"/>
      <c r="M105" s="264"/>
    </row>
    <row r="106" spans="1:13">
      <c r="A106" s="457"/>
      <c r="B106" s="458"/>
      <c r="C106" s="458"/>
      <c r="D106" s="458"/>
      <c r="E106" s="459"/>
      <c r="F106" s="264"/>
      <c r="G106" s="264"/>
      <c r="H106" s="264"/>
      <c r="I106" s="264"/>
      <c r="J106" s="264"/>
      <c r="K106" s="264"/>
      <c r="L106" s="264"/>
      <c r="M106" s="264"/>
    </row>
    <row r="107" spans="1:13">
      <c r="A107" s="457"/>
      <c r="B107" s="458"/>
      <c r="C107" s="458"/>
      <c r="D107" s="458"/>
      <c r="E107" s="459"/>
      <c r="F107" s="264"/>
      <c r="G107" s="264"/>
      <c r="H107" s="264"/>
      <c r="I107" s="264"/>
      <c r="J107" s="264"/>
      <c r="K107" s="264"/>
      <c r="L107" s="264"/>
      <c r="M107" s="264"/>
    </row>
    <row r="108" spans="1:13">
      <c r="A108" s="457"/>
      <c r="B108" s="458"/>
      <c r="C108" s="458"/>
      <c r="D108" s="458"/>
      <c r="E108" s="459"/>
      <c r="F108" s="264"/>
      <c r="G108" s="264"/>
      <c r="H108" s="264"/>
      <c r="I108" s="264"/>
      <c r="J108" s="264"/>
      <c r="K108" s="264"/>
      <c r="L108" s="264"/>
      <c r="M108" s="264"/>
    </row>
    <row r="109" spans="1:13">
      <c r="A109" s="457"/>
      <c r="B109" s="458"/>
      <c r="C109" s="458"/>
      <c r="D109" s="458"/>
      <c r="E109" s="459"/>
      <c r="F109" s="264"/>
      <c r="G109" s="264"/>
      <c r="H109" s="264"/>
      <c r="I109" s="264"/>
      <c r="J109" s="264"/>
      <c r="K109" s="264"/>
      <c r="L109" s="264"/>
      <c r="M109" s="264"/>
    </row>
    <row r="110" spans="1:13">
      <c r="A110" s="457"/>
      <c r="B110" s="458"/>
      <c r="C110" s="458"/>
      <c r="D110" s="458"/>
      <c r="E110" s="264"/>
      <c r="F110" s="264"/>
      <c r="G110" s="264"/>
      <c r="H110" s="264"/>
      <c r="I110" s="264"/>
      <c r="J110" s="264"/>
      <c r="K110" s="264"/>
      <c r="L110" s="264"/>
      <c r="M110" s="264"/>
    </row>
    <row r="111" spans="1:13">
      <c r="A111" s="457"/>
      <c r="B111" s="458"/>
      <c r="C111" s="458"/>
      <c r="D111" s="458"/>
      <c r="E111" s="459"/>
      <c r="F111" s="453"/>
      <c r="G111" s="264"/>
      <c r="H111" s="453"/>
      <c r="I111" s="408"/>
      <c r="J111" s="264"/>
      <c r="K111" s="264"/>
      <c r="L111" s="264"/>
      <c r="M111" s="264"/>
    </row>
    <row r="112" spans="1:13">
      <c r="A112" s="457"/>
      <c r="B112" s="458"/>
      <c r="C112" s="458"/>
      <c r="D112" s="458"/>
      <c r="E112" s="459"/>
      <c r="F112" s="453"/>
      <c r="G112" s="264"/>
      <c r="H112" s="453"/>
      <c r="I112" s="408"/>
      <c r="J112" s="264"/>
      <c r="K112" s="264"/>
      <c r="L112" s="264"/>
      <c r="M112" s="264"/>
    </row>
    <row r="113" spans="1:13">
      <c r="A113" s="457"/>
      <c r="B113" s="458"/>
      <c r="C113" s="458"/>
      <c r="D113" s="458"/>
      <c r="E113" s="459"/>
      <c r="F113" s="453"/>
      <c r="G113" s="264"/>
      <c r="H113" s="264"/>
      <c r="I113" s="264"/>
      <c r="J113" s="264"/>
      <c r="K113" s="264"/>
      <c r="L113" s="264"/>
      <c r="M113" s="264"/>
    </row>
    <row r="114" spans="1:13">
      <c r="A114" s="457"/>
      <c r="B114" s="458"/>
      <c r="C114" s="458"/>
      <c r="D114" s="458"/>
      <c r="E114" s="459"/>
      <c r="F114" s="453"/>
      <c r="G114" s="264"/>
      <c r="H114" s="264"/>
      <c r="I114" s="264"/>
      <c r="J114" s="264"/>
      <c r="K114" s="264"/>
      <c r="L114" s="264"/>
      <c r="M114" s="264"/>
    </row>
    <row r="115" spans="1:13">
      <c r="A115" s="457"/>
      <c r="B115" s="458"/>
      <c r="C115" s="458"/>
      <c r="D115" s="458"/>
      <c r="E115" s="459"/>
      <c r="F115" s="453"/>
      <c r="G115" s="264"/>
      <c r="H115" s="264"/>
      <c r="I115" s="264"/>
      <c r="J115" s="264"/>
      <c r="K115" s="264"/>
      <c r="L115" s="264"/>
      <c r="M115" s="264"/>
    </row>
    <row r="116" spans="1:13">
      <c r="A116" s="457"/>
      <c r="B116" s="458"/>
      <c r="C116" s="458"/>
      <c r="D116" s="458"/>
      <c r="E116" s="459"/>
      <c r="F116" s="264"/>
      <c r="G116" s="264"/>
      <c r="H116" s="264"/>
      <c r="I116" s="264"/>
      <c r="J116" s="264"/>
      <c r="K116" s="264"/>
      <c r="L116" s="264"/>
      <c r="M116" s="264"/>
    </row>
    <row r="117" spans="1:13">
      <c r="A117" s="457"/>
      <c r="B117" s="458"/>
      <c r="C117" s="458"/>
      <c r="D117" s="458"/>
      <c r="E117" s="459"/>
      <c r="F117" s="264"/>
      <c r="G117" s="264"/>
      <c r="H117" s="264"/>
      <c r="I117" s="264"/>
      <c r="J117" s="264"/>
      <c r="K117" s="264"/>
      <c r="L117" s="264"/>
      <c r="M117" s="264"/>
    </row>
    <row r="118" spans="1:13">
      <c r="A118" s="457"/>
      <c r="B118" s="458"/>
      <c r="C118" s="458"/>
      <c r="D118" s="458"/>
      <c r="E118" s="459"/>
      <c r="F118" s="264"/>
      <c r="G118" s="264"/>
      <c r="H118" s="264"/>
      <c r="I118" s="264"/>
      <c r="J118" s="264"/>
      <c r="K118" s="264"/>
      <c r="L118" s="264"/>
      <c r="M118" s="264"/>
    </row>
    <row r="119" spans="1:13">
      <c r="A119" s="457"/>
      <c r="B119" s="458"/>
      <c r="C119" s="458"/>
      <c r="D119" s="458"/>
      <c r="E119" s="459"/>
      <c r="F119" s="264"/>
      <c r="G119" s="264"/>
      <c r="H119" s="264"/>
      <c r="I119" s="264"/>
      <c r="J119" s="264"/>
      <c r="K119" s="264"/>
      <c r="L119" s="264"/>
      <c r="M119" s="264"/>
    </row>
    <row r="120" spans="1:13">
      <c r="A120" s="457"/>
      <c r="B120" s="458"/>
      <c r="C120" s="458"/>
      <c r="D120" s="458"/>
      <c r="E120" s="459"/>
      <c r="F120" s="264"/>
      <c r="G120" s="264"/>
      <c r="H120" s="264"/>
      <c r="I120" s="264"/>
      <c r="J120" s="264"/>
      <c r="K120" s="264"/>
      <c r="L120" s="264"/>
      <c r="M120" s="264"/>
    </row>
    <row r="121" spans="1:13">
      <c r="A121" s="457"/>
      <c r="B121" s="458"/>
      <c r="C121" s="458"/>
      <c r="D121" s="458"/>
      <c r="E121" s="459"/>
      <c r="F121" s="264"/>
      <c r="G121" s="264"/>
      <c r="H121" s="264"/>
      <c r="I121" s="264"/>
      <c r="J121" s="264"/>
      <c r="K121" s="264"/>
      <c r="L121" s="264"/>
      <c r="M121" s="264"/>
    </row>
    <row r="122" spans="1:13">
      <c r="A122" s="457"/>
      <c r="B122" s="458"/>
      <c r="C122" s="458"/>
      <c r="D122" s="458"/>
      <c r="E122" s="264"/>
      <c r="F122" s="264"/>
      <c r="G122" s="264"/>
      <c r="H122" s="264"/>
      <c r="I122" s="264"/>
      <c r="J122" s="264"/>
      <c r="K122" s="264"/>
      <c r="L122" s="264"/>
      <c r="M122" s="264"/>
    </row>
    <row r="123" spans="1:13">
      <c r="A123" s="457"/>
      <c r="B123" s="458"/>
      <c r="C123" s="458"/>
      <c r="D123" s="458"/>
      <c r="E123" s="459"/>
      <c r="F123" s="453"/>
      <c r="G123" s="264"/>
      <c r="H123" s="453"/>
      <c r="I123" s="408"/>
      <c r="J123" s="264"/>
      <c r="K123" s="264"/>
      <c r="L123" s="264"/>
      <c r="M123" s="264"/>
    </row>
    <row r="124" spans="1:13">
      <c r="A124" s="457"/>
      <c r="B124" s="458"/>
      <c r="C124" s="458"/>
      <c r="D124" s="458"/>
      <c r="E124" s="459"/>
      <c r="F124" s="453"/>
      <c r="G124" s="264"/>
      <c r="H124" s="453"/>
      <c r="I124" s="408"/>
      <c r="J124" s="264"/>
      <c r="K124" s="264"/>
      <c r="L124" s="264"/>
      <c r="M124" s="264"/>
    </row>
    <row r="125" spans="1:13">
      <c r="A125" s="457"/>
      <c r="B125" s="458"/>
      <c r="C125" s="458"/>
      <c r="D125" s="458"/>
      <c r="E125" s="459"/>
      <c r="F125" s="453"/>
      <c r="G125" s="264"/>
      <c r="H125" s="264"/>
      <c r="I125" s="264"/>
      <c r="J125" s="264"/>
      <c r="K125" s="264"/>
      <c r="L125" s="264"/>
      <c r="M125" s="264"/>
    </row>
    <row r="126" spans="1:13">
      <c r="A126" s="457"/>
      <c r="B126" s="458"/>
      <c r="C126" s="458"/>
      <c r="D126" s="458"/>
      <c r="E126" s="459"/>
      <c r="F126" s="453"/>
      <c r="G126" s="264"/>
      <c r="H126" s="264"/>
      <c r="I126" s="264"/>
      <c r="J126" s="264"/>
      <c r="K126" s="264"/>
      <c r="L126" s="264"/>
      <c r="M126" s="264"/>
    </row>
    <row r="127" spans="1:13">
      <c r="A127" s="457"/>
      <c r="B127" s="458"/>
      <c r="C127" s="458"/>
      <c r="D127" s="458"/>
      <c r="E127" s="459"/>
      <c r="F127" s="453"/>
      <c r="G127" s="264"/>
      <c r="H127" s="264"/>
      <c r="I127" s="264"/>
      <c r="J127" s="264"/>
      <c r="K127" s="264"/>
      <c r="L127" s="264"/>
      <c r="M127" s="264"/>
    </row>
    <row r="128" spans="1:13">
      <c r="A128" s="457"/>
      <c r="B128" s="458"/>
      <c r="C128" s="458"/>
      <c r="D128" s="458"/>
      <c r="E128" s="459"/>
      <c r="F128" s="264"/>
      <c r="G128" s="264"/>
      <c r="H128" s="264"/>
      <c r="I128" s="264"/>
      <c r="J128" s="264"/>
      <c r="K128" s="264"/>
      <c r="L128" s="264"/>
      <c r="M128" s="264"/>
    </row>
    <row r="129" spans="1:13">
      <c r="A129" s="457"/>
      <c r="B129" s="458"/>
      <c r="C129" s="458"/>
      <c r="D129" s="458"/>
      <c r="E129" s="459"/>
      <c r="F129" s="264"/>
      <c r="G129" s="264"/>
      <c r="H129" s="264"/>
      <c r="I129" s="264"/>
      <c r="J129" s="264"/>
      <c r="K129" s="264"/>
      <c r="L129" s="264"/>
      <c r="M129" s="264"/>
    </row>
    <row r="130" spans="1:13">
      <c r="A130" s="457"/>
      <c r="B130" s="458"/>
      <c r="C130" s="458"/>
      <c r="D130" s="458"/>
      <c r="E130" s="459"/>
      <c r="F130" s="264"/>
      <c r="G130" s="264"/>
      <c r="H130" s="264"/>
      <c r="I130" s="264"/>
      <c r="J130" s="264"/>
      <c r="K130" s="264"/>
      <c r="L130" s="264"/>
      <c r="M130" s="264"/>
    </row>
    <row r="131" spans="1:13">
      <c r="A131" s="457"/>
      <c r="B131" s="458"/>
      <c r="C131" s="458"/>
      <c r="D131" s="458"/>
      <c r="E131" s="459"/>
      <c r="F131" s="264"/>
      <c r="G131" s="264"/>
      <c r="H131" s="264"/>
      <c r="I131" s="264"/>
      <c r="J131" s="264"/>
      <c r="K131" s="264"/>
      <c r="L131" s="264"/>
      <c r="M131" s="264"/>
    </row>
    <row r="132" spans="1:13">
      <c r="A132" s="457"/>
      <c r="B132" s="458"/>
      <c r="C132" s="458"/>
      <c r="D132" s="458"/>
      <c r="E132" s="459"/>
      <c r="F132" s="264"/>
      <c r="G132" s="264"/>
      <c r="H132" s="264"/>
      <c r="I132" s="264"/>
      <c r="J132" s="264"/>
      <c r="K132" s="264"/>
      <c r="L132" s="264"/>
      <c r="M132" s="264"/>
    </row>
    <row r="133" spans="1:13">
      <c r="A133" s="457"/>
      <c r="B133" s="458"/>
      <c r="C133" s="458"/>
      <c r="D133" s="458"/>
      <c r="E133" s="459"/>
      <c r="F133" s="264"/>
      <c r="G133" s="264"/>
      <c r="H133" s="264"/>
      <c r="I133" s="264"/>
      <c r="J133" s="264"/>
      <c r="K133" s="264"/>
      <c r="L133" s="264"/>
      <c r="M133" s="264"/>
    </row>
    <row r="134" spans="1:13">
      <c r="A134" s="457"/>
      <c r="B134" s="458"/>
      <c r="C134" s="458"/>
      <c r="D134" s="458"/>
      <c r="E134" s="459"/>
      <c r="F134" s="264"/>
      <c r="G134" s="264"/>
      <c r="H134" s="264"/>
      <c r="I134" s="264"/>
      <c r="J134" s="264"/>
      <c r="K134" s="264"/>
      <c r="L134" s="264"/>
      <c r="M134" s="264"/>
    </row>
    <row r="135" spans="1:13">
      <c r="A135" s="457"/>
      <c r="B135" s="458"/>
      <c r="C135" s="458"/>
      <c r="D135" s="458"/>
      <c r="E135" s="459"/>
      <c r="F135" s="264"/>
      <c r="G135" s="264"/>
      <c r="H135" s="264"/>
      <c r="I135" s="264"/>
      <c r="J135" s="264"/>
      <c r="K135" s="264"/>
      <c r="L135" s="264"/>
      <c r="M135" s="264"/>
    </row>
    <row r="136" spans="1:13">
      <c r="A136" s="457"/>
      <c r="B136" s="458"/>
      <c r="C136" s="458"/>
      <c r="D136" s="458"/>
      <c r="E136" s="459"/>
      <c r="F136" s="264"/>
      <c r="G136" s="264"/>
      <c r="H136" s="264"/>
      <c r="I136" s="264"/>
      <c r="J136" s="264"/>
      <c r="K136" s="264"/>
      <c r="L136" s="264"/>
      <c r="M136" s="264"/>
    </row>
    <row r="137" spans="1:13">
      <c r="A137" s="457"/>
      <c r="B137" s="458"/>
      <c r="C137" s="458"/>
      <c r="D137" s="458"/>
      <c r="E137" s="459"/>
      <c r="F137" s="453"/>
      <c r="G137" s="264"/>
      <c r="H137" s="453"/>
      <c r="I137" s="408"/>
      <c r="J137" s="264"/>
      <c r="K137" s="264"/>
      <c r="L137" s="264"/>
      <c r="M137" s="264"/>
    </row>
    <row r="138" spans="1:13">
      <c r="A138" s="457"/>
      <c r="B138" s="458"/>
      <c r="C138" s="458"/>
      <c r="D138" s="458"/>
      <c r="E138" s="459"/>
      <c r="F138" s="453"/>
      <c r="G138" s="264"/>
      <c r="H138" s="453"/>
      <c r="I138" s="408"/>
      <c r="J138" s="264"/>
      <c r="K138" s="264"/>
      <c r="L138" s="264"/>
      <c r="M138" s="264"/>
    </row>
    <row r="139" spans="1:13">
      <c r="A139" s="457"/>
      <c r="B139" s="458"/>
      <c r="C139" s="458"/>
      <c r="D139" s="458"/>
      <c r="E139" s="459"/>
      <c r="F139" s="453"/>
      <c r="G139" s="264"/>
      <c r="H139" s="453"/>
      <c r="I139" s="408"/>
      <c r="J139" s="264"/>
      <c r="K139" s="264"/>
      <c r="L139" s="264"/>
      <c r="M139" s="264"/>
    </row>
    <row r="140" spans="1:13">
      <c r="A140" s="457"/>
      <c r="B140" s="458"/>
      <c r="C140" s="458"/>
      <c r="D140" s="458"/>
      <c r="E140" s="459"/>
      <c r="F140" s="264"/>
      <c r="G140" s="264"/>
      <c r="H140" s="264"/>
      <c r="I140" s="264"/>
      <c r="J140" s="264"/>
      <c r="K140" s="264"/>
      <c r="L140" s="264"/>
      <c r="M140" s="264"/>
    </row>
    <row r="141" spans="1:13">
      <c r="A141" s="457"/>
      <c r="B141" s="458"/>
      <c r="C141" s="458"/>
      <c r="D141" s="458"/>
      <c r="E141" s="459"/>
      <c r="F141" s="264"/>
      <c r="G141" s="264"/>
      <c r="H141" s="264"/>
      <c r="I141" s="264"/>
      <c r="J141" s="264"/>
      <c r="K141" s="264"/>
      <c r="L141" s="264"/>
      <c r="M141" s="264"/>
    </row>
    <row r="142" spans="1:13">
      <c r="A142" s="457"/>
      <c r="B142" s="458"/>
      <c r="C142" s="458"/>
      <c r="D142" s="458"/>
      <c r="E142" s="459"/>
      <c r="F142" s="264"/>
      <c r="G142" s="264"/>
      <c r="H142" s="264"/>
      <c r="I142" s="264"/>
      <c r="J142" s="264"/>
      <c r="K142" s="264"/>
      <c r="L142" s="264"/>
      <c r="M142" s="264"/>
    </row>
    <row r="143" spans="1:13">
      <c r="A143" s="457"/>
      <c r="B143" s="458"/>
      <c r="C143" s="458"/>
      <c r="D143" s="458"/>
      <c r="E143" s="459"/>
      <c r="F143" s="264"/>
      <c r="G143" s="264"/>
      <c r="H143" s="264"/>
      <c r="I143" s="264"/>
      <c r="J143" s="264"/>
      <c r="K143" s="264"/>
      <c r="L143" s="264"/>
      <c r="M143" s="264"/>
    </row>
    <row r="144" spans="1:13">
      <c r="A144" s="457"/>
      <c r="B144" s="458"/>
      <c r="C144" s="458"/>
      <c r="D144" s="458"/>
      <c r="E144" s="459"/>
      <c r="F144" s="264"/>
      <c r="G144" s="264"/>
      <c r="H144" s="264"/>
      <c r="I144" s="264"/>
      <c r="J144" s="264"/>
      <c r="K144" s="264"/>
      <c r="L144" s="264"/>
      <c r="M144" s="264"/>
    </row>
    <row r="145" spans="1:13">
      <c r="A145" s="457"/>
      <c r="B145" s="458"/>
      <c r="C145" s="458"/>
      <c r="D145" s="458"/>
      <c r="E145" s="459"/>
      <c r="F145" s="264"/>
      <c r="G145" s="264"/>
      <c r="H145" s="264"/>
      <c r="I145" s="264"/>
      <c r="J145" s="264"/>
      <c r="K145" s="264"/>
      <c r="L145" s="264"/>
      <c r="M145" s="264"/>
    </row>
    <row r="146" spans="1:13">
      <c r="A146" s="457"/>
      <c r="B146" s="458"/>
      <c r="C146" s="458"/>
      <c r="D146" s="458"/>
      <c r="E146" s="459"/>
      <c r="F146" s="264"/>
      <c r="G146" s="264"/>
      <c r="H146" s="264"/>
      <c r="I146" s="264"/>
      <c r="J146" s="264"/>
      <c r="K146" s="264"/>
      <c r="L146" s="264"/>
      <c r="M146" s="264"/>
    </row>
    <row r="147" spans="1:13">
      <c r="A147" s="457"/>
      <c r="B147" s="458"/>
      <c r="C147" s="458"/>
      <c r="D147" s="458"/>
      <c r="E147" s="459"/>
      <c r="F147" s="264"/>
      <c r="G147" s="264"/>
      <c r="H147" s="264"/>
      <c r="I147" s="264"/>
      <c r="J147" s="264"/>
      <c r="K147" s="264"/>
      <c r="L147" s="264"/>
      <c r="M147" s="264"/>
    </row>
    <row r="148" spans="1:13">
      <c r="A148" s="457"/>
      <c r="B148" s="458"/>
      <c r="C148" s="458"/>
      <c r="D148" s="458"/>
      <c r="E148" s="459"/>
      <c r="F148" s="264"/>
      <c r="G148" s="264"/>
      <c r="H148" s="264"/>
      <c r="I148" s="264"/>
      <c r="J148" s="264"/>
      <c r="K148" s="264"/>
      <c r="L148" s="264"/>
      <c r="M148" s="264"/>
    </row>
    <row r="149" spans="1:13">
      <c r="A149" s="457"/>
      <c r="B149" s="458"/>
      <c r="C149" s="458"/>
      <c r="D149" s="458"/>
      <c r="E149" s="264"/>
      <c r="F149" s="264"/>
      <c r="G149" s="264"/>
      <c r="H149" s="264"/>
      <c r="I149" s="264"/>
      <c r="J149" s="264"/>
      <c r="K149" s="264"/>
      <c r="L149" s="264"/>
      <c r="M149" s="264"/>
    </row>
    <row r="150" spans="1:13">
      <c r="A150" s="457"/>
      <c r="B150" s="458"/>
      <c r="C150" s="458"/>
      <c r="D150" s="458"/>
      <c r="E150" s="459"/>
      <c r="F150" s="453"/>
      <c r="G150" s="264"/>
      <c r="H150" s="453"/>
      <c r="I150" s="408"/>
      <c r="J150" s="264"/>
      <c r="K150" s="264"/>
      <c r="L150" s="264"/>
      <c r="M150" s="264"/>
    </row>
    <row r="151" spans="1:13">
      <c r="A151" s="457"/>
      <c r="B151" s="458"/>
      <c r="C151" s="458"/>
      <c r="D151" s="458"/>
      <c r="E151" s="459"/>
      <c r="F151" s="453"/>
      <c r="G151" s="264"/>
      <c r="H151" s="453"/>
      <c r="I151" s="408"/>
      <c r="J151" s="264"/>
      <c r="K151" s="264"/>
      <c r="L151" s="264"/>
      <c r="M151" s="264"/>
    </row>
    <row r="152" spans="1:13">
      <c r="A152" s="457"/>
      <c r="B152" s="458"/>
      <c r="C152" s="458"/>
      <c r="D152" s="458"/>
      <c r="E152" s="459"/>
      <c r="F152" s="264"/>
      <c r="G152" s="264"/>
      <c r="H152" s="264"/>
      <c r="I152" s="264"/>
      <c r="J152" s="264"/>
      <c r="K152" s="264"/>
      <c r="L152" s="264"/>
      <c r="M152" s="264"/>
    </row>
    <row r="153" spans="1:13">
      <c r="A153" s="457"/>
      <c r="B153" s="458"/>
      <c r="C153" s="458"/>
      <c r="D153" s="458"/>
      <c r="E153" s="459"/>
      <c r="F153" s="264"/>
      <c r="G153" s="264"/>
      <c r="H153" s="264"/>
      <c r="I153" s="264"/>
      <c r="J153" s="264"/>
      <c r="K153" s="264"/>
      <c r="L153" s="264"/>
      <c r="M153" s="264"/>
    </row>
    <row r="154" spans="1:13">
      <c r="A154" s="457"/>
      <c r="B154" s="458"/>
      <c r="C154" s="458"/>
      <c r="D154" s="458"/>
      <c r="E154" s="459"/>
      <c r="F154" s="264"/>
      <c r="G154" s="264"/>
      <c r="H154" s="264"/>
      <c r="I154" s="264"/>
      <c r="J154" s="264"/>
      <c r="K154" s="264"/>
      <c r="L154" s="264"/>
      <c r="M154" s="264"/>
    </row>
    <row r="155" spans="1:13">
      <c r="A155" s="457"/>
      <c r="B155" s="458"/>
      <c r="C155" s="458"/>
      <c r="D155" s="458"/>
      <c r="E155" s="459"/>
      <c r="F155" s="264"/>
      <c r="G155" s="264"/>
      <c r="H155" s="264"/>
      <c r="I155" s="264"/>
      <c r="J155" s="264"/>
      <c r="K155" s="264"/>
      <c r="L155" s="264"/>
      <c r="M155" s="264"/>
    </row>
    <row r="156" spans="1:13">
      <c r="A156" s="457"/>
      <c r="B156" s="458"/>
      <c r="C156" s="458"/>
      <c r="D156" s="458"/>
      <c r="E156" s="459"/>
      <c r="F156" s="264"/>
      <c r="G156" s="264"/>
      <c r="H156" s="264"/>
      <c r="I156" s="264"/>
      <c r="J156" s="264"/>
      <c r="K156" s="264"/>
      <c r="L156" s="264"/>
      <c r="M156" s="264"/>
    </row>
    <row r="157" spans="1:13">
      <c r="A157" s="457"/>
      <c r="B157" s="458"/>
      <c r="C157" s="458"/>
      <c r="D157" s="458"/>
      <c r="E157" s="459"/>
      <c r="F157" s="264"/>
      <c r="G157" s="264"/>
      <c r="H157" s="264"/>
      <c r="I157" s="264"/>
      <c r="J157" s="264"/>
      <c r="K157" s="264"/>
      <c r="L157" s="264"/>
      <c r="M157" s="264"/>
    </row>
    <row r="158" spans="1:13">
      <c r="A158" s="457"/>
      <c r="B158" s="458"/>
      <c r="C158" s="458"/>
      <c r="D158" s="458"/>
      <c r="E158" s="459"/>
      <c r="F158" s="264"/>
      <c r="G158" s="264"/>
      <c r="H158" s="264"/>
      <c r="I158" s="264"/>
      <c r="J158" s="264"/>
      <c r="K158" s="264"/>
      <c r="L158" s="264"/>
      <c r="M158" s="264"/>
    </row>
    <row r="159" spans="1:13">
      <c r="A159" s="457"/>
      <c r="B159" s="458"/>
      <c r="C159" s="458"/>
      <c r="D159" s="458"/>
      <c r="E159" s="459"/>
      <c r="F159" s="264"/>
      <c r="G159" s="264"/>
      <c r="H159" s="264"/>
      <c r="I159" s="264"/>
      <c r="J159" s="264"/>
      <c r="K159" s="264"/>
      <c r="L159" s="264"/>
      <c r="M159" s="264"/>
    </row>
    <row r="160" spans="1:13">
      <c r="A160" s="457"/>
      <c r="B160" s="458"/>
      <c r="C160" s="458"/>
      <c r="D160" s="458"/>
      <c r="E160" s="459"/>
      <c r="F160" s="264"/>
      <c r="G160" s="264"/>
      <c r="H160" s="264"/>
      <c r="I160" s="264"/>
      <c r="J160" s="264"/>
      <c r="K160" s="264"/>
      <c r="L160" s="264"/>
      <c r="M160" s="264"/>
    </row>
    <row r="161" spans="1:13">
      <c r="A161" s="457"/>
      <c r="B161" s="458"/>
      <c r="C161" s="458"/>
      <c r="D161" s="458"/>
      <c r="E161" s="264"/>
      <c r="F161" s="264"/>
      <c r="G161" s="264"/>
      <c r="H161" s="264"/>
      <c r="I161" s="264"/>
      <c r="J161" s="264"/>
      <c r="K161" s="264"/>
      <c r="L161" s="264"/>
      <c r="M161" s="264"/>
    </row>
    <row r="162" spans="1:13">
      <c r="A162" s="457"/>
      <c r="B162" s="458"/>
      <c r="C162" s="458"/>
      <c r="D162" s="458"/>
      <c r="E162" s="459"/>
      <c r="F162" s="453"/>
      <c r="G162" s="264"/>
      <c r="H162" s="453"/>
      <c r="I162" s="408"/>
      <c r="J162" s="264"/>
      <c r="K162" s="264"/>
      <c r="L162" s="264"/>
      <c r="M162" s="264"/>
    </row>
    <row r="163" spans="1:13">
      <c r="A163" s="457"/>
      <c r="B163" s="458"/>
      <c r="C163" s="458"/>
      <c r="D163" s="458"/>
      <c r="E163" s="459"/>
      <c r="F163" s="453"/>
      <c r="G163" s="264"/>
      <c r="H163" s="453"/>
      <c r="I163" s="408"/>
      <c r="J163" s="264"/>
      <c r="K163" s="264"/>
      <c r="L163" s="264"/>
      <c r="M163" s="264"/>
    </row>
    <row r="164" spans="1:13">
      <c r="A164" s="457"/>
      <c r="B164" s="458"/>
      <c r="C164" s="458"/>
      <c r="D164" s="458"/>
      <c r="E164" s="459"/>
      <c r="F164" s="453"/>
      <c r="G164" s="264"/>
      <c r="H164" s="264"/>
      <c r="I164" s="264"/>
      <c r="J164" s="264"/>
      <c r="K164" s="264"/>
      <c r="L164" s="264"/>
      <c r="M164" s="264"/>
    </row>
    <row r="165" spans="1:13">
      <c r="A165" s="457"/>
      <c r="B165" s="458"/>
      <c r="C165" s="458"/>
      <c r="D165" s="458"/>
      <c r="E165" s="459"/>
      <c r="F165" s="453"/>
      <c r="G165" s="264"/>
      <c r="H165" s="264"/>
      <c r="I165" s="264"/>
      <c r="J165" s="264"/>
      <c r="K165" s="264"/>
      <c r="L165" s="264"/>
      <c r="M165" s="264"/>
    </row>
    <row r="166" spans="1:13">
      <c r="A166" s="457"/>
      <c r="B166" s="458"/>
      <c r="C166" s="458"/>
      <c r="D166" s="458"/>
      <c r="E166" s="459"/>
      <c r="F166" s="453"/>
      <c r="G166" s="264"/>
      <c r="H166" s="264"/>
      <c r="I166" s="264"/>
      <c r="J166" s="264"/>
      <c r="K166" s="264"/>
      <c r="L166" s="264"/>
      <c r="M166" s="264"/>
    </row>
    <row r="167" spans="1:13">
      <c r="A167" s="457"/>
      <c r="B167" s="458"/>
      <c r="C167" s="458"/>
      <c r="D167" s="458"/>
      <c r="E167" s="459"/>
      <c r="F167" s="264"/>
      <c r="G167" s="264"/>
      <c r="H167" s="264"/>
      <c r="I167" s="264"/>
      <c r="J167" s="264"/>
      <c r="K167" s="264"/>
      <c r="L167" s="264"/>
      <c r="M167" s="264"/>
    </row>
    <row r="168" spans="1:13">
      <c r="A168" s="457"/>
      <c r="B168" s="458"/>
      <c r="C168" s="458"/>
      <c r="D168" s="458"/>
      <c r="E168" s="459"/>
      <c r="F168" s="264"/>
      <c r="G168" s="264"/>
      <c r="H168" s="264"/>
      <c r="I168" s="264"/>
      <c r="J168" s="264"/>
      <c r="K168" s="264"/>
      <c r="L168" s="264"/>
      <c r="M168" s="264"/>
    </row>
    <row r="169" spans="1:13">
      <c r="A169" s="457"/>
      <c r="B169" s="458"/>
      <c r="C169" s="458"/>
      <c r="D169" s="458"/>
      <c r="E169" s="459"/>
      <c r="F169" s="264"/>
      <c r="G169" s="264"/>
      <c r="H169" s="264"/>
      <c r="I169" s="264"/>
      <c r="J169" s="264"/>
      <c r="K169" s="264"/>
      <c r="L169" s="264"/>
      <c r="M169" s="264"/>
    </row>
    <row r="170" spans="1:13">
      <c r="A170" s="457"/>
      <c r="B170" s="458"/>
      <c r="C170" s="458"/>
      <c r="D170" s="458"/>
      <c r="E170" s="459"/>
      <c r="F170" s="264"/>
      <c r="G170" s="264"/>
      <c r="H170" s="264"/>
      <c r="I170" s="264"/>
      <c r="J170" s="264"/>
      <c r="K170" s="264"/>
      <c r="L170" s="264"/>
      <c r="M170" s="264"/>
    </row>
    <row r="171" spans="1:13">
      <c r="A171" s="457"/>
      <c r="B171" s="458"/>
      <c r="C171" s="458"/>
      <c r="D171" s="458"/>
      <c r="E171" s="459"/>
      <c r="F171" s="264"/>
      <c r="G171" s="264"/>
      <c r="H171" s="264"/>
      <c r="I171" s="264"/>
      <c r="J171" s="264"/>
      <c r="K171" s="264"/>
      <c r="L171" s="264"/>
      <c r="M171" s="264"/>
    </row>
    <row r="172" spans="1:13">
      <c r="A172" s="457"/>
      <c r="B172" s="458"/>
      <c r="C172" s="458"/>
      <c r="D172" s="458"/>
      <c r="E172" s="459"/>
      <c r="F172" s="264"/>
      <c r="G172" s="264"/>
      <c r="H172" s="264"/>
      <c r="I172" s="264"/>
      <c r="J172" s="264"/>
      <c r="K172" s="264"/>
      <c r="L172" s="264"/>
      <c r="M172" s="264"/>
    </row>
    <row r="173" spans="1:13">
      <c r="A173" s="457"/>
      <c r="B173" s="458"/>
      <c r="C173" s="458"/>
      <c r="D173" s="458"/>
      <c r="E173" s="264"/>
      <c r="F173" s="264"/>
      <c r="G173" s="264"/>
      <c r="H173" s="264"/>
      <c r="I173" s="264"/>
      <c r="J173" s="264"/>
      <c r="K173" s="264"/>
      <c r="L173" s="264"/>
      <c r="M173" s="264"/>
    </row>
    <row r="174" spans="1:13">
      <c r="A174" s="457"/>
      <c r="B174" s="458"/>
      <c r="C174" s="458"/>
      <c r="D174" s="458"/>
      <c r="E174" s="459"/>
      <c r="F174" s="453"/>
      <c r="G174" s="264"/>
      <c r="H174" s="453"/>
      <c r="I174" s="408"/>
      <c r="J174" s="264"/>
      <c r="K174" s="264"/>
      <c r="L174" s="264"/>
      <c r="M174" s="264"/>
    </row>
    <row r="175" spans="1:13">
      <c r="A175" s="457"/>
      <c r="B175" s="458"/>
      <c r="C175" s="458"/>
      <c r="D175" s="458"/>
      <c r="E175" s="459"/>
      <c r="F175" s="453"/>
      <c r="G175" s="264"/>
      <c r="H175" s="453"/>
      <c r="I175" s="408"/>
      <c r="J175" s="264"/>
      <c r="K175" s="264"/>
      <c r="L175" s="264"/>
      <c r="M175" s="264"/>
    </row>
    <row r="176" spans="1:13">
      <c r="A176" s="457"/>
      <c r="B176" s="458"/>
      <c r="C176" s="458"/>
      <c r="D176" s="458"/>
      <c r="E176" s="459"/>
      <c r="F176" s="453"/>
      <c r="G176" s="264"/>
      <c r="H176" s="264"/>
      <c r="I176" s="264"/>
      <c r="J176" s="264"/>
      <c r="K176" s="264"/>
      <c r="L176" s="264"/>
      <c r="M176" s="264"/>
    </row>
    <row r="177" spans="1:17">
      <c r="A177" s="457"/>
      <c r="B177" s="458"/>
      <c r="C177" s="458"/>
      <c r="D177" s="458"/>
      <c r="E177" s="459"/>
      <c r="F177" s="453"/>
      <c r="G177" s="264"/>
      <c r="H177" s="264"/>
      <c r="I177" s="264"/>
      <c r="J177" s="264"/>
      <c r="K177" s="264"/>
      <c r="L177" s="264"/>
      <c r="M177" s="264"/>
    </row>
    <row r="178" spans="1:17">
      <c r="A178" s="457"/>
      <c r="B178" s="458"/>
      <c r="C178" s="458"/>
      <c r="D178" s="458"/>
      <c r="E178" s="459"/>
      <c r="F178" s="453"/>
      <c r="G178" s="264"/>
      <c r="H178" s="264"/>
      <c r="I178" s="264"/>
      <c r="J178" s="264"/>
      <c r="K178" s="264"/>
      <c r="L178" s="264"/>
      <c r="M178" s="264"/>
    </row>
    <row r="179" spans="1:17">
      <c r="A179" s="457"/>
      <c r="B179" s="458"/>
      <c r="C179" s="458"/>
      <c r="D179" s="458"/>
      <c r="E179" s="459"/>
      <c r="F179" s="264"/>
      <c r="G179" s="264"/>
      <c r="H179" s="264"/>
      <c r="I179" s="264"/>
      <c r="J179" s="264"/>
      <c r="K179" s="264"/>
      <c r="L179" s="264"/>
      <c r="M179" s="264"/>
    </row>
    <row r="180" spans="1:17">
      <c r="A180" s="457"/>
      <c r="B180" s="458"/>
      <c r="C180" s="458"/>
      <c r="D180" s="458"/>
      <c r="E180" s="459"/>
      <c r="F180" s="264"/>
      <c r="G180" s="264"/>
      <c r="H180" s="264"/>
      <c r="I180" s="264"/>
      <c r="J180" s="264"/>
      <c r="K180" s="264"/>
      <c r="L180" s="264"/>
      <c r="M180" s="264"/>
    </row>
    <row r="181" spans="1:17">
      <c r="A181" s="457"/>
      <c r="B181" s="458"/>
      <c r="C181" s="458"/>
      <c r="D181" s="458"/>
      <c r="E181" s="459"/>
      <c r="F181" s="264"/>
      <c r="G181" s="264"/>
      <c r="H181" s="264"/>
      <c r="I181" s="264"/>
      <c r="J181" s="264"/>
      <c r="K181" s="264"/>
      <c r="L181" s="264"/>
      <c r="M181" s="264"/>
    </row>
    <row r="182" spans="1:17">
      <c r="A182" s="457"/>
      <c r="B182" s="458"/>
      <c r="C182" s="458"/>
      <c r="D182" s="458"/>
      <c r="E182" s="459"/>
      <c r="F182" s="264"/>
      <c r="G182" s="264"/>
      <c r="H182" s="264"/>
      <c r="I182" s="264"/>
      <c r="J182" s="264"/>
      <c r="K182" s="264"/>
      <c r="L182" s="264"/>
      <c r="M182" s="264"/>
    </row>
    <row r="183" spans="1:17">
      <c r="A183" s="457"/>
      <c r="B183" s="458"/>
      <c r="C183" s="458"/>
      <c r="D183" s="458"/>
      <c r="E183" s="459"/>
      <c r="F183" s="264"/>
      <c r="G183" s="264"/>
      <c r="H183" s="264"/>
      <c r="I183" s="264"/>
      <c r="J183" s="264"/>
      <c r="K183" s="264"/>
      <c r="L183" s="264"/>
      <c r="M183" s="264"/>
    </row>
    <row r="184" spans="1:17">
      <c r="A184" s="457"/>
      <c r="B184" s="458"/>
      <c r="C184" s="458"/>
      <c r="D184" s="458"/>
      <c r="E184" s="459"/>
      <c r="F184" s="264"/>
      <c r="G184" s="264"/>
      <c r="H184" s="264"/>
      <c r="I184" s="264"/>
      <c r="J184" s="264"/>
      <c r="K184" s="264"/>
      <c r="L184" s="264"/>
      <c r="M184" s="264"/>
    </row>
    <row r="185" spans="1:17">
      <c r="A185" s="457"/>
      <c r="B185" s="458"/>
      <c r="C185" s="458"/>
      <c r="D185" s="458"/>
      <c r="E185" s="459"/>
      <c r="F185" s="264"/>
      <c r="G185" s="264"/>
      <c r="H185" s="264"/>
      <c r="I185" s="264"/>
      <c r="J185" s="264"/>
      <c r="K185" s="264"/>
      <c r="L185" s="264"/>
      <c r="M185" s="264"/>
    </row>
    <row r="186" spans="1:17">
      <c r="A186" s="457"/>
      <c r="B186" s="458"/>
      <c r="C186" s="458"/>
      <c r="D186" s="458"/>
      <c r="E186" s="459"/>
      <c r="F186" s="264"/>
      <c r="G186" s="264"/>
      <c r="H186" s="264"/>
      <c r="I186" s="264"/>
      <c r="J186" s="264"/>
      <c r="K186" s="264"/>
      <c r="L186" s="264"/>
      <c r="M186" s="264"/>
    </row>
    <row r="187" spans="1:17">
      <c r="A187" s="457"/>
      <c r="B187" s="458"/>
      <c r="C187" s="458"/>
      <c r="D187" s="458"/>
      <c r="E187" s="459"/>
      <c r="F187" s="264"/>
      <c r="G187" s="264"/>
      <c r="H187" s="264"/>
      <c r="I187" s="264"/>
      <c r="J187" s="264"/>
      <c r="K187" s="264"/>
      <c r="L187" s="264"/>
      <c r="M187" s="264"/>
    </row>
    <row r="188" spans="1:17">
      <c r="A188" s="457"/>
      <c r="B188" s="458"/>
      <c r="C188" s="458"/>
      <c r="D188" s="458"/>
      <c r="E188" s="264"/>
      <c r="F188" s="264"/>
      <c r="G188" s="264"/>
      <c r="H188" s="264"/>
      <c r="I188" s="264"/>
      <c r="J188" s="264"/>
      <c r="K188" s="264"/>
      <c r="L188" s="264"/>
      <c r="M188" s="264"/>
    </row>
    <row r="189" spans="1:17">
      <c r="A189" s="457"/>
      <c r="B189" s="458"/>
      <c r="C189" s="458"/>
      <c r="D189" s="458"/>
      <c r="E189" s="459"/>
      <c r="F189" s="453"/>
      <c r="G189" s="264"/>
      <c r="H189" s="453"/>
      <c r="I189" s="408"/>
      <c r="J189" s="264"/>
      <c r="K189" s="264"/>
      <c r="L189" s="264"/>
      <c r="M189" s="264"/>
    </row>
    <row r="190" spans="1:17">
      <c r="A190" s="460"/>
      <c r="B190" s="458"/>
      <c r="C190" s="458"/>
      <c r="D190" s="458"/>
      <c r="E190" s="264"/>
      <c r="F190" s="453"/>
      <c r="G190" s="453"/>
      <c r="H190" s="264"/>
      <c r="I190" s="264"/>
      <c r="J190" s="264"/>
      <c r="K190" s="264"/>
      <c r="L190" s="264"/>
      <c r="M190" s="264"/>
    </row>
    <row r="191" spans="1:17">
      <c r="A191" s="264"/>
      <c r="B191" s="264"/>
      <c r="C191" s="264"/>
      <c r="D191" s="264"/>
      <c r="E191" s="264"/>
      <c r="F191" s="264"/>
      <c r="G191" s="264"/>
      <c r="H191" s="264"/>
      <c r="I191" s="264"/>
      <c r="J191" s="264"/>
      <c r="K191" s="264"/>
      <c r="L191" s="264"/>
      <c r="M191" s="264"/>
    </row>
    <row r="192" spans="1:17" customFormat="1">
      <c r="A192" s="264"/>
      <c r="B192" s="264"/>
      <c r="C192" s="264"/>
      <c r="D192" s="264"/>
      <c r="E192" s="344"/>
      <c r="F192" s="344"/>
      <c r="G192" s="344"/>
      <c r="H192" s="344"/>
      <c r="I192" s="344"/>
      <c r="J192" s="344"/>
      <c r="K192" s="344"/>
      <c r="L192" s="344"/>
      <c r="M192" s="344"/>
      <c r="P192" s="779"/>
      <c r="Q192" s="757"/>
    </row>
    <row r="193" spans="1:17" customFormat="1">
      <c r="A193" s="264"/>
      <c r="B193" s="264"/>
      <c r="C193" s="264"/>
      <c r="D193" s="264"/>
      <c r="E193" s="344"/>
      <c r="F193" s="344"/>
      <c r="G193" s="344"/>
      <c r="H193" s="344"/>
      <c r="I193" s="344"/>
      <c r="J193" s="344"/>
      <c r="K193" s="344"/>
      <c r="L193" s="344"/>
      <c r="M193" s="344"/>
      <c r="P193" s="779"/>
      <c r="Q193" s="757"/>
    </row>
    <row r="194" spans="1:17" customFormat="1">
      <c r="A194" s="264"/>
      <c r="B194" s="264"/>
      <c r="C194" s="264"/>
      <c r="D194" s="264"/>
      <c r="E194" s="344"/>
      <c r="F194" s="344"/>
      <c r="G194" s="344"/>
      <c r="H194" s="344"/>
      <c r="I194" s="344"/>
      <c r="J194" s="344"/>
      <c r="K194" s="344"/>
      <c r="L194" s="344"/>
      <c r="M194" s="344"/>
      <c r="P194" s="779"/>
      <c r="Q194" s="757"/>
    </row>
    <row r="195" spans="1:17" customFormat="1">
      <c r="A195" s="264"/>
      <c r="B195" s="264"/>
      <c r="C195" s="264"/>
      <c r="D195" s="264"/>
      <c r="E195" s="344"/>
      <c r="F195" s="344"/>
      <c r="G195" s="344"/>
      <c r="H195" s="344"/>
      <c r="I195" s="264"/>
      <c r="J195" s="264"/>
      <c r="K195" s="264"/>
      <c r="L195" s="344"/>
      <c r="M195" s="344"/>
      <c r="P195" s="779"/>
      <c r="Q195" s="757"/>
    </row>
    <row r="196" spans="1:17" customFormat="1">
      <c r="A196" s="1064"/>
      <c r="B196" s="1064"/>
      <c r="C196" s="1064"/>
      <c r="D196" s="1064"/>
      <c r="E196" s="344"/>
      <c r="F196" s="344"/>
      <c r="G196" s="344"/>
      <c r="H196" s="344"/>
      <c r="I196" s="264"/>
      <c r="J196" s="264"/>
      <c r="K196" s="264"/>
      <c r="L196" s="344"/>
      <c r="M196" s="344"/>
      <c r="P196" s="779"/>
      <c r="Q196" s="757"/>
    </row>
    <row r="197" spans="1:17" customFormat="1">
      <c r="A197" s="341"/>
      <c r="B197" s="341"/>
      <c r="C197" s="341"/>
      <c r="D197" s="341"/>
      <c r="E197" s="344"/>
      <c r="F197" s="264"/>
      <c r="G197" s="406"/>
      <c r="H197" s="344"/>
      <c r="I197" s="406"/>
      <c r="J197" s="407"/>
      <c r="K197" s="264"/>
      <c r="L197" s="344"/>
      <c r="M197" s="344"/>
      <c r="P197" s="779"/>
      <c r="Q197" s="757"/>
    </row>
    <row r="198" spans="1:17" customFormat="1">
      <c r="A198" s="457"/>
      <c r="B198" s="461"/>
      <c r="C198" s="344"/>
      <c r="D198" s="344"/>
      <c r="E198" s="344"/>
      <c r="F198" s="344"/>
      <c r="G198" s="344"/>
      <c r="H198" s="344"/>
      <c r="I198" s="344"/>
      <c r="J198" s="344"/>
      <c r="K198" s="344"/>
      <c r="L198" s="344"/>
      <c r="M198" s="344"/>
      <c r="P198" s="779"/>
      <c r="Q198" s="757"/>
    </row>
    <row r="199" spans="1:17" customFormat="1">
      <c r="A199" s="457"/>
      <c r="B199" s="461"/>
      <c r="C199" s="344"/>
      <c r="D199" s="344"/>
      <c r="E199" s="344"/>
      <c r="F199" s="344"/>
      <c r="G199" s="344"/>
      <c r="H199" s="344"/>
      <c r="I199" s="344"/>
      <c r="J199" s="344"/>
      <c r="K199" s="344"/>
      <c r="L199" s="344"/>
      <c r="M199" s="344"/>
      <c r="P199" s="779"/>
      <c r="Q199" s="757"/>
    </row>
    <row r="200" spans="1:17" customFormat="1">
      <c r="A200" s="457"/>
      <c r="B200" s="461"/>
      <c r="C200" s="344"/>
      <c r="D200" s="344"/>
      <c r="E200" s="344"/>
      <c r="F200" s="344"/>
      <c r="G200" s="344"/>
      <c r="H200" s="344"/>
      <c r="I200" s="344"/>
      <c r="J200" s="344"/>
      <c r="K200" s="344"/>
      <c r="L200" s="344"/>
      <c r="M200" s="344"/>
      <c r="P200" s="779"/>
      <c r="Q200" s="757"/>
    </row>
    <row r="201" spans="1:17" customFormat="1">
      <c r="A201" s="457"/>
      <c r="B201" s="461"/>
      <c r="C201" s="344"/>
      <c r="D201" s="344"/>
      <c r="E201" s="344"/>
      <c r="F201" s="344"/>
      <c r="G201" s="344"/>
      <c r="H201" s="344"/>
      <c r="I201" s="344"/>
      <c r="J201" s="344"/>
      <c r="K201" s="344"/>
      <c r="L201" s="344"/>
      <c r="M201" s="344"/>
      <c r="P201" s="779"/>
      <c r="Q201" s="757"/>
    </row>
    <row r="202" spans="1:17" customFormat="1">
      <c r="A202" s="457"/>
      <c r="B202" s="461"/>
      <c r="C202" s="344"/>
      <c r="D202" s="344"/>
      <c r="E202" s="344"/>
      <c r="F202" s="344"/>
      <c r="G202" s="344"/>
      <c r="H202" s="344"/>
      <c r="I202" s="344"/>
      <c r="J202" s="344"/>
      <c r="K202" s="344"/>
      <c r="L202" s="344"/>
      <c r="M202" s="344"/>
      <c r="P202" s="779"/>
      <c r="Q202" s="757"/>
    </row>
    <row r="203" spans="1:17" customFormat="1">
      <c r="A203" s="457"/>
      <c r="B203" s="461"/>
      <c r="C203" s="344"/>
      <c r="D203" s="344"/>
      <c r="E203" s="344"/>
      <c r="F203" s="344"/>
      <c r="G203" s="344"/>
      <c r="H203" s="344"/>
      <c r="I203" s="344"/>
      <c r="J203" s="344"/>
      <c r="K203" s="344"/>
      <c r="L203" s="344"/>
      <c r="M203" s="344"/>
      <c r="P203" s="779"/>
      <c r="Q203" s="757"/>
    </row>
    <row r="204" spans="1:17" customFormat="1">
      <c r="A204" s="457"/>
      <c r="B204" s="461"/>
      <c r="C204" s="344"/>
      <c r="D204" s="344"/>
      <c r="E204" s="344"/>
      <c r="F204" s="344"/>
      <c r="G204" s="344"/>
      <c r="H204" s="344"/>
      <c r="I204" s="344"/>
      <c r="J204" s="344"/>
      <c r="K204" s="344"/>
      <c r="L204" s="344"/>
      <c r="M204" s="344"/>
      <c r="P204" s="779"/>
      <c r="Q204" s="757"/>
    </row>
    <row r="205" spans="1:17" customFormat="1">
      <c r="A205" s="457"/>
      <c r="B205" s="461"/>
      <c r="C205" s="344"/>
      <c r="D205" s="461"/>
      <c r="E205" s="344"/>
      <c r="F205" s="462"/>
      <c r="G205" s="462"/>
      <c r="H205" s="344"/>
      <c r="I205" s="344"/>
      <c r="J205" s="344"/>
      <c r="K205" s="344"/>
      <c r="L205" s="344"/>
      <c r="M205" s="344"/>
      <c r="P205" s="779"/>
      <c r="Q205" s="757"/>
    </row>
    <row r="206" spans="1:17" customFormat="1">
      <c r="A206" s="457"/>
      <c r="B206" s="461"/>
      <c r="C206" s="344"/>
      <c r="D206" s="344"/>
      <c r="E206" s="344"/>
      <c r="F206" s="344"/>
      <c r="G206" s="344"/>
      <c r="H206" s="344"/>
      <c r="I206" s="344"/>
      <c r="J206" s="344"/>
      <c r="K206" s="344"/>
      <c r="L206" s="344"/>
      <c r="M206" s="344"/>
      <c r="P206" s="779"/>
      <c r="Q206" s="757"/>
    </row>
    <row r="207" spans="1:17" customFormat="1">
      <c r="A207" s="457"/>
      <c r="B207" s="461"/>
      <c r="C207" s="344"/>
      <c r="D207" s="344"/>
      <c r="E207" s="344"/>
      <c r="F207" s="344"/>
      <c r="G207" s="344"/>
      <c r="H207" s="344"/>
      <c r="I207" s="344"/>
      <c r="J207" s="344"/>
      <c r="K207" s="344"/>
      <c r="L207" s="344"/>
      <c r="M207" s="344"/>
      <c r="P207" s="779"/>
      <c r="Q207" s="757"/>
    </row>
    <row r="208" spans="1:17" customFormat="1">
      <c r="A208" s="457"/>
      <c r="B208" s="461"/>
      <c r="C208" s="344"/>
      <c r="D208" s="344"/>
      <c r="E208" s="344"/>
      <c r="F208" s="344"/>
      <c r="G208" s="344"/>
      <c r="H208" s="344"/>
      <c r="I208" s="344"/>
      <c r="J208" s="344"/>
      <c r="K208" s="344"/>
      <c r="L208" s="344"/>
      <c r="M208" s="344"/>
      <c r="P208" s="779"/>
      <c r="Q208" s="757"/>
    </row>
    <row r="209" spans="1:17" customFormat="1">
      <c r="A209" s="457"/>
      <c r="B209" s="461"/>
      <c r="C209" s="344"/>
      <c r="D209" s="344"/>
      <c r="E209" s="344"/>
      <c r="F209" s="344"/>
      <c r="G209" s="344"/>
      <c r="H209" s="344"/>
      <c r="I209" s="344"/>
      <c r="J209" s="344"/>
      <c r="K209" s="344"/>
      <c r="L209" s="344"/>
      <c r="M209" s="344"/>
      <c r="P209" s="779"/>
      <c r="Q209" s="757"/>
    </row>
    <row r="210" spans="1:17" customFormat="1">
      <c r="A210" s="457"/>
      <c r="B210" s="461"/>
      <c r="C210" s="344"/>
      <c r="D210" s="344"/>
      <c r="E210" s="344"/>
      <c r="F210" s="344"/>
      <c r="G210" s="344"/>
      <c r="H210" s="344"/>
      <c r="I210" s="344"/>
      <c r="J210" s="344"/>
      <c r="K210" s="344"/>
      <c r="L210" s="344"/>
      <c r="M210" s="344"/>
      <c r="P210" s="779"/>
      <c r="Q210" s="757"/>
    </row>
    <row r="211" spans="1:17" customFormat="1">
      <c r="A211" s="457"/>
      <c r="B211" s="461"/>
      <c r="C211" s="344"/>
      <c r="D211" s="344"/>
      <c r="E211" s="344"/>
      <c r="F211" s="344"/>
      <c r="G211" s="344"/>
      <c r="H211" s="344"/>
      <c r="I211" s="344"/>
      <c r="J211" s="344"/>
      <c r="K211" s="344"/>
      <c r="L211" s="344"/>
      <c r="M211" s="344"/>
      <c r="P211" s="779"/>
      <c r="Q211" s="757"/>
    </row>
    <row r="212" spans="1:17" customFormat="1">
      <c r="A212" s="457"/>
      <c r="B212" s="461"/>
      <c r="C212" s="344"/>
      <c r="D212" s="344"/>
      <c r="E212" s="344"/>
      <c r="F212" s="344"/>
      <c r="G212" s="344"/>
      <c r="H212" s="344"/>
      <c r="I212" s="344"/>
      <c r="J212" s="344"/>
      <c r="K212" s="344"/>
      <c r="L212" s="344"/>
      <c r="M212" s="344"/>
      <c r="P212" s="779"/>
      <c r="Q212" s="757"/>
    </row>
    <row r="213" spans="1:17" customFormat="1">
      <c r="A213" s="457"/>
      <c r="B213" s="461"/>
      <c r="C213" s="344"/>
      <c r="D213" s="344"/>
      <c r="E213" s="344"/>
      <c r="F213" s="344"/>
      <c r="G213" s="344"/>
      <c r="H213" s="344"/>
      <c r="I213" s="344"/>
      <c r="J213" s="344"/>
      <c r="K213" s="344"/>
      <c r="L213" s="344"/>
      <c r="M213" s="344"/>
      <c r="P213" s="779"/>
      <c r="Q213" s="757"/>
    </row>
    <row r="214" spans="1:17" customFormat="1">
      <c r="A214" s="457"/>
      <c r="B214" s="461"/>
      <c r="C214" s="344"/>
      <c r="D214" s="461"/>
      <c r="E214" s="344"/>
      <c r="F214" s="462"/>
      <c r="G214" s="462"/>
      <c r="H214" s="344"/>
      <c r="I214" s="344"/>
      <c r="J214" s="344"/>
      <c r="K214" s="344"/>
      <c r="L214" s="344"/>
      <c r="M214" s="344"/>
      <c r="P214" s="779"/>
      <c r="Q214" s="757"/>
    </row>
    <row r="215" spans="1:17" customFormat="1">
      <c r="A215" s="457"/>
      <c r="B215" s="461"/>
      <c r="C215" s="344"/>
      <c r="D215" s="344"/>
      <c r="E215" s="344"/>
      <c r="F215" s="344"/>
      <c r="G215" s="344"/>
      <c r="H215" s="344"/>
      <c r="I215" s="344"/>
      <c r="J215" s="344"/>
      <c r="K215" s="344"/>
      <c r="L215" s="344"/>
      <c r="M215" s="344"/>
      <c r="P215" s="779"/>
      <c r="Q215" s="757"/>
    </row>
    <row r="216" spans="1:17" customFormat="1">
      <c r="A216" s="457"/>
      <c r="B216" s="461"/>
      <c r="C216" s="344"/>
      <c r="D216" s="344"/>
      <c r="E216" s="344"/>
      <c r="F216" s="344"/>
      <c r="G216" s="344"/>
      <c r="H216" s="344"/>
      <c r="I216" s="344"/>
      <c r="J216" s="344"/>
      <c r="K216" s="344"/>
      <c r="L216" s="344"/>
      <c r="M216" s="344"/>
      <c r="P216" s="779"/>
      <c r="Q216" s="757"/>
    </row>
    <row r="217" spans="1:17" customFormat="1">
      <c r="A217" s="457"/>
      <c r="B217" s="461"/>
      <c r="C217" s="344"/>
      <c r="D217" s="344"/>
      <c r="E217" s="344"/>
      <c r="F217" s="344"/>
      <c r="G217" s="344"/>
      <c r="H217" s="344"/>
      <c r="I217" s="344"/>
      <c r="J217" s="344"/>
      <c r="K217" s="344"/>
      <c r="L217" s="344"/>
      <c r="M217" s="344"/>
      <c r="P217" s="779"/>
      <c r="Q217" s="757"/>
    </row>
    <row r="218" spans="1:17" customFormat="1">
      <c r="A218" s="457"/>
      <c r="B218" s="461"/>
      <c r="C218" s="344"/>
      <c r="D218" s="344"/>
      <c r="E218" s="344"/>
      <c r="F218" s="344"/>
      <c r="G218" s="344"/>
      <c r="H218" s="344"/>
      <c r="I218" s="344"/>
      <c r="J218" s="344"/>
      <c r="K218" s="344"/>
      <c r="L218" s="344"/>
      <c r="M218" s="344"/>
      <c r="P218" s="779"/>
      <c r="Q218" s="757"/>
    </row>
    <row r="219" spans="1:17" customFormat="1">
      <c r="A219" s="457"/>
      <c r="B219" s="461"/>
      <c r="C219" s="344"/>
      <c r="D219" s="344"/>
      <c r="E219" s="344"/>
      <c r="F219" s="344"/>
      <c r="G219" s="344"/>
      <c r="H219" s="344"/>
      <c r="I219" s="344"/>
      <c r="J219" s="344"/>
      <c r="K219" s="344"/>
      <c r="L219" s="344"/>
      <c r="M219" s="344"/>
      <c r="P219" s="779"/>
      <c r="Q219" s="757"/>
    </row>
    <row r="220" spans="1:17" customFormat="1">
      <c r="A220" s="457"/>
      <c r="B220" s="461"/>
      <c r="C220" s="344"/>
      <c r="D220" s="344"/>
      <c r="E220" s="344"/>
      <c r="F220" s="344"/>
      <c r="G220" s="344"/>
      <c r="H220" s="344"/>
      <c r="I220" s="344"/>
      <c r="J220" s="344"/>
      <c r="K220" s="344"/>
      <c r="L220" s="344"/>
      <c r="M220" s="344"/>
      <c r="P220" s="779"/>
      <c r="Q220" s="757"/>
    </row>
    <row r="221" spans="1:17" customFormat="1">
      <c r="A221" s="457"/>
      <c r="B221" s="461"/>
      <c r="C221" s="344"/>
      <c r="D221" s="344"/>
      <c r="E221" s="344"/>
      <c r="F221" s="344"/>
      <c r="G221" s="344"/>
      <c r="H221" s="344"/>
      <c r="I221" s="344"/>
      <c r="J221" s="344"/>
      <c r="K221" s="344"/>
      <c r="L221" s="344"/>
      <c r="M221" s="344"/>
      <c r="P221" s="779"/>
      <c r="Q221" s="757"/>
    </row>
    <row r="222" spans="1:17" customFormat="1">
      <c r="A222" s="457"/>
      <c r="B222" s="461"/>
      <c r="C222" s="344"/>
      <c r="D222" s="344"/>
      <c r="E222" s="344"/>
      <c r="F222" s="344"/>
      <c r="G222" s="344"/>
      <c r="H222" s="344"/>
      <c r="I222" s="344"/>
      <c r="J222" s="344"/>
      <c r="K222" s="344"/>
      <c r="L222" s="344"/>
      <c r="M222" s="344"/>
      <c r="P222" s="779"/>
      <c r="Q222" s="757"/>
    </row>
    <row r="223" spans="1:17" customFormat="1">
      <c r="A223" s="457"/>
      <c r="B223" s="461"/>
      <c r="C223" s="344"/>
      <c r="D223" s="461"/>
      <c r="E223" s="344"/>
      <c r="F223" s="462"/>
      <c r="G223" s="462"/>
      <c r="H223" s="344"/>
      <c r="I223" s="344"/>
      <c r="J223" s="344"/>
      <c r="K223" s="344"/>
      <c r="L223" s="344"/>
      <c r="M223" s="344"/>
      <c r="P223" s="779"/>
      <c r="Q223" s="757"/>
    </row>
    <row r="224" spans="1:17" customFormat="1">
      <c r="A224" s="457"/>
      <c r="B224" s="461"/>
      <c r="C224" s="344"/>
      <c r="D224" s="344"/>
      <c r="E224" s="344"/>
      <c r="F224" s="344"/>
      <c r="G224" s="344"/>
      <c r="H224" s="344"/>
      <c r="I224" s="344"/>
      <c r="J224" s="344"/>
      <c r="K224" s="344"/>
      <c r="L224" s="344"/>
      <c r="M224" s="344"/>
      <c r="P224" s="779"/>
      <c r="Q224" s="757"/>
    </row>
    <row r="225" spans="1:17" customFormat="1">
      <c r="A225" s="457"/>
      <c r="B225" s="461"/>
      <c r="C225" s="344"/>
      <c r="D225" s="344"/>
      <c r="E225" s="344"/>
      <c r="F225" s="344"/>
      <c r="G225" s="344"/>
      <c r="H225" s="344"/>
      <c r="I225" s="344"/>
      <c r="J225" s="344"/>
      <c r="K225" s="344"/>
      <c r="L225" s="344"/>
      <c r="M225" s="344"/>
      <c r="P225" s="779"/>
      <c r="Q225" s="757"/>
    </row>
    <row r="226" spans="1:17" customFormat="1">
      <c r="A226" s="457"/>
      <c r="B226" s="461"/>
      <c r="C226" s="344"/>
      <c r="D226" s="344"/>
      <c r="E226" s="344"/>
      <c r="F226" s="344"/>
      <c r="G226" s="344"/>
      <c r="H226" s="344"/>
      <c r="I226" s="344"/>
      <c r="J226" s="344"/>
      <c r="K226" s="344"/>
      <c r="L226" s="344"/>
      <c r="M226" s="344"/>
      <c r="P226" s="779"/>
      <c r="Q226" s="757"/>
    </row>
    <row r="227" spans="1:17" customFormat="1">
      <c r="A227" s="457"/>
      <c r="B227" s="461"/>
      <c r="C227" s="344"/>
      <c r="D227" s="344"/>
      <c r="E227" s="344"/>
      <c r="F227" s="344"/>
      <c r="G227" s="344"/>
      <c r="H227" s="344"/>
      <c r="I227" s="344"/>
      <c r="J227" s="344"/>
      <c r="K227" s="344"/>
      <c r="L227" s="344"/>
      <c r="M227" s="344"/>
      <c r="P227" s="779"/>
      <c r="Q227" s="757"/>
    </row>
    <row r="228" spans="1:17" customFormat="1">
      <c r="A228" s="457"/>
      <c r="B228" s="461"/>
      <c r="C228" s="344"/>
      <c r="D228" s="344"/>
      <c r="E228" s="344"/>
      <c r="F228" s="344"/>
      <c r="G228" s="344"/>
      <c r="H228" s="344"/>
      <c r="I228" s="344"/>
      <c r="J228" s="344"/>
      <c r="K228" s="344"/>
      <c r="L228" s="344"/>
      <c r="M228" s="344"/>
      <c r="P228" s="779"/>
      <c r="Q228" s="757"/>
    </row>
    <row r="229" spans="1:17" customFormat="1">
      <c r="A229" s="457"/>
      <c r="B229" s="461"/>
      <c r="C229" s="344"/>
      <c r="D229" s="344"/>
      <c r="E229" s="344"/>
      <c r="F229" s="344"/>
      <c r="G229" s="344"/>
      <c r="H229" s="344"/>
      <c r="I229" s="344"/>
      <c r="J229" s="344"/>
      <c r="K229" s="344"/>
      <c r="L229" s="344"/>
      <c r="M229" s="344"/>
      <c r="P229" s="779"/>
      <c r="Q229" s="757"/>
    </row>
    <row r="230" spans="1:17" customFormat="1">
      <c r="A230" s="457"/>
      <c r="B230" s="461"/>
      <c r="C230" s="344"/>
      <c r="D230" s="344"/>
      <c r="E230" s="344"/>
      <c r="F230" s="344"/>
      <c r="G230" s="344"/>
      <c r="H230" s="344"/>
      <c r="I230" s="344"/>
      <c r="J230" s="344"/>
      <c r="K230" s="344"/>
      <c r="L230" s="344"/>
      <c r="M230" s="344"/>
      <c r="P230" s="779"/>
      <c r="Q230" s="757"/>
    </row>
    <row r="231" spans="1:17" customFormat="1">
      <c r="A231" s="457"/>
      <c r="B231" s="461"/>
      <c r="C231" s="344"/>
      <c r="D231" s="344"/>
      <c r="E231" s="344"/>
      <c r="F231" s="344"/>
      <c r="G231" s="344"/>
      <c r="H231" s="344"/>
      <c r="I231" s="344"/>
      <c r="J231" s="344"/>
      <c r="K231" s="344"/>
      <c r="L231" s="344"/>
      <c r="M231" s="344"/>
      <c r="P231" s="779"/>
      <c r="Q231" s="757"/>
    </row>
    <row r="232" spans="1:17" customFormat="1">
      <c r="A232" s="457"/>
      <c r="B232" s="461"/>
      <c r="C232" s="344"/>
      <c r="D232" s="461"/>
      <c r="E232" s="344"/>
      <c r="F232" s="462"/>
      <c r="G232" s="462"/>
      <c r="H232" s="344"/>
      <c r="I232" s="344"/>
      <c r="J232" s="344"/>
      <c r="K232" s="344"/>
      <c r="L232" s="344"/>
      <c r="M232" s="344"/>
      <c r="P232" s="779"/>
      <c r="Q232" s="757"/>
    </row>
    <row r="233" spans="1:17" customFormat="1">
      <c r="A233" s="457"/>
      <c r="B233" s="461"/>
      <c r="C233" s="344"/>
      <c r="D233" s="344"/>
      <c r="E233" s="344"/>
      <c r="F233" s="344"/>
      <c r="G233" s="344"/>
      <c r="H233" s="344"/>
      <c r="I233" s="344"/>
      <c r="J233" s="344"/>
      <c r="K233" s="344"/>
      <c r="L233" s="344"/>
      <c r="M233" s="344"/>
      <c r="P233" s="779"/>
      <c r="Q233" s="757"/>
    </row>
    <row r="234" spans="1:17" customFormat="1">
      <c r="A234" s="457"/>
      <c r="B234" s="461"/>
      <c r="C234" s="344"/>
      <c r="D234" s="344"/>
      <c r="E234" s="344"/>
      <c r="F234" s="344"/>
      <c r="G234" s="344"/>
      <c r="H234" s="344"/>
      <c r="I234" s="344"/>
      <c r="J234" s="344"/>
      <c r="K234" s="344"/>
      <c r="L234" s="344"/>
      <c r="M234" s="344"/>
      <c r="P234" s="779"/>
      <c r="Q234" s="757"/>
    </row>
    <row r="235" spans="1:17" customFormat="1">
      <c r="A235" s="457"/>
      <c r="B235" s="461"/>
      <c r="C235" s="344"/>
      <c r="D235" s="344"/>
      <c r="E235" s="344"/>
      <c r="F235" s="344"/>
      <c r="G235" s="344"/>
      <c r="H235" s="344"/>
      <c r="I235" s="344"/>
      <c r="J235" s="344"/>
      <c r="K235" s="344"/>
      <c r="L235" s="344"/>
      <c r="M235" s="344"/>
      <c r="P235" s="779"/>
      <c r="Q235" s="757"/>
    </row>
    <row r="236" spans="1:17" customFormat="1">
      <c r="A236" s="457"/>
      <c r="B236" s="461"/>
      <c r="C236" s="344"/>
      <c r="D236" s="344"/>
      <c r="E236" s="344"/>
      <c r="F236" s="344"/>
      <c r="G236" s="344"/>
      <c r="H236" s="344"/>
      <c r="I236" s="344"/>
      <c r="J236" s="344"/>
      <c r="K236" s="344"/>
      <c r="L236" s="344"/>
      <c r="M236" s="344"/>
      <c r="P236" s="779"/>
      <c r="Q236" s="757"/>
    </row>
    <row r="237" spans="1:17" customFormat="1">
      <c r="A237" s="457"/>
      <c r="B237" s="461"/>
      <c r="C237" s="344"/>
      <c r="D237" s="344"/>
      <c r="E237" s="344"/>
      <c r="F237" s="344"/>
      <c r="G237" s="344"/>
      <c r="H237" s="344"/>
      <c r="I237" s="344"/>
      <c r="J237" s="344"/>
      <c r="K237" s="344"/>
      <c r="L237" s="344"/>
      <c r="M237" s="344"/>
      <c r="P237" s="779"/>
      <c r="Q237" s="757"/>
    </row>
    <row r="238" spans="1:17" customFormat="1">
      <c r="A238" s="457"/>
      <c r="B238" s="461"/>
      <c r="C238" s="344"/>
      <c r="D238" s="344"/>
      <c r="E238" s="344"/>
      <c r="F238" s="344"/>
      <c r="G238" s="344"/>
      <c r="H238" s="344"/>
      <c r="I238" s="344"/>
      <c r="J238" s="344"/>
      <c r="K238" s="344"/>
      <c r="L238" s="344"/>
      <c r="M238" s="344"/>
      <c r="P238" s="779"/>
      <c r="Q238" s="757"/>
    </row>
    <row r="239" spans="1:17" customFormat="1">
      <c r="A239" s="457"/>
      <c r="B239" s="461"/>
      <c r="C239" s="344"/>
      <c r="D239" s="344"/>
      <c r="E239" s="344"/>
      <c r="F239" s="344"/>
      <c r="G239" s="344"/>
      <c r="H239" s="344"/>
      <c r="I239" s="344"/>
      <c r="J239" s="344"/>
      <c r="K239" s="344"/>
      <c r="L239" s="344"/>
      <c r="M239" s="344"/>
      <c r="P239" s="779"/>
      <c r="Q239" s="757"/>
    </row>
    <row r="240" spans="1:17" customFormat="1">
      <c r="A240" s="457"/>
      <c r="B240" s="461"/>
      <c r="C240" s="344"/>
      <c r="D240" s="344"/>
      <c r="E240" s="344"/>
      <c r="F240" s="344"/>
      <c r="G240" s="344"/>
      <c r="H240" s="344"/>
      <c r="I240" s="344"/>
      <c r="J240" s="344"/>
      <c r="K240" s="344"/>
      <c r="L240" s="344"/>
      <c r="M240" s="344"/>
      <c r="P240" s="779"/>
      <c r="Q240" s="757"/>
    </row>
    <row r="241" spans="1:17" customFormat="1">
      <c r="A241" s="457"/>
      <c r="B241" s="461"/>
      <c r="C241" s="344"/>
      <c r="D241" s="461"/>
      <c r="E241" s="344"/>
      <c r="F241" s="462"/>
      <c r="G241" s="462"/>
      <c r="H241" s="344"/>
      <c r="I241" s="344"/>
      <c r="J241" s="344"/>
      <c r="K241" s="344"/>
      <c r="L241" s="344"/>
      <c r="M241" s="344"/>
      <c r="P241" s="779"/>
      <c r="Q241" s="757"/>
    </row>
    <row r="242" spans="1:17" customFormat="1">
      <c r="A242" s="457"/>
      <c r="B242" s="461"/>
      <c r="C242" s="344"/>
      <c r="D242" s="344"/>
      <c r="E242" s="344"/>
      <c r="F242" s="344"/>
      <c r="G242" s="344"/>
      <c r="H242" s="344"/>
      <c r="I242" s="344"/>
      <c r="J242" s="344"/>
      <c r="K242" s="344"/>
      <c r="L242" s="344"/>
      <c r="M242" s="344"/>
      <c r="P242" s="779"/>
      <c r="Q242" s="757"/>
    </row>
    <row r="243" spans="1:17" customFormat="1">
      <c r="A243" s="457"/>
      <c r="B243" s="461"/>
      <c r="C243" s="344"/>
      <c r="D243" s="344"/>
      <c r="E243" s="344"/>
      <c r="F243" s="344"/>
      <c r="G243" s="344"/>
      <c r="H243" s="344"/>
      <c r="I243" s="344"/>
      <c r="J243" s="344"/>
      <c r="K243" s="344"/>
      <c r="L243" s="344"/>
      <c r="M243" s="344"/>
      <c r="P243" s="779"/>
      <c r="Q243" s="757"/>
    </row>
    <row r="244" spans="1:17" customFormat="1">
      <c r="A244" s="457"/>
      <c r="B244" s="461"/>
      <c r="C244" s="344"/>
      <c r="D244" s="344"/>
      <c r="E244" s="344"/>
      <c r="F244" s="344"/>
      <c r="G244" s="344"/>
      <c r="H244" s="344"/>
      <c r="I244" s="344"/>
      <c r="J244" s="344"/>
      <c r="K244" s="344"/>
      <c r="L244" s="344"/>
      <c r="M244" s="344"/>
      <c r="P244" s="779"/>
      <c r="Q244" s="757"/>
    </row>
    <row r="245" spans="1:17" customFormat="1">
      <c r="A245" s="457"/>
      <c r="B245" s="461"/>
      <c r="C245" s="344"/>
      <c r="D245" s="344"/>
      <c r="E245" s="344"/>
      <c r="F245" s="344"/>
      <c r="G245" s="344"/>
      <c r="H245" s="344"/>
      <c r="I245" s="344"/>
      <c r="J245" s="344"/>
      <c r="K245" s="344"/>
      <c r="L245" s="344"/>
      <c r="M245" s="344"/>
      <c r="P245" s="779"/>
      <c r="Q245" s="757"/>
    </row>
    <row r="246" spans="1:17" customFormat="1">
      <c r="A246" s="457"/>
      <c r="B246" s="461"/>
      <c r="C246" s="344"/>
      <c r="D246" s="344"/>
      <c r="E246" s="344"/>
      <c r="F246" s="344"/>
      <c r="G246" s="344"/>
      <c r="H246" s="344"/>
      <c r="I246" s="344"/>
      <c r="J246" s="344"/>
      <c r="K246" s="344"/>
      <c r="L246" s="344"/>
      <c r="M246" s="344"/>
      <c r="P246" s="779"/>
      <c r="Q246" s="757"/>
    </row>
    <row r="247" spans="1:17" customFormat="1">
      <c r="A247" s="457"/>
      <c r="B247" s="461"/>
      <c r="C247" s="344"/>
      <c r="D247" s="344"/>
      <c r="E247" s="344"/>
      <c r="F247" s="344"/>
      <c r="G247" s="344"/>
      <c r="H247" s="344"/>
      <c r="I247" s="344"/>
      <c r="J247" s="344"/>
      <c r="K247" s="344"/>
      <c r="L247" s="344"/>
      <c r="M247" s="344"/>
      <c r="P247" s="779"/>
      <c r="Q247" s="757"/>
    </row>
    <row r="248" spans="1:17" customFormat="1">
      <c r="A248" s="457"/>
      <c r="B248" s="461"/>
      <c r="C248" s="344"/>
      <c r="D248" s="344"/>
      <c r="E248" s="344"/>
      <c r="F248" s="344"/>
      <c r="G248" s="344"/>
      <c r="H248" s="344"/>
      <c r="I248" s="344"/>
      <c r="J248" s="344"/>
      <c r="K248" s="344"/>
      <c r="L248" s="344"/>
      <c r="M248" s="344"/>
      <c r="P248" s="779"/>
      <c r="Q248" s="757"/>
    </row>
    <row r="249" spans="1:17" customFormat="1">
      <c r="A249" s="457"/>
      <c r="B249" s="461"/>
      <c r="C249" s="344"/>
      <c r="D249" s="461"/>
      <c r="E249" s="344"/>
      <c r="F249" s="462"/>
      <c r="G249" s="462"/>
      <c r="H249" s="344"/>
      <c r="I249" s="344"/>
      <c r="J249" s="344"/>
      <c r="K249" s="344"/>
      <c r="L249" s="344"/>
      <c r="M249" s="344"/>
      <c r="P249" s="779"/>
      <c r="Q249" s="757"/>
    </row>
    <row r="250" spans="1:17" customFormat="1">
      <c r="A250" s="457"/>
      <c r="B250" s="461"/>
      <c r="C250" s="344"/>
      <c r="D250" s="344"/>
      <c r="E250" s="344"/>
      <c r="F250" s="344"/>
      <c r="G250" s="344"/>
      <c r="H250" s="344"/>
      <c r="I250" s="344"/>
      <c r="J250" s="344"/>
      <c r="K250" s="344"/>
      <c r="L250" s="344"/>
      <c r="M250" s="344"/>
      <c r="P250" s="779"/>
      <c r="Q250" s="757"/>
    </row>
    <row r="251" spans="1:17" customFormat="1">
      <c r="A251" s="457"/>
      <c r="B251" s="461"/>
      <c r="C251" s="344"/>
      <c r="D251" s="344"/>
      <c r="E251" s="344"/>
      <c r="F251" s="344"/>
      <c r="G251" s="344"/>
      <c r="H251" s="344"/>
      <c r="I251" s="344"/>
      <c r="J251" s="344"/>
      <c r="K251" s="344"/>
      <c r="L251" s="344"/>
      <c r="M251" s="344"/>
      <c r="P251" s="779"/>
      <c r="Q251" s="757"/>
    </row>
    <row r="252" spans="1:17" customFormat="1">
      <c r="A252" s="457"/>
      <c r="B252" s="461"/>
      <c r="C252" s="344"/>
      <c r="D252" s="344"/>
      <c r="E252" s="344"/>
      <c r="F252" s="344"/>
      <c r="G252" s="344"/>
      <c r="H252" s="344"/>
      <c r="I252" s="344"/>
      <c r="J252" s="344"/>
      <c r="K252" s="344"/>
      <c r="L252" s="344"/>
      <c r="M252" s="344"/>
      <c r="P252" s="779"/>
      <c r="Q252" s="757"/>
    </row>
    <row r="253" spans="1:17" customFormat="1">
      <c r="A253" s="457"/>
      <c r="B253" s="461"/>
      <c r="C253" s="344"/>
      <c r="D253" s="344"/>
      <c r="E253" s="344"/>
      <c r="F253" s="344"/>
      <c r="G253" s="344"/>
      <c r="H253" s="344"/>
      <c r="I253" s="344"/>
      <c r="J253" s="344"/>
      <c r="K253" s="344"/>
      <c r="L253" s="344"/>
      <c r="M253" s="344"/>
      <c r="P253" s="779"/>
      <c r="Q253" s="757"/>
    </row>
    <row r="254" spans="1:17" customFormat="1">
      <c r="A254" s="457"/>
      <c r="B254" s="461"/>
      <c r="C254" s="344"/>
      <c r="D254" s="344"/>
      <c r="E254" s="344"/>
      <c r="F254" s="344"/>
      <c r="G254" s="344"/>
      <c r="H254" s="344"/>
      <c r="I254" s="344"/>
      <c r="J254" s="344"/>
      <c r="K254" s="344"/>
      <c r="L254" s="344"/>
      <c r="M254" s="344"/>
      <c r="P254" s="779"/>
      <c r="Q254" s="757"/>
    </row>
    <row r="255" spans="1:17" customFormat="1">
      <c r="A255" s="457"/>
      <c r="B255" s="461"/>
      <c r="C255" s="344"/>
      <c r="D255" s="344"/>
      <c r="E255" s="344"/>
      <c r="F255" s="344"/>
      <c r="G255" s="344"/>
      <c r="H255" s="344"/>
      <c r="I255" s="344"/>
      <c r="J255" s="344"/>
      <c r="K255" s="344"/>
      <c r="L255" s="344"/>
      <c r="M255" s="344"/>
      <c r="P255" s="779"/>
      <c r="Q255" s="757"/>
    </row>
    <row r="256" spans="1:17" customFormat="1">
      <c r="A256" s="457"/>
      <c r="B256" s="461"/>
      <c r="C256" s="344"/>
      <c r="D256" s="344"/>
      <c r="E256" s="344"/>
      <c r="F256" s="344"/>
      <c r="G256" s="344"/>
      <c r="H256" s="344"/>
      <c r="I256" s="344"/>
      <c r="J256" s="344"/>
      <c r="K256" s="344"/>
      <c r="L256" s="344"/>
      <c r="M256" s="344"/>
      <c r="P256" s="779"/>
      <c r="Q256" s="757"/>
    </row>
    <row r="257" spans="1:17" customFormat="1">
      <c r="A257" s="457"/>
      <c r="B257" s="461"/>
      <c r="C257" s="344"/>
      <c r="D257" s="344"/>
      <c r="E257" s="344"/>
      <c r="F257" s="344"/>
      <c r="G257" s="344"/>
      <c r="H257" s="344"/>
      <c r="I257" s="344"/>
      <c r="J257" s="344"/>
      <c r="K257" s="344"/>
      <c r="L257" s="344"/>
      <c r="M257" s="344"/>
      <c r="P257" s="779"/>
      <c r="Q257" s="757"/>
    </row>
    <row r="258" spans="1:17" customFormat="1">
      <c r="A258" s="457"/>
      <c r="B258" s="461"/>
      <c r="C258" s="344"/>
      <c r="D258" s="461"/>
      <c r="E258" s="344"/>
      <c r="F258" s="462"/>
      <c r="G258" s="462"/>
      <c r="H258" s="344"/>
      <c r="I258" s="344"/>
      <c r="J258" s="344"/>
      <c r="K258" s="344"/>
      <c r="L258" s="344"/>
      <c r="M258" s="344"/>
      <c r="P258" s="779"/>
      <c r="Q258" s="757"/>
    </row>
    <row r="259" spans="1:17" customFormat="1">
      <c r="A259" s="457"/>
      <c r="B259" s="461"/>
      <c r="C259" s="344"/>
      <c r="D259" s="344"/>
      <c r="E259" s="344"/>
      <c r="F259" s="344"/>
      <c r="G259" s="344"/>
      <c r="H259" s="344"/>
      <c r="I259" s="344"/>
      <c r="J259" s="344"/>
      <c r="K259" s="344"/>
      <c r="L259" s="344"/>
      <c r="M259" s="344"/>
      <c r="P259" s="779"/>
      <c r="Q259" s="757"/>
    </row>
    <row r="260" spans="1:17" customFormat="1">
      <c r="A260" s="457"/>
      <c r="B260" s="461"/>
      <c r="C260" s="344"/>
      <c r="D260" s="344"/>
      <c r="E260" s="344"/>
      <c r="F260" s="344"/>
      <c r="G260" s="344"/>
      <c r="H260" s="344"/>
      <c r="I260" s="344"/>
      <c r="J260" s="344"/>
      <c r="K260" s="344"/>
      <c r="L260" s="344"/>
      <c r="M260" s="344"/>
      <c r="P260" s="779"/>
      <c r="Q260" s="757"/>
    </row>
    <row r="261" spans="1:17" customFormat="1">
      <c r="A261" s="457"/>
      <c r="B261" s="461"/>
      <c r="C261" s="344"/>
      <c r="D261" s="344"/>
      <c r="E261" s="344"/>
      <c r="F261" s="344"/>
      <c r="G261" s="344"/>
      <c r="H261" s="344"/>
      <c r="I261" s="344"/>
      <c r="J261" s="344"/>
      <c r="K261" s="344"/>
      <c r="L261" s="344"/>
      <c r="M261" s="344"/>
      <c r="P261" s="779"/>
      <c r="Q261" s="757"/>
    </row>
    <row r="262" spans="1:17" customFormat="1">
      <c r="A262" s="457"/>
      <c r="B262" s="461"/>
      <c r="C262" s="344"/>
      <c r="D262" s="344"/>
      <c r="E262" s="344"/>
      <c r="F262" s="344"/>
      <c r="G262" s="344"/>
      <c r="H262" s="344"/>
      <c r="I262" s="344"/>
      <c r="J262" s="344"/>
      <c r="K262" s="344"/>
      <c r="L262" s="344"/>
      <c r="M262" s="344"/>
      <c r="P262" s="779"/>
      <c r="Q262" s="757"/>
    </row>
    <row r="263" spans="1:17" customFormat="1">
      <c r="A263" s="457"/>
      <c r="B263" s="461"/>
      <c r="C263" s="344"/>
      <c r="D263" s="344"/>
      <c r="E263" s="344"/>
      <c r="F263" s="344"/>
      <c r="G263" s="344"/>
      <c r="H263" s="344"/>
      <c r="I263" s="344"/>
      <c r="J263" s="344"/>
      <c r="K263" s="344"/>
      <c r="L263" s="344"/>
      <c r="M263" s="344"/>
      <c r="P263" s="779"/>
      <c r="Q263" s="757"/>
    </row>
    <row r="264" spans="1:17" customFormat="1">
      <c r="A264" s="457"/>
      <c r="B264" s="461"/>
      <c r="C264" s="344"/>
      <c r="D264" s="344"/>
      <c r="E264" s="344"/>
      <c r="F264" s="344"/>
      <c r="G264" s="344"/>
      <c r="H264" s="344"/>
      <c r="I264" s="344"/>
      <c r="J264" s="344"/>
      <c r="K264" s="344"/>
      <c r="L264" s="344"/>
      <c r="M264" s="344"/>
      <c r="P264" s="779"/>
      <c r="Q264" s="757"/>
    </row>
    <row r="265" spans="1:17" customFormat="1">
      <c r="A265" s="457"/>
      <c r="B265" s="461"/>
      <c r="C265" s="344"/>
      <c r="D265" s="344"/>
      <c r="E265" s="344"/>
      <c r="F265" s="344"/>
      <c r="G265" s="344"/>
      <c r="H265" s="344"/>
      <c r="I265" s="344"/>
      <c r="J265" s="344"/>
      <c r="K265" s="344"/>
      <c r="L265" s="344"/>
      <c r="M265" s="344"/>
      <c r="P265" s="779"/>
      <c r="Q265" s="757"/>
    </row>
    <row r="266" spans="1:17" customFormat="1">
      <c r="A266" s="457"/>
      <c r="B266" s="461"/>
      <c r="C266" s="344"/>
      <c r="D266" s="344"/>
      <c r="E266" s="344"/>
      <c r="F266" s="344"/>
      <c r="G266" s="344"/>
      <c r="H266" s="344"/>
      <c r="I266" s="344"/>
      <c r="J266" s="344"/>
      <c r="K266" s="344"/>
      <c r="L266" s="344"/>
      <c r="M266" s="344"/>
      <c r="P266" s="779"/>
      <c r="Q266" s="757"/>
    </row>
    <row r="267" spans="1:17" customFormat="1">
      <c r="A267" s="457"/>
      <c r="B267" s="461"/>
      <c r="C267" s="344"/>
      <c r="D267" s="461"/>
      <c r="E267" s="344"/>
      <c r="F267" s="462"/>
      <c r="G267" s="462"/>
      <c r="H267" s="344"/>
      <c r="I267" s="344"/>
      <c r="J267" s="344"/>
      <c r="K267" s="344"/>
      <c r="L267" s="344"/>
      <c r="M267" s="344"/>
      <c r="P267" s="779"/>
      <c r="Q267" s="757"/>
    </row>
    <row r="268" spans="1:17" customFormat="1">
      <c r="A268" s="457"/>
      <c r="B268" s="461"/>
      <c r="C268" s="344"/>
      <c r="D268" s="344"/>
      <c r="E268" s="344"/>
      <c r="F268" s="344"/>
      <c r="G268" s="344"/>
      <c r="H268" s="344"/>
      <c r="I268" s="344"/>
      <c r="J268" s="344"/>
      <c r="K268" s="344"/>
      <c r="L268" s="344"/>
      <c r="M268" s="344"/>
      <c r="P268" s="779"/>
      <c r="Q268" s="757"/>
    </row>
    <row r="269" spans="1:17" customFormat="1">
      <c r="A269" s="457"/>
      <c r="B269" s="461"/>
      <c r="C269" s="344"/>
      <c r="D269" s="344"/>
      <c r="E269" s="344"/>
      <c r="F269" s="344"/>
      <c r="G269" s="344"/>
      <c r="H269" s="344"/>
      <c r="I269" s="344"/>
      <c r="J269" s="344"/>
      <c r="K269" s="344"/>
      <c r="L269" s="344"/>
      <c r="M269" s="344"/>
      <c r="P269" s="779"/>
      <c r="Q269" s="757"/>
    </row>
    <row r="270" spans="1:17" customFormat="1">
      <c r="A270" s="457"/>
      <c r="B270" s="461"/>
      <c r="C270" s="344"/>
      <c r="D270" s="344"/>
      <c r="E270" s="344"/>
      <c r="F270" s="344"/>
      <c r="G270" s="344"/>
      <c r="H270" s="344"/>
      <c r="I270" s="344"/>
      <c r="J270" s="344"/>
      <c r="K270" s="344"/>
      <c r="L270" s="344"/>
      <c r="M270" s="344"/>
      <c r="P270" s="779"/>
      <c r="Q270" s="757"/>
    </row>
    <row r="271" spans="1:17" customFormat="1">
      <c r="A271" s="457"/>
      <c r="B271" s="461"/>
      <c r="C271" s="344"/>
      <c r="D271" s="344"/>
      <c r="E271" s="344"/>
      <c r="F271" s="344"/>
      <c r="G271" s="344"/>
      <c r="H271" s="344"/>
      <c r="I271" s="344"/>
      <c r="J271" s="344"/>
      <c r="K271" s="344"/>
      <c r="L271" s="344"/>
      <c r="M271" s="344"/>
      <c r="P271" s="779"/>
      <c r="Q271" s="757"/>
    </row>
    <row r="272" spans="1:17" customFormat="1">
      <c r="A272" s="457"/>
      <c r="B272" s="461"/>
      <c r="C272" s="344"/>
      <c r="D272" s="344"/>
      <c r="E272" s="344"/>
      <c r="F272" s="344"/>
      <c r="G272" s="344"/>
      <c r="H272" s="344"/>
      <c r="I272" s="344"/>
      <c r="J272" s="344"/>
      <c r="K272" s="344"/>
      <c r="L272" s="344"/>
      <c r="M272" s="344"/>
      <c r="P272" s="779"/>
      <c r="Q272" s="757"/>
    </row>
    <row r="273" spans="1:17" customFormat="1">
      <c r="A273" s="457"/>
      <c r="B273" s="461"/>
      <c r="C273" s="344"/>
      <c r="D273" s="344"/>
      <c r="E273" s="344"/>
      <c r="F273" s="344"/>
      <c r="G273" s="344"/>
      <c r="H273" s="344"/>
      <c r="I273" s="344"/>
      <c r="J273" s="344"/>
      <c r="K273" s="344"/>
      <c r="L273" s="344"/>
      <c r="M273" s="344"/>
      <c r="P273" s="779"/>
      <c r="Q273" s="757"/>
    </row>
    <row r="274" spans="1:17" customFormat="1">
      <c r="A274" s="457"/>
      <c r="B274" s="461"/>
      <c r="C274" s="344"/>
      <c r="D274" s="344"/>
      <c r="E274" s="344"/>
      <c r="F274" s="344"/>
      <c r="G274" s="344"/>
      <c r="H274" s="344"/>
      <c r="I274" s="344"/>
      <c r="J274" s="344"/>
      <c r="K274" s="344"/>
      <c r="L274" s="344"/>
      <c r="M274" s="344"/>
      <c r="P274" s="779"/>
      <c r="Q274" s="757"/>
    </row>
    <row r="275" spans="1:17" customFormat="1">
      <c r="A275" s="457"/>
      <c r="B275" s="461"/>
      <c r="C275" s="344"/>
      <c r="D275" s="461"/>
      <c r="E275" s="344"/>
      <c r="F275" s="462"/>
      <c r="G275" s="462"/>
      <c r="H275" s="344"/>
      <c r="I275" s="344"/>
      <c r="J275" s="344"/>
      <c r="K275" s="344"/>
      <c r="L275" s="344"/>
      <c r="M275" s="344"/>
      <c r="P275" s="779"/>
      <c r="Q275" s="757"/>
    </row>
    <row r="276" spans="1:17" customFormat="1">
      <c r="A276" s="457"/>
      <c r="B276" s="461"/>
      <c r="C276" s="344"/>
      <c r="D276" s="344"/>
      <c r="E276" s="344"/>
      <c r="F276" s="344"/>
      <c r="G276" s="344"/>
      <c r="H276" s="344"/>
      <c r="I276" s="344"/>
      <c r="J276" s="344"/>
      <c r="K276" s="344"/>
      <c r="L276" s="344"/>
      <c r="M276" s="344"/>
      <c r="P276" s="779"/>
      <c r="Q276" s="757"/>
    </row>
    <row r="277" spans="1:17" customFormat="1">
      <c r="A277" s="457"/>
      <c r="B277" s="461"/>
      <c r="C277" s="344"/>
      <c r="D277" s="344"/>
      <c r="E277" s="344"/>
      <c r="F277" s="344"/>
      <c r="G277" s="344"/>
      <c r="H277" s="344"/>
      <c r="I277" s="344"/>
      <c r="J277" s="344"/>
      <c r="K277" s="344"/>
      <c r="L277" s="344"/>
      <c r="M277" s="344"/>
      <c r="P277" s="779"/>
      <c r="Q277" s="757"/>
    </row>
    <row r="278" spans="1:17" customFormat="1">
      <c r="A278" s="457"/>
      <c r="B278" s="461"/>
      <c r="C278" s="344"/>
      <c r="D278" s="344"/>
      <c r="E278" s="344"/>
      <c r="F278" s="344"/>
      <c r="G278" s="344"/>
      <c r="H278" s="344"/>
      <c r="I278" s="344"/>
      <c r="J278" s="344"/>
      <c r="K278" s="344"/>
      <c r="L278" s="344"/>
      <c r="M278" s="344"/>
      <c r="P278" s="779"/>
      <c r="Q278" s="757"/>
    </row>
    <row r="279" spans="1:17" customFormat="1">
      <c r="A279" s="457"/>
      <c r="B279" s="461"/>
      <c r="C279" s="344"/>
      <c r="D279" s="344"/>
      <c r="E279" s="344"/>
      <c r="F279" s="344"/>
      <c r="G279" s="344"/>
      <c r="H279" s="344"/>
      <c r="I279" s="344"/>
      <c r="J279" s="344"/>
      <c r="K279" s="344"/>
      <c r="L279" s="344"/>
      <c r="M279" s="344"/>
      <c r="P279" s="779"/>
      <c r="Q279" s="757"/>
    </row>
    <row r="280" spans="1:17" customFormat="1">
      <c r="A280" s="457"/>
      <c r="B280" s="461"/>
      <c r="C280" s="344"/>
      <c r="D280" s="344"/>
      <c r="E280" s="344"/>
      <c r="F280" s="344"/>
      <c r="G280" s="344"/>
      <c r="H280" s="344"/>
      <c r="I280" s="344"/>
      <c r="J280" s="344"/>
      <c r="K280" s="344"/>
      <c r="L280" s="344"/>
      <c r="M280" s="344"/>
      <c r="P280" s="779"/>
      <c r="Q280" s="757"/>
    </row>
    <row r="281" spans="1:17" customFormat="1">
      <c r="A281" s="457"/>
      <c r="B281" s="461"/>
      <c r="C281" s="344"/>
      <c r="D281" s="344"/>
      <c r="E281" s="344"/>
      <c r="F281" s="344"/>
      <c r="G281" s="344"/>
      <c r="H281" s="344"/>
      <c r="I281" s="344"/>
      <c r="J281" s="344"/>
      <c r="K281" s="344"/>
      <c r="L281" s="344"/>
      <c r="M281" s="344"/>
      <c r="P281" s="779"/>
      <c r="Q281" s="757"/>
    </row>
    <row r="282" spans="1:17" customFormat="1">
      <c r="A282" s="457"/>
      <c r="B282" s="461"/>
      <c r="C282" s="344"/>
      <c r="D282" s="344"/>
      <c r="E282" s="344"/>
      <c r="F282" s="344"/>
      <c r="G282" s="344"/>
      <c r="H282" s="344"/>
      <c r="I282" s="344"/>
      <c r="J282" s="344"/>
      <c r="K282" s="344"/>
      <c r="L282" s="344"/>
      <c r="M282" s="344"/>
      <c r="P282" s="779"/>
      <c r="Q282" s="757"/>
    </row>
    <row r="283" spans="1:17" customFormat="1">
      <c r="A283" s="457"/>
      <c r="B283" s="461"/>
      <c r="C283" s="344"/>
      <c r="D283" s="344"/>
      <c r="E283" s="344"/>
      <c r="F283" s="344"/>
      <c r="G283" s="344"/>
      <c r="H283" s="344"/>
      <c r="I283" s="344"/>
      <c r="J283" s="344"/>
      <c r="K283" s="344"/>
      <c r="L283" s="344"/>
      <c r="M283" s="344"/>
      <c r="P283" s="779"/>
      <c r="Q283" s="757"/>
    </row>
    <row r="284" spans="1:17" customFormat="1">
      <c r="A284" s="457"/>
      <c r="B284" s="461"/>
      <c r="C284" s="344"/>
      <c r="D284" s="461"/>
      <c r="E284" s="344"/>
      <c r="F284" s="462"/>
      <c r="G284" s="462"/>
      <c r="H284" s="344"/>
      <c r="I284" s="344"/>
      <c r="J284" s="344"/>
      <c r="K284" s="344"/>
      <c r="L284" s="344"/>
      <c r="M284" s="344"/>
      <c r="P284" s="779"/>
      <c r="Q284" s="757"/>
    </row>
    <row r="285" spans="1:17" customFormat="1">
      <c r="A285" s="457"/>
      <c r="B285" s="461"/>
      <c r="C285" s="344"/>
      <c r="D285" s="344"/>
      <c r="E285" s="344"/>
      <c r="F285" s="344"/>
      <c r="G285" s="344"/>
      <c r="H285" s="344"/>
      <c r="I285" s="344"/>
      <c r="J285" s="344"/>
      <c r="K285" s="344"/>
      <c r="L285" s="344"/>
      <c r="M285" s="344"/>
      <c r="P285" s="779"/>
      <c r="Q285" s="757"/>
    </row>
    <row r="286" spans="1:17" customFormat="1">
      <c r="A286" s="457"/>
      <c r="B286" s="461"/>
      <c r="C286" s="344"/>
      <c r="D286" s="344"/>
      <c r="E286" s="344"/>
      <c r="F286" s="344"/>
      <c r="G286" s="344"/>
      <c r="H286" s="344"/>
      <c r="I286" s="344"/>
      <c r="J286" s="344"/>
      <c r="K286" s="344"/>
      <c r="L286" s="344"/>
      <c r="M286" s="344"/>
      <c r="P286" s="779"/>
      <c r="Q286" s="757"/>
    </row>
    <row r="287" spans="1:17" customFormat="1">
      <c r="A287" s="457"/>
      <c r="B287" s="461"/>
      <c r="C287" s="344"/>
      <c r="D287" s="344"/>
      <c r="E287" s="344"/>
      <c r="F287" s="344"/>
      <c r="G287" s="344"/>
      <c r="H287" s="344"/>
      <c r="I287" s="344"/>
      <c r="J287" s="344"/>
      <c r="K287" s="344"/>
      <c r="L287" s="344"/>
      <c r="M287" s="344"/>
      <c r="P287" s="779"/>
      <c r="Q287" s="757"/>
    </row>
    <row r="288" spans="1:17" customFormat="1">
      <c r="A288" s="457"/>
      <c r="B288" s="461"/>
      <c r="C288" s="344"/>
      <c r="D288" s="344"/>
      <c r="E288" s="344"/>
      <c r="F288" s="344"/>
      <c r="G288" s="344"/>
      <c r="H288" s="344"/>
      <c r="I288" s="344"/>
      <c r="J288" s="344"/>
      <c r="K288" s="344"/>
      <c r="L288" s="344"/>
      <c r="M288" s="344"/>
      <c r="P288" s="779"/>
      <c r="Q288" s="757"/>
    </row>
    <row r="289" spans="1:17" customFormat="1">
      <c r="A289" s="457"/>
      <c r="B289" s="461"/>
      <c r="C289" s="344"/>
      <c r="D289" s="344"/>
      <c r="E289" s="344"/>
      <c r="F289" s="344"/>
      <c r="G289" s="344"/>
      <c r="H289" s="344"/>
      <c r="I289" s="344"/>
      <c r="J289" s="344"/>
      <c r="K289" s="344"/>
      <c r="L289" s="344"/>
      <c r="M289" s="344"/>
      <c r="P289" s="779"/>
      <c r="Q289" s="757"/>
    </row>
    <row r="290" spans="1:17" customFormat="1">
      <c r="A290" s="457"/>
      <c r="B290" s="461"/>
      <c r="C290" s="344"/>
      <c r="D290" s="344"/>
      <c r="E290" s="344"/>
      <c r="F290" s="344"/>
      <c r="G290" s="344"/>
      <c r="H290" s="344"/>
      <c r="I290" s="344"/>
      <c r="J290" s="344"/>
      <c r="K290" s="344"/>
      <c r="L290" s="344"/>
      <c r="M290" s="344"/>
      <c r="P290" s="779"/>
      <c r="Q290" s="757"/>
    </row>
    <row r="291" spans="1:17" customFormat="1">
      <c r="A291" s="457"/>
      <c r="B291" s="461"/>
      <c r="C291" s="344"/>
      <c r="D291" s="344"/>
      <c r="E291" s="344"/>
      <c r="F291" s="344"/>
      <c r="G291" s="344"/>
      <c r="H291" s="344"/>
      <c r="I291" s="344"/>
      <c r="J291" s="344"/>
      <c r="K291" s="344"/>
      <c r="L291" s="344"/>
      <c r="M291" s="344"/>
      <c r="P291" s="779"/>
      <c r="Q291" s="757"/>
    </row>
    <row r="292" spans="1:17" customFormat="1">
      <c r="A292" s="457"/>
      <c r="B292" s="461"/>
      <c r="C292" s="344"/>
      <c r="D292" s="461"/>
      <c r="E292" s="344"/>
      <c r="F292" s="462"/>
      <c r="G292" s="462"/>
      <c r="H292" s="344"/>
      <c r="I292" s="344"/>
      <c r="J292" s="344"/>
      <c r="K292" s="344"/>
      <c r="L292" s="344"/>
      <c r="M292" s="344"/>
      <c r="P292" s="779"/>
      <c r="Q292" s="757"/>
    </row>
    <row r="293" spans="1:17" customFormat="1">
      <c r="A293" s="457"/>
      <c r="B293" s="461"/>
      <c r="C293" s="344"/>
      <c r="D293" s="344"/>
      <c r="E293" s="344"/>
      <c r="F293" s="344"/>
      <c r="G293" s="344"/>
      <c r="H293" s="344"/>
      <c r="I293" s="344"/>
      <c r="J293" s="344"/>
      <c r="K293" s="344"/>
      <c r="L293" s="344"/>
      <c r="M293" s="344"/>
      <c r="P293" s="779"/>
      <c r="Q293" s="757"/>
    </row>
    <row r="294" spans="1:17" customFormat="1">
      <c r="A294" s="457"/>
      <c r="B294" s="461"/>
      <c r="C294" s="344"/>
      <c r="D294" s="344"/>
      <c r="E294" s="344"/>
      <c r="F294" s="344"/>
      <c r="G294" s="344"/>
      <c r="H294" s="344"/>
      <c r="I294" s="344"/>
      <c r="J294" s="344"/>
      <c r="K294" s="344"/>
      <c r="L294" s="344"/>
      <c r="M294" s="344"/>
      <c r="P294" s="779"/>
      <c r="Q294" s="757"/>
    </row>
    <row r="295" spans="1:17" customFormat="1">
      <c r="A295" s="457"/>
      <c r="B295" s="461"/>
      <c r="C295" s="344"/>
      <c r="D295" s="344"/>
      <c r="E295" s="344"/>
      <c r="F295" s="344"/>
      <c r="G295" s="344"/>
      <c r="H295" s="344"/>
      <c r="I295" s="344"/>
      <c r="J295" s="344"/>
      <c r="K295" s="344"/>
      <c r="L295" s="344"/>
      <c r="M295" s="344"/>
      <c r="P295" s="779"/>
      <c r="Q295" s="757"/>
    </row>
    <row r="296" spans="1:17" customFormat="1">
      <c r="A296" s="457"/>
      <c r="B296" s="461"/>
      <c r="C296" s="344"/>
      <c r="D296" s="344"/>
      <c r="E296" s="344"/>
      <c r="F296" s="344"/>
      <c r="G296" s="344"/>
      <c r="H296" s="344"/>
      <c r="I296" s="344"/>
      <c r="J296" s="344"/>
      <c r="K296" s="344"/>
      <c r="L296" s="344"/>
      <c r="M296" s="344"/>
      <c r="P296" s="779"/>
      <c r="Q296" s="757"/>
    </row>
    <row r="297" spans="1:17" customFormat="1">
      <c r="A297" s="457"/>
      <c r="B297" s="461"/>
      <c r="C297" s="344"/>
      <c r="D297" s="344"/>
      <c r="E297" s="344"/>
      <c r="F297" s="344"/>
      <c r="G297" s="344"/>
      <c r="H297" s="344"/>
      <c r="I297" s="344"/>
      <c r="J297" s="344"/>
      <c r="K297" s="344"/>
      <c r="L297" s="344"/>
      <c r="M297" s="344"/>
      <c r="P297" s="779"/>
      <c r="Q297" s="757"/>
    </row>
    <row r="298" spans="1:17" customFormat="1">
      <c r="A298" s="457"/>
      <c r="B298" s="461"/>
      <c r="C298" s="344"/>
      <c r="D298" s="344"/>
      <c r="E298" s="344"/>
      <c r="F298" s="344"/>
      <c r="G298" s="344"/>
      <c r="H298" s="344"/>
      <c r="I298" s="344"/>
      <c r="J298" s="344"/>
      <c r="K298" s="344"/>
      <c r="L298" s="344"/>
      <c r="M298" s="344"/>
      <c r="P298" s="779"/>
      <c r="Q298" s="757"/>
    </row>
    <row r="299" spans="1:17" customFormat="1">
      <c r="A299" s="457"/>
      <c r="B299" s="461"/>
      <c r="C299" s="344"/>
      <c r="D299" s="344"/>
      <c r="E299" s="344"/>
      <c r="F299" s="344"/>
      <c r="G299" s="344"/>
      <c r="H299" s="344"/>
      <c r="I299" s="344"/>
      <c r="J299" s="344"/>
      <c r="K299" s="344"/>
      <c r="L299" s="344"/>
      <c r="M299" s="344"/>
      <c r="P299" s="779"/>
      <c r="Q299" s="757"/>
    </row>
    <row r="300" spans="1:17" customFormat="1">
      <c r="A300" s="457"/>
      <c r="B300" s="461"/>
      <c r="C300" s="344"/>
      <c r="D300" s="344"/>
      <c r="E300" s="344"/>
      <c r="F300" s="344"/>
      <c r="G300" s="344"/>
      <c r="H300" s="344"/>
      <c r="I300" s="344"/>
      <c r="J300" s="344"/>
      <c r="K300" s="344"/>
      <c r="L300" s="344"/>
      <c r="M300" s="344"/>
      <c r="P300" s="779"/>
      <c r="Q300" s="757"/>
    </row>
    <row r="301" spans="1:17" customFormat="1">
      <c r="A301" s="457"/>
      <c r="B301" s="461"/>
      <c r="C301" s="344"/>
      <c r="D301" s="461"/>
      <c r="E301" s="344"/>
      <c r="F301" s="462"/>
      <c r="G301" s="462"/>
      <c r="H301" s="344"/>
      <c r="I301" s="344"/>
      <c r="J301" s="344"/>
      <c r="K301" s="344"/>
      <c r="L301" s="344"/>
      <c r="M301" s="344"/>
      <c r="P301" s="779"/>
      <c r="Q301" s="757"/>
    </row>
    <row r="302" spans="1:17" customFormat="1" ht="15">
      <c r="A302" s="344"/>
      <c r="B302" s="461"/>
      <c r="C302" s="344"/>
      <c r="D302" s="461"/>
      <c r="E302" s="344"/>
      <c r="F302" s="344"/>
      <c r="G302" s="344"/>
      <c r="H302" s="344"/>
      <c r="I302" s="344"/>
      <c r="J302" s="344"/>
      <c r="K302" s="344"/>
      <c r="L302" s="344"/>
      <c r="M302" s="344"/>
      <c r="P302" s="779"/>
      <c r="Q302" s="757"/>
    </row>
    <row r="303" spans="1:17">
      <c r="A303" s="264"/>
      <c r="B303" s="264"/>
      <c r="C303" s="264"/>
      <c r="D303" s="264"/>
      <c r="E303" s="264"/>
      <c r="F303" s="264"/>
      <c r="G303" s="264"/>
      <c r="H303" s="264"/>
      <c r="I303" s="264"/>
      <c r="J303" s="264"/>
      <c r="K303" s="264"/>
      <c r="L303" s="264"/>
      <c r="M303" s="264"/>
    </row>
    <row r="304" spans="1:17">
      <c r="A304" s="264"/>
      <c r="B304" s="264"/>
      <c r="C304" s="264"/>
      <c r="D304" s="264"/>
      <c r="E304" s="264"/>
      <c r="F304" s="264"/>
      <c r="G304" s="264"/>
      <c r="H304" s="264"/>
      <c r="I304" s="264"/>
      <c r="J304" s="264"/>
      <c r="K304" s="264"/>
      <c r="L304" s="264"/>
      <c r="M304" s="264"/>
    </row>
  </sheetData>
  <mergeCells count="4">
    <mergeCell ref="A196:D196"/>
    <mergeCell ref="A1:G1"/>
    <mergeCell ref="A3:G3"/>
    <mergeCell ref="A5:G5"/>
  </mergeCells>
  <pageMargins left="0.7" right="0.7" top="0.75" bottom="0.75" header="0.3" footer="0.3"/>
  <pageSetup scale="46"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sqref="A1:L1"/>
    </sheetView>
  </sheetViews>
  <sheetFormatPr defaultRowHeight="15"/>
  <cols>
    <col min="7" max="7" width="12.88671875" bestFit="1" customWidth="1"/>
    <col min="8" max="8" width="15.6640625" bestFit="1" customWidth="1"/>
    <col min="9" max="9" width="11.21875" bestFit="1" customWidth="1"/>
    <col min="10" max="10" width="10.88671875" bestFit="1" customWidth="1"/>
    <col min="11" max="11" width="12.109375" bestFit="1" customWidth="1"/>
  </cols>
  <sheetData>
    <row r="1" spans="1:12" ht="15.75">
      <c r="A1" s="1052" t="str">
        <f>+'WP-8 Bad Debts'!A1:H1</f>
        <v>Pullman Disposal Services, Inc.</v>
      </c>
      <c r="B1" s="1052"/>
      <c r="C1" s="1052"/>
      <c r="D1" s="1052"/>
      <c r="E1" s="1052"/>
      <c r="F1" s="1052"/>
      <c r="G1" s="1052"/>
      <c r="H1" s="1052"/>
      <c r="I1" s="1052"/>
      <c r="J1" s="1052"/>
      <c r="K1" s="1052"/>
      <c r="L1" s="1052"/>
    </row>
    <row r="2" spans="1:12" ht="15.75">
      <c r="A2" s="35"/>
      <c r="B2" s="36"/>
      <c r="C2" s="36"/>
      <c r="D2" s="36"/>
      <c r="E2" s="34"/>
      <c r="F2" s="36"/>
      <c r="G2" s="34"/>
    </row>
    <row r="3" spans="1:12" ht="15.75">
      <c r="A3" s="1051" t="s">
        <v>272</v>
      </c>
      <c r="B3" s="1051"/>
      <c r="C3" s="1051"/>
      <c r="D3" s="1051"/>
      <c r="E3" s="1051"/>
      <c r="F3" s="1051"/>
      <c r="G3" s="1051"/>
      <c r="H3" s="1051"/>
      <c r="I3" s="1051"/>
      <c r="J3" s="1051"/>
      <c r="K3" s="1051"/>
      <c r="L3" s="1051"/>
    </row>
    <row r="4" spans="1:12" ht="15.75">
      <c r="A4" s="888"/>
      <c r="B4" s="888"/>
      <c r="C4" s="888"/>
      <c r="D4" s="38"/>
      <c r="E4" s="888"/>
      <c r="F4" s="888"/>
      <c r="G4" s="888"/>
    </row>
    <row r="5" spans="1:12" ht="15.75">
      <c r="A5" s="1053" t="str">
        <f>+'WP-8 Bad Debts'!A5:H5</f>
        <v>In Support of Tariff 18 effective January 1, 2020</v>
      </c>
      <c r="B5" s="1053"/>
      <c r="C5" s="1053"/>
      <c r="D5" s="1053"/>
      <c r="E5" s="1053"/>
      <c r="F5" s="1053"/>
      <c r="G5" s="1053"/>
      <c r="H5" s="1053"/>
      <c r="I5" s="1053"/>
      <c r="J5" s="1053"/>
      <c r="K5" s="1053"/>
      <c r="L5" s="1053"/>
    </row>
    <row r="8" spans="1:12">
      <c r="B8" s="803" t="s">
        <v>956</v>
      </c>
      <c r="H8" s="803" t="s">
        <v>504</v>
      </c>
      <c r="I8" s="803" t="s">
        <v>934</v>
      </c>
    </row>
    <row r="9" spans="1:12" ht="15.75">
      <c r="B9" s="794" t="s">
        <v>921</v>
      </c>
      <c r="C9" s="795">
        <v>0</v>
      </c>
      <c r="D9" s="795">
        <v>371220</v>
      </c>
      <c r="E9" s="796">
        <f t="shared" ref="E9:E20" si="0">D9/2000</f>
        <v>185.61</v>
      </c>
      <c r="F9" s="797">
        <f t="shared" ref="F9:F20" si="1">G9/E9</f>
        <v>-46.764883357577716</v>
      </c>
      <c r="G9" s="798">
        <v>-8680.0300000000007</v>
      </c>
      <c r="H9" s="798">
        <v>3111.73</v>
      </c>
      <c r="I9" s="798">
        <v>5295.9</v>
      </c>
      <c r="J9" s="798">
        <f>+H9+I9</f>
        <v>8407.6299999999992</v>
      </c>
      <c r="K9" s="798">
        <f t="shared" ref="K9:K20" si="2">+J9+G9</f>
        <v>-272.40000000000146</v>
      </c>
      <c r="L9" t="s">
        <v>935</v>
      </c>
    </row>
    <row r="10" spans="1:12" ht="15.75">
      <c r="B10" s="799" t="s">
        <v>922</v>
      </c>
      <c r="C10" s="795">
        <v>0</v>
      </c>
      <c r="D10" s="795">
        <v>295560</v>
      </c>
      <c r="E10" s="796">
        <f t="shared" si="0"/>
        <v>147.78</v>
      </c>
      <c r="F10" s="797">
        <f t="shared" si="1"/>
        <v>-29.999999999999996</v>
      </c>
      <c r="G10" s="798">
        <v>-4433.3999999999996</v>
      </c>
      <c r="H10" s="798"/>
      <c r="I10" s="798">
        <v>4433.3999999999996</v>
      </c>
      <c r="J10" s="798">
        <f t="shared" ref="J10:J20" si="3">+H10+I10</f>
        <v>4433.3999999999996</v>
      </c>
      <c r="K10" s="798">
        <f t="shared" si="2"/>
        <v>0</v>
      </c>
    </row>
    <row r="11" spans="1:12" ht="15.75">
      <c r="B11" s="799" t="s">
        <v>923</v>
      </c>
      <c r="C11" s="795">
        <v>0</v>
      </c>
      <c r="D11" s="795">
        <v>324200</v>
      </c>
      <c r="E11" s="800">
        <f t="shared" si="0"/>
        <v>162.1</v>
      </c>
      <c r="F11" s="797">
        <f t="shared" si="1"/>
        <v>-29.183837137569402</v>
      </c>
      <c r="G11" s="798">
        <v>-4730.7</v>
      </c>
      <c r="H11" s="798"/>
      <c r="I11" s="798">
        <v>4730.7</v>
      </c>
      <c r="J11" s="798">
        <f t="shared" si="3"/>
        <v>4730.7</v>
      </c>
      <c r="K11" s="798">
        <f t="shared" si="2"/>
        <v>0</v>
      </c>
    </row>
    <row r="12" spans="1:12" ht="15.75">
      <c r="B12" s="799" t="s">
        <v>924</v>
      </c>
      <c r="C12" s="795">
        <v>0</v>
      </c>
      <c r="D12" s="795">
        <v>316400</v>
      </c>
      <c r="E12" s="800">
        <f t="shared" si="0"/>
        <v>158.19999999999999</v>
      </c>
      <c r="F12" s="797">
        <f t="shared" si="1"/>
        <v>-137.72781289506955</v>
      </c>
      <c r="G12" s="798">
        <v>-21788.54</v>
      </c>
      <c r="H12" s="798"/>
      <c r="I12" s="798">
        <v>10529.77</v>
      </c>
      <c r="J12" s="798">
        <f t="shared" si="3"/>
        <v>10529.77</v>
      </c>
      <c r="K12" s="798">
        <f t="shared" si="2"/>
        <v>-11258.77</v>
      </c>
      <c r="L12" t="s">
        <v>936</v>
      </c>
    </row>
    <row r="13" spans="1:12" ht="15.75">
      <c r="B13" s="799" t="s">
        <v>925</v>
      </c>
      <c r="C13" s="795">
        <v>0</v>
      </c>
      <c r="D13" s="795">
        <v>347220</v>
      </c>
      <c r="E13" s="800">
        <f t="shared" si="0"/>
        <v>173.61</v>
      </c>
      <c r="F13" s="797">
        <f t="shared" si="1"/>
        <v>-29.16191463625367</v>
      </c>
      <c r="G13" s="798">
        <v>-5062.8</v>
      </c>
      <c r="H13" s="798"/>
      <c r="I13" s="798">
        <v>5062.8</v>
      </c>
      <c r="J13" s="798">
        <f t="shared" si="3"/>
        <v>5062.8</v>
      </c>
      <c r="K13" s="798">
        <f t="shared" si="2"/>
        <v>0</v>
      </c>
    </row>
    <row r="14" spans="1:12" ht="15.75">
      <c r="B14" s="801" t="s">
        <v>926</v>
      </c>
      <c r="C14" s="795">
        <v>0</v>
      </c>
      <c r="D14" s="795">
        <v>258600</v>
      </c>
      <c r="E14" s="800">
        <f t="shared" si="0"/>
        <v>129.30000000000001</v>
      </c>
      <c r="F14" s="797">
        <f t="shared" si="1"/>
        <v>-202.16829079659703</v>
      </c>
      <c r="G14" s="798">
        <v>-26140.36</v>
      </c>
      <c r="H14" s="798">
        <v>22261.360000000001</v>
      </c>
      <c r="I14" s="798">
        <v>3879</v>
      </c>
      <c r="J14" s="798">
        <f t="shared" si="3"/>
        <v>26140.36</v>
      </c>
      <c r="K14" s="798">
        <f t="shared" si="2"/>
        <v>0</v>
      </c>
    </row>
    <row r="15" spans="1:12" ht="15.75">
      <c r="B15" s="801" t="s">
        <v>927</v>
      </c>
      <c r="C15" s="795">
        <v>0</v>
      </c>
      <c r="D15" s="795">
        <v>241680</v>
      </c>
      <c r="E15" s="800">
        <f t="shared" si="0"/>
        <v>120.84</v>
      </c>
      <c r="F15" s="797">
        <f t="shared" si="1"/>
        <v>-97.803955643826541</v>
      </c>
      <c r="G15" s="798">
        <v>-11818.63</v>
      </c>
      <c r="H15" s="798">
        <v>8193.43</v>
      </c>
      <c r="I15" s="798">
        <v>3625.2</v>
      </c>
      <c r="J15" s="798">
        <f t="shared" si="3"/>
        <v>11818.630000000001</v>
      </c>
      <c r="K15" s="798">
        <f t="shared" si="2"/>
        <v>0</v>
      </c>
    </row>
    <row r="16" spans="1:12" ht="15.75">
      <c r="B16" s="799" t="s">
        <v>928</v>
      </c>
      <c r="C16" s="795">
        <v>0</v>
      </c>
      <c r="D16" s="795">
        <v>280920</v>
      </c>
      <c r="E16" s="800">
        <f t="shared" si="0"/>
        <v>140.46</v>
      </c>
      <c r="F16" s="797">
        <f t="shared" si="1"/>
        <v>-68.020432863448661</v>
      </c>
      <c r="G16" s="798">
        <v>-9554.15</v>
      </c>
      <c r="H16" s="798">
        <v>5340.35</v>
      </c>
      <c r="I16" s="798">
        <v>1340.88</v>
      </c>
      <c r="J16" s="798">
        <f t="shared" si="3"/>
        <v>6681.2300000000005</v>
      </c>
      <c r="K16" s="798">
        <f t="shared" si="2"/>
        <v>-2872.9199999999992</v>
      </c>
      <c r="L16" t="s">
        <v>937</v>
      </c>
    </row>
    <row r="17" spans="2:12" ht="15.75">
      <c r="B17" s="801" t="s">
        <v>929</v>
      </c>
      <c r="C17" s="795">
        <v>0</v>
      </c>
      <c r="D17" s="795">
        <v>237400</v>
      </c>
      <c r="E17" s="800">
        <f t="shared" si="0"/>
        <v>118.7</v>
      </c>
      <c r="F17" s="797">
        <f t="shared" si="1"/>
        <v>-82.125779275484419</v>
      </c>
      <c r="G17" s="798">
        <v>-9748.33</v>
      </c>
      <c r="H17" s="798">
        <v>6187.33</v>
      </c>
      <c r="I17" s="798">
        <v>3561</v>
      </c>
      <c r="J17" s="798">
        <f t="shared" si="3"/>
        <v>9748.33</v>
      </c>
      <c r="K17" s="798">
        <f t="shared" si="2"/>
        <v>0</v>
      </c>
    </row>
    <row r="18" spans="2:12" ht="15.75">
      <c r="B18" s="801" t="s">
        <v>930</v>
      </c>
      <c r="C18" s="795">
        <v>0</v>
      </c>
      <c r="D18" s="795">
        <v>292420</v>
      </c>
      <c r="E18" s="800">
        <f t="shared" si="0"/>
        <v>146.21</v>
      </c>
      <c r="F18" s="797">
        <f t="shared" si="1"/>
        <v>-59.954859448738112</v>
      </c>
      <c r="G18" s="798">
        <v>-8766</v>
      </c>
      <c r="H18" s="798">
        <v>4379.7</v>
      </c>
      <c r="I18" s="798">
        <v>4386.3</v>
      </c>
      <c r="J18" s="798">
        <f t="shared" si="3"/>
        <v>8766</v>
      </c>
      <c r="K18" s="798">
        <f t="shared" si="2"/>
        <v>0</v>
      </c>
    </row>
    <row r="19" spans="2:12" ht="15.75">
      <c r="B19" s="801" t="s">
        <v>931</v>
      </c>
      <c r="C19" s="795">
        <v>0</v>
      </c>
      <c r="D19" s="795">
        <v>300220</v>
      </c>
      <c r="E19" s="800">
        <f t="shared" si="0"/>
        <v>150.11000000000001</v>
      </c>
      <c r="F19" s="797">
        <f t="shared" si="1"/>
        <v>-94.944773832522813</v>
      </c>
      <c r="G19" s="798">
        <v>-14252.16</v>
      </c>
      <c r="H19" s="798">
        <v>9731.24</v>
      </c>
      <c r="I19" s="798">
        <v>4520.92</v>
      </c>
      <c r="J19" s="798">
        <f t="shared" si="3"/>
        <v>14252.16</v>
      </c>
      <c r="K19" s="798">
        <f t="shared" si="2"/>
        <v>0</v>
      </c>
    </row>
    <row r="20" spans="2:12" ht="15.75">
      <c r="B20" s="801" t="s">
        <v>932</v>
      </c>
      <c r="C20" s="795">
        <v>0</v>
      </c>
      <c r="D20" s="795">
        <v>252560</v>
      </c>
      <c r="E20" s="800">
        <f t="shared" si="0"/>
        <v>126.28</v>
      </c>
      <c r="F20" s="797">
        <f t="shared" si="1"/>
        <v>-66.74208108964207</v>
      </c>
      <c r="G20" s="802">
        <v>-8428.19</v>
      </c>
      <c r="H20" s="798">
        <v>0</v>
      </c>
      <c r="I20" s="798">
        <v>0</v>
      </c>
      <c r="J20" s="798">
        <f t="shared" si="3"/>
        <v>0</v>
      </c>
      <c r="K20" s="798">
        <f t="shared" si="2"/>
        <v>-8428.19</v>
      </c>
      <c r="L20" t="s">
        <v>938</v>
      </c>
    </row>
    <row r="21" spans="2:12" ht="15.75">
      <c r="G21" s="798">
        <f>SUM(G9:G20)</f>
        <v>-133403.29</v>
      </c>
      <c r="H21" s="798"/>
      <c r="I21" s="798"/>
      <c r="J21" s="798"/>
      <c r="K21" s="798">
        <f>SUM(K9:K20)</f>
        <v>-22832.28</v>
      </c>
    </row>
    <row r="22" spans="2:12" ht="15.75">
      <c r="F22" s="804" t="s">
        <v>933</v>
      </c>
      <c r="G22" s="798">
        <f>+'IS-PBC'!O104</f>
        <v>59205.14</v>
      </c>
    </row>
    <row r="23" spans="2:12" ht="15.75">
      <c r="F23" s="804" t="s">
        <v>934</v>
      </c>
      <c r="G23" s="802">
        <f>+'IS-PBC'!O76</f>
        <v>51365.869999999995</v>
      </c>
    </row>
    <row r="24" spans="2:12" ht="15.75">
      <c r="F24" s="804" t="s">
        <v>957</v>
      </c>
      <c r="G24" s="798">
        <f>+G21+G22+G23</f>
        <v>-22832.280000000013</v>
      </c>
    </row>
    <row r="25" spans="2:12" ht="15.75">
      <c r="G25" s="798"/>
    </row>
    <row r="26" spans="2:12" ht="15.75">
      <c r="F26" s="804" t="s">
        <v>939</v>
      </c>
      <c r="G26" s="798">
        <v>3788.4</v>
      </c>
    </row>
    <row r="27" spans="2:12" ht="15.75">
      <c r="F27" s="804" t="s">
        <v>939</v>
      </c>
      <c r="G27" s="802">
        <v>4639.79</v>
      </c>
    </row>
    <row r="28" spans="2:12" ht="15.75">
      <c r="F28" s="804" t="s">
        <v>946</v>
      </c>
      <c r="G28" s="798">
        <f>+G27+G26</f>
        <v>8428.19</v>
      </c>
    </row>
    <row r="29" spans="2:12" ht="15.75">
      <c r="G29" s="798"/>
    </row>
    <row r="30" spans="2:12" ht="15.75">
      <c r="F30" s="805" t="s">
        <v>947</v>
      </c>
      <c r="G30" s="798"/>
    </row>
    <row r="31" spans="2:12" ht="15.75">
      <c r="G31" s="798"/>
    </row>
    <row r="32" spans="2:12" ht="15.75">
      <c r="G32" s="798"/>
    </row>
    <row r="33" spans="7:7" ht="15.75">
      <c r="G33" s="798"/>
    </row>
    <row r="34" spans="7:7" ht="15.75">
      <c r="G34" s="798"/>
    </row>
    <row r="35" spans="7:7" ht="15.75">
      <c r="G35" s="798"/>
    </row>
    <row r="36" spans="7:7" ht="15.75">
      <c r="G36" s="798"/>
    </row>
    <row r="37" spans="7:7" ht="15.75">
      <c r="G37" s="798"/>
    </row>
    <row r="38" spans="7:7" ht="15.75">
      <c r="G38" s="798"/>
    </row>
    <row r="39" spans="7:7" ht="15.75">
      <c r="G39" s="798"/>
    </row>
    <row r="40" spans="7:7" ht="15.75">
      <c r="G40" s="798"/>
    </row>
    <row r="41" spans="7:7" ht="15.75">
      <c r="G41" s="798"/>
    </row>
    <row r="42" spans="7:7" ht="15.75">
      <c r="G42" s="798"/>
    </row>
    <row r="43" spans="7:7" ht="15.75">
      <c r="G43" s="798"/>
    </row>
    <row r="44" spans="7:7" ht="15.75">
      <c r="G44" s="798"/>
    </row>
    <row r="45" spans="7:7" ht="15.75">
      <c r="G45" s="798"/>
    </row>
    <row r="46" spans="7:7" ht="15.75">
      <c r="G46" s="798"/>
    </row>
    <row r="47" spans="7:7" ht="15.75">
      <c r="G47" s="798"/>
    </row>
  </sheetData>
  <mergeCells count="3">
    <mergeCell ref="A5:L5"/>
    <mergeCell ref="A3:L3"/>
    <mergeCell ref="A1:L1"/>
  </mergeCells>
  <pageMargins left="0.7" right="0.7" top="0.75" bottom="0.75" header="0.3" footer="0.3"/>
  <pageSetup scale="4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20"/>
  <sheetViews>
    <sheetView zoomScaleNormal="100" workbookViewId="0">
      <selection sqref="A1:F1"/>
    </sheetView>
  </sheetViews>
  <sheetFormatPr defaultRowHeight="15.75"/>
  <cols>
    <col min="1" max="1" width="7.5546875" style="147" customWidth="1"/>
    <col min="2" max="2" width="29.44140625" style="274" customWidth="1"/>
    <col min="3" max="3" width="9.44140625" style="274" customWidth="1"/>
    <col min="4" max="4" width="10.44140625" style="274" bestFit="1" customWidth="1"/>
    <col min="5" max="6" width="8.88671875" style="274"/>
    <col min="7" max="16384" width="8.88671875" style="147"/>
  </cols>
  <sheetData>
    <row r="1" spans="1:12" s="253" customFormat="1">
      <c r="A1" s="1052" t="str">
        <f>+'WP-9 Disposal'!A1:G1</f>
        <v>Pullman Disposal Services, Inc.</v>
      </c>
      <c r="B1" s="1052"/>
      <c r="C1" s="1052"/>
      <c r="D1" s="1052"/>
      <c r="E1" s="1052"/>
      <c r="F1" s="1052"/>
      <c r="G1" s="764"/>
      <c r="H1" s="764"/>
      <c r="I1" s="764"/>
      <c r="J1" s="764"/>
    </row>
    <row r="2" spans="1:12" s="253" customFormat="1" ht="18" customHeight="1">
      <c r="A2" s="35"/>
      <c r="B2" s="36"/>
      <c r="C2" s="36"/>
      <c r="D2" s="34"/>
      <c r="E2" s="36"/>
      <c r="F2" s="34"/>
      <c r="G2" s="270"/>
      <c r="H2" s="270"/>
      <c r="I2" s="270"/>
      <c r="J2" s="265"/>
      <c r="K2" s="265"/>
      <c r="L2" s="265"/>
    </row>
    <row r="3" spans="1:12" s="253" customFormat="1">
      <c r="A3" s="1051" t="s">
        <v>273</v>
      </c>
      <c r="B3" s="1051"/>
      <c r="C3" s="1051"/>
      <c r="D3" s="1051"/>
      <c r="E3" s="1051"/>
      <c r="F3" s="1051"/>
      <c r="G3" s="978"/>
      <c r="H3" s="978"/>
      <c r="I3" s="978"/>
      <c r="J3" s="978"/>
      <c r="K3" s="266"/>
      <c r="L3" s="266"/>
    </row>
    <row r="4" spans="1:12" s="253" customFormat="1">
      <c r="A4" s="39"/>
      <c r="B4" s="39"/>
      <c r="C4" s="38"/>
      <c r="D4" s="39"/>
      <c r="E4" s="39"/>
      <c r="F4" s="39"/>
      <c r="G4" s="267"/>
      <c r="H4" s="267"/>
      <c r="I4" s="267"/>
      <c r="J4" s="267"/>
      <c r="K4" s="266"/>
      <c r="L4" s="266"/>
    </row>
    <row r="5" spans="1:12" s="253" customFormat="1">
      <c r="A5" s="1053" t="str">
        <f>'WP-9 Disposal'!$A$5</f>
        <v>In Support of Tariff 18 effective January 1, 2020</v>
      </c>
      <c r="B5" s="1053"/>
      <c r="C5" s="1053"/>
      <c r="D5" s="1053"/>
      <c r="E5" s="1053"/>
      <c r="F5" s="1053"/>
      <c r="G5" s="979"/>
      <c r="H5" s="979"/>
      <c r="I5" s="979"/>
      <c r="J5" s="979"/>
      <c r="K5" s="266"/>
      <c r="L5" s="266"/>
    </row>
    <row r="6" spans="1:12" s="253" customFormat="1">
      <c r="A6" s="400"/>
      <c r="B6" s="400"/>
      <c r="C6" s="400"/>
      <c r="D6" s="400"/>
      <c r="E6" s="400"/>
      <c r="F6" s="400"/>
      <c r="G6" s="267"/>
      <c r="H6" s="267"/>
      <c r="I6" s="267"/>
      <c r="J6" s="267"/>
      <c r="K6" s="266"/>
      <c r="L6" s="266"/>
    </row>
    <row r="7" spans="1:12" s="274" customFormat="1">
      <c r="A7" s="147" t="s">
        <v>299</v>
      </c>
      <c r="C7" s="231"/>
    </row>
    <row r="8" spans="1:12" s="274" customFormat="1">
      <c r="A8" s="147"/>
      <c r="B8" s="274" t="s">
        <v>251</v>
      </c>
      <c r="C8" s="231">
        <v>43646</v>
      </c>
      <c r="D8" s="274">
        <v>1404.8</v>
      </c>
      <c r="E8" s="437"/>
    </row>
    <row r="9" spans="1:12" s="274" customFormat="1">
      <c r="A9" s="147"/>
      <c r="B9" s="274" t="s">
        <v>251</v>
      </c>
      <c r="C9" s="231">
        <v>43676</v>
      </c>
      <c r="D9" s="162">
        <v>1232</v>
      </c>
      <c r="E9" s="437"/>
    </row>
    <row r="10" spans="1:12" s="274" customFormat="1">
      <c r="A10" s="147"/>
      <c r="C10" s="231">
        <v>43707</v>
      </c>
      <c r="D10" s="162">
        <v>977.9</v>
      </c>
      <c r="E10" s="437"/>
    </row>
    <row r="11" spans="1:12" s="274" customFormat="1">
      <c r="A11" s="147"/>
      <c r="C11" s="231">
        <v>43738</v>
      </c>
      <c r="D11" s="162">
        <v>2168.25</v>
      </c>
      <c r="E11" s="437"/>
    </row>
    <row r="12" spans="1:12" s="274" customFormat="1">
      <c r="A12" s="147"/>
      <c r="C12" s="231"/>
      <c r="D12" s="162"/>
      <c r="E12" s="437"/>
    </row>
    <row r="13" spans="1:12" s="274" customFormat="1">
      <c r="A13" s="147"/>
      <c r="C13" s="231"/>
      <c r="D13" s="162"/>
      <c r="E13" s="437"/>
    </row>
    <row r="14" spans="1:12" s="274" customFormat="1">
      <c r="A14" s="147"/>
    </row>
    <row r="15" spans="1:12" s="274" customFormat="1">
      <c r="A15" s="147"/>
      <c r="B15" s="274" t="s">
        <v>300</v>
      </c>
      <c r="D15" s="276">
        <f>SUM(D8:D14)</f>
        <v>5782.9500000000007</v>
      </c>
    </row>
    <row r="16" spans="1:12" s="162" customFormat="1">
      <c r="A16" s="878"/>
      <c r="D16" s="892">
        <v>3</v>
      </c>
      <c r="E16" s="893"/>
    </row>
    <row r="17" spans="1:6" s="162" customFormat="1" ht="16.5" thickBot="1">
      <c r="A17" s="878"/>
      <c r="B17" s="162" t="s">
        <v>301</v>
      </c>
      <c r="D17" s="894">
        <f>D15/D16</f>
        <v>1927.6500000000003</v>
      </c>
    </row>
    <row r="18" spans="1:6" s="162" customFormat="1" ht="16.5" thickTop="1">
      <c r="A18" s="878"/>
      <c r="B18" s="895"/>
    </row>
    <row r="19" spans="1:6" s="878" customFormat="1">
      <c r="B19" s="162"/>
      <c r="C19" s="162"/>
      <c r="D19" s="896"/>
      <c r="E19" s="162"/>
      <c r="F19" s="162"/>
    </row>
    <row r="20" spans="1:6">
      <c r="A20" s="481" t="s">
        <v>303</v>
      </c>
      <c r="B20" s="162"/>
      <c r="D20" s="275"/>
    </row>
  </sheetData>
  <mergeCells count="3">
    <mergeCell ref="A5:F5"/>
    <mergeCell ref="A3:F3"/>
    <mergeCell ref="A1:F1"/>
  </mergeCells>
  <printOptions horizontalCentered="1"/>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Q189"/>
  <sheetViews>
    <sheetView tabSelected="1" zoomScale="85" zoomScaleNormal="85" workbookViewId="0">
      <selection activeCell="Q23" sqref="Q23:Q24"/>
    </sheetView>
  </sheetViews>
  <sheetFormatPr defaultRowHeight="12.75"/>
  <cols>
    <col min="1" max="1" width="31.33203125" style="151" customWidth="1"/>
    <col min="2" max="12" width="8.77734375" style="150" customWidth="1"/>
    <col min="13" max="13" width="9.77734375" style="150" customWidth="1"/>
    <col min="14" max="14" width="1.77734375" style="150" customWidth="1"/>
    <col min="15" max="15" width="10.44140625" style="150" customWidth="1"/>
    <col min="16" max="16" width="18" style="151" customWidth="1"/>
    <col min="17" max="16384" width="8.88671875" style="151"/>
  </cols>
  <sheetData>
    <row r="1" spans="1:16">
      <c r="A1" s="149" t="s">
        <v>145</v>
      </c>
    </row>
    <row r="2" spans="1:16">
      <c r="B2" s="712">
        <v>2018</v>
      </c>
      <c r="C2" s="712">
        <v>2018</v>
      </c>
      <c r="D2" s="712">
        <v>2018</v>
      </c>
      <c r="E2" s="712">
        <v>2018</v>
      </c>
      <c r="F2" s="712">
        <v>2018</v>
      </c>
      <c r="G2" s="712">
        <v>2018</v>
      </c>
      <c r="H2" s="712">
        <v>2018</v>
      </c>
      <c r="I2" s="712">
        <v>2018</v>
      </c>
      <c r="J2" s="712">
        <v>2018</v>
      </c>
      <c r="K2" s="152" t="s">
        <v>256</v>
      </c>
      <c r="L2" s="152" t="s">
        <v>256</v>
      </c>
      <c r="M2" s="152" t="s">
        <v>256</v>
      </c>
    </row>
    <row r="3" spans="1:16">
      <c r="A3" s="153"/>
      <c r="B3" s="154" t="s">
        <v>83</v>
      </c>
      <c r="C3" s="154" t="s">
        <v>84</v>
      </c>
      <c r="D3" s="154" t="s">
        <v>85</v>
      </c>
      <c r="E3" s="154" t="s">
        <v>86</v>
      </c>
      <c r="F3" s="154" t="s">
        <v>87</v>
      </c>
      <c r="G3" s="154" t="s">
        <v>88</v>
      </c>
      <c r="H3" s="154" t="s">
        <v>89</v>
      </c>
      <c r="I3" s="154" t="s">
        <v>90</v>
      </c>
      <c r="J3" s="154" t="s">
        <v>82</v>
      </c>
      <c r="K3" s="154" t="s">
        <v>81</v>
      </c>
      <c r="L3" s="154" t="s">
        <v>80</v>
      </c>
      <c r="M3" s="154" t="s">
        <v>79</v>
      </c>
      <c r="O3" s="154" t="s">
        <v>144</v>
      </c>
      <c r="P3" s="151" t="s">
        <v>605</v>
      </c>
    </row>
    <row r="4" spans="1:16">
      <c r="A4" s="155" t="s">
        <v>143</v>
      </c>
    </row>
    <row r="5" spans="1:16">
      <c r="A5" s="155" t="s">
        <v>436</v>
      </c>
      <c r="B5" s="980">
        <v>145.30000000000001</v>
      </c>
      <c r="C5" s="980">
        <v>44.25</v>
      </c>
      <c r="D5" s="980">
        <v>63.24</v>
      </c>
      <c r="E5" s="980">
        <v>250.39</v>
      </c>
      <c r="F5" s="980">
        <v>0</v>
      </c>
      <c r="G5" s="980">
        <v>67.73</v>
      </c>
      <c r="H5" s="980">
        <v>317.76</v>
      </c>
      <c r="I5" s="980">
        <v>63.38</v>
      </c>
      <c r="J5" s="980">
        <v>127.78</v>
      </c>
      <c r="K5" s="980">
        <v>0</v>
      </c>
      <c r="L5" s="980">
        <v>120.97</v>
      </c>
      <c r="M5" s="980">
        <v>36.53</v>
      </c>
      <c r="O5" s="713">
        <f>SUM(B5:M5)</f>
        <v>1237.33</v>
      </c>
    </row>
    <row r="6" spans="1:16">
      <c r="A6" s="155" t="s">
        <v>438</v>
      </c>
      <c r="B6" s="980">
        <v>35936.980000000003</v>
      </c>
      <c r="C6" s="980">
        <v>36004.6</v>
      </c>
      <c r="D6" s="980">
        <v>35369.42</v>
      </c>
      <c r="E6" s="980">
        <v>38186.43</v>
      </c>
      <c r="F6" s="980">
        <v>37141.06</v>
      </c>
      <c r="G6" s="980">
        <v>41245.339999999997</v>
      </c>
      <c r="H6" s="980">
        <v>38763.81</v>
      </c>
      <c r="I6" s="980">
        <v>39678.03</v>
      </c>
      <c r="J6" s="980">
        <v>42550.39</v>
      </c>
      <c r="K6" s="980">
        <v>41242.5</v>
      </c>
      <c r="L6" s="980">
        <v>44911.61</v>
      </c>
      <c r="M6" s="980">
        <v>42237.05</v>
      </c>
      <c r="O6" s="713">
        <f t="shared" ref="O6:O48" si="0">SUM(B6:M6)</f>
        <v>473267.22000000003</v>
      </c>
    </row>
    <row r="7" spans="1:16">
      <c r="A7" s="155" t="s">
        <v>439</v>
      </c>
      <c r="B7" s="980">
        <v>4.58</v>
      </c>
      <c r="C7" s="980">
        <v>0</v>
      </c>
      <c r="D7" s="980">
        <v>0</v>
      </c>
      <c r="E7" s="980">
        <v>0</v>
      </c>
      <c r="F7" s="980">
        <v>9.16</v>
      </c>
      <c r="G7" s="980">
        <v>13.74</v>
      </c>
      <c r="H7" s="980">
        <v>0</v>
      </c>
      <c r="I7" s="980">
        <v>27.48</v>
      </c>
      <c r="J7" s="980">
        <v>0</v>
      </c>
      <c r="K7" s="980">
        <v>0</v>
      </c>
      <c r="L7" s="980">
        <v>0</v>
      </c>
      <c r="M7" s="980">
        <v>4.58</v>
      </c>
      <c r="O7" s="713">
        <f t="shared" si="0"/>
        <v>59.54</v>
      </c>
    </row>
    <row r="8" spans="1:16">
      <c r="A8" s="155" t="s">
        <v>440</v>
      </c>
      <c r="B8" s="980">
        <v>24.54</v>
      </c>
      <c r="C8" s="980">
        <v>20.59</v>
      </c>
      <c r="D8" s="980">
        <v>230.59</v>
      </c>
      <c r="E8" s="980">
        <v>26.62</v>
      </c>
      <c r="F8" s="980">
        <v>26.62</v>
      </c>
      <c r="G8" s="980">
        <v>26.62</v>
      </c>
      <c r="H8" s="980">
        <v>26.62</v>
      </c>
      <c r="I8" s="980">
        <v>26.62</v>
      </c>
      <c r="J8" s="980">
        <v>126.62</v>
      </c>
      <c r="K8" s="980">
        <v>93.86</v>
      </c>
      <c r="L8" s="980">
        <v>28.38</v>
      </c>
      <c r="M8" s="980">
        <v>100.3</v>
      </c>
      <c r="O8" s="713">
        <f t="shared" si="0"/>
        <v>757.98</v>
      </c>
    </row>
    <row r="9" spans="1:16">
      <c r="A9" s="155" t="s">
        <v>441</v>
      </c>
      <c r="B9" s="980">
        <v>20423.77</v>
      </c>
      <c r="C9" s="980">
        <v>21579.21</v>
      </c>
      <c r="D9" s="980">
        <v>24707.68</v>
      </c>
      <c r="E9" s="980">
        <v>24128.43</v>
      </c>
      <c r="F9" s="980">
        <v>24718.12</v>
      </c>
      <c r="G9" s="980">
        <v>24613.93</v>
      </c>
      <c r="H9" s="980">
        <v>23393.84</v>
      </c>
      <c r="I9" s="980">
        <v>24691.279999999999</v>
      </c>
      <c r="J9" s="980">
        <v>23224.77</v>
      </c>
      <c r="K9" s="980">
        <v>23742.79</v>
      </c>
      <c r="L9" s="980">
        <v>23806.83</v>
      </c>
      <c r="M9" s="980">
        <v>23415.59</v>
      </c>
      <c r="O9" s="713">
        <f t="shared" si="0"/>
        <v>282446.24</v>
      </c>
    </row>
    <row r="10" spans="1:16">
      <c r="A10" s="155" t="s">
        <v>442</v>
      </c>
      <c r="B10" s="980">
        <v>16047.57</v>
      </c>
      <c r="C10" s="980">
        <v>17640.59</v>
      </c>
      <c r="D10" s="980">
        <v>15973.52</v>
      </c>
      <c r="E10" s="980">
        <v>16133.38</v>
      </c>
      <c r="F10" s="980">
        <v>16865.080000000002</v>
      </c>
      <c r="G10" s="980">
        <v>18841.05</v>
      </c>
      <c r="H10" s="980">
        <v>15898.59</v>
      </c>
      <c r="I10" s="980">
        <v>12362.21</v>
      </c>
      <c r="J10" s="980">
        <v>11996.32</v>
      </c>
      <c r="K10" s="980">
        <v>15739.5</v>
      </c>
      <c r="L10" s="980">
        <v>21634.23</v>
      </c>
      <c r="M10" s="980">
        <v>16490.11</v>
      </c>
      <c r="O10" s="713">
        <f t="shared" si="0"/>
        <v>195622.15000000002</v>
      </c>
    </row>
    <row r="11" spans="1:16">
      <c r="A11" s="155" t="s">
        <v>443</v>
      </c>
      <c r="B11" s="980">
        <v>16608.7</v>
      </c>
      <c r="C11" s="980">
        <v>14713.01</v>
      </c>
      <c r="D11" s="980">
        <v>14844.08</v>
      </c>
      <c r="E11" s="980">
        <v>15776.54</v>
      </c>
      <c r="F11" s="980">
        <v>16035.65</v>
      </c>
      <c r="G11" s="980">
        <v>16279.42</v>
      </c>
      <c r="H11" s="980">
        <v>17786.990000000002</v>
      </c>
      <c r="I11" s="980">
        <v>16453.78</v>
      </c>
      <c r="J11" s="980">
        <v>15713.56</v>
      </c>
      <c r="K11" s="980">
        <v>25221.26</v>
      </c>
      <c r="L11" s="980">
        <v>20391.240000000002</v>
      </c>
      <c r="M11" s="980">
        <v>19607.849999999999</v>
      </c>
      <c r="O11" s="713">
        <f t="shared" si="0"/>
        <v>209432.08000000002</v>
      </c>
    </row>
    <row r="12" spans="1:16">
      <c r="A12" s="155" t="s">
        <v>444</v>
      </c>
      <c r="B12" s="980">
        <v>6963.78</v>
      </c>
      <c r="C12" s="980">
        <v>3847.1</v>
      </c>
      <c r="D12" s="980">
        <v>4143.91</v>
      </c>
      <c r="E12" s="980">
        <v>19974.96</v>
      </c>
      <c r="F12" s="980">
        <v>4446.26</v>
      </c>
      <c r="G12" s="980">
        <v>4577.87</v>
      </c>
      <c r="H12" s="980">
        <v>4713.08</v>
      </c>
      <c r="I12" s="980">
        <v>5276.56</v>
      </c>
      <c r="J12" s="980">
        <v>4500.93</v>
      </c>
      <c r="K12" s="980">
        <v>7256.31</v>
      </c>
      <c r="L12" s="980">
        <v>5740.66</v>
      </c>
      <c r="M12" s="980">
        <v>53682.31</v>
      </c>
      <c r="O12" s="713">
        <f t="shared" si="0"/>
        <v>125123.73000000001</v>
      </c>
    </row>
    <row r="13" spans="1:16">
      <c r="A13" s="155" t="s">
        <v>445</v>
      </c>
      <c r="B13" s="980">
        <v>0</v>
      </c>
      <c r="C13" s="980">
        <v>0</v>
      </c>
      <c r="D13" s="980">
        <v>0</v>
      </c>
      <c r="E13" s="980">
        <v>0</v>
      </c>
      <c r="F13" s="980">
        <v>158.22</v>
      </c>
      <c r="G13" s="980">
        <v>0</v>
      </c>
      <c r="H13" s="980">
        <v>0</v>
      </c>
      <c r="I13" s="980">
        <v>0</v>
      </c>
      <c r="J13" s="980">
        <v>0</v>
      </c>
      <c r="K13" s="980">
        <v>0</v>
      </c>
      <c r="L13" s="980">
        <v>0</v>
      </c>
      <c r="M13" s="980">
        <v>0</v>
      </c>
      <c r="O13" s="713">
        <f t="shared" si="0"/>
        <v>158.22</v>
      </c>
    </row>
    <row r="14" spans="1:16">
      <c r="A14" s="155" t="s">
        <v>437</v>
      </c>
      <c r="B14" s="774">
        <v>283229.25</v>
      </c>
      <c r="C14" s="774">
        <v>275965.48</v>
      </c>
      <c r="D14" s="774">
        <v>298125.3</v>
      </c>
      <c r="E14" s="774">
        <v>285440.77</v>
      </c>
      <c r="F14" s="774">
        <v>305710.46000000002</v>
      </c>
      <c r="G14" s="774">
        <v>341807.63</v>
      </c>
      <c r="H14" s="774">
        <v>298675.36</v>
      </c>
      <c r="I14" s="774">
        <v>306967.03999999998</v>
      </c>
      <c r="J14" s="774">
        <v>398501.2</v>
      </c>
      <c r="K14" s="774">
        <v>307998.15000000002</v>
      </c>
      <c r="L14" s="774">
        <v>286912.92</v>
      </c>
      <c r="M14" s="774">
        <v>255981.95</v>
      </c>
      <c r="O14" s="713">
        <f t="shared" si="0"/>
        <v>3645315.5100000002</v>
      </c>
    </row>
    <row r="15" spans="1:16">
      <c r="A15" s="155" t="s">
        <v>446</v>
      </c>
      <c r="B15" s="774">
        <v>11.93</v>
      </c>
      <c r="C15" s="774">
        <v>0</v>
      </c>
      <c r="D15" s="774">
        <v>0</v>
      </c>
      <c r="E15" s="774">
        <v>0</v>
      </c>
      <c r="F15" s="774">
        <v>27.47</v>
      </c>
      <c r="G15" s="774">
        <v>20.93</v>
      </c>
      <c r="H15" s="774">
        <v>74.78</v>
      </c>
      <c r="I15" s="774">
        <v>56.54</v>
      </c>
      <c r="J15" s="774">
        <v>0</v>
      </c>
      <c r="K15" s="774">
        <v>5</v>
      </c>
      <c r="L15" s="774">
        <v>10.27</v>
      </c>
      <c r="M15" s="774">
        <v>36.51</v>
      </c>
      <c r="O15" s="713">
        <f t="shared" si="0"/>
        <v>243.43</v>
      </c>
    </row>
    <row r="16" spans="1:16">
      <c r="A16" s="155" t="s">
        <v>448</v>
      </c>
      <c r="B16" s="774">
        <v>40.19</v>
      </c>
      <c r="C16" s="774">
        <v>223.77</v>
      </c>
      <c r="D16" s="774">
        <v>448.8</v>
      </c>
      <c r="E16" s="774">
        <v>34.32</v>
      </c>
      <c r="F16" s="774">
        <v>403.95</v>
      </c>
      <c r="G16" s="774">
        <v>9.32</v>
      </c>
      <c r="H16" s="774">
        <v>5.0199999999999996</v>
      </c>
      <c r="I16" s="774">
        <v>238.21</v>
      </c>
      <c r="J16" s="774">
        <v>0</v>
      </c>
      <c r="K16" s="774">
        <v>20</v>
      </c>
      <c r="L16" s="774">
        <v>16.88</v>
      </c>
      <c r="M16" s="774">
        <v>10.43</v>
      </c>
      <c r="O16" s="713">
        <f t="shared" si="0"/>
        <v>1450.89</v>
      </c>
    </row>
    <row r="17" spans="1:16">
      <c r="A17" s="155" t="s">
        <v>449</v>
      </c>
      <c r="B17" s="774">
        <v>150</v>
      </c>
      <c r="C17" s="774">
        <v>300</v>
      </c>
      <c r="D17" s="774">
        <v>150</v>
      </c>
      <c r="E17" s="774">
        <v>150</v>
      </c>
      <c r="F17" s="774">
        <v>0</v>
      </c>
      <c r="G17" s="774">
        <v>225</v>
      </c>
      <c r="H17" s="774">
        <v>450</v>
      </c>
      <c r="I17" s="774">
        <v>75</v>
      </c>
      <c r="J17" s="774">
        <v>400</v>
      </c>
      <c r="K17" s="774">
        <v>0</v>
      </c>
      <c r="L17" s="774">
        <v>0</v>
      </c>
      <c r="M17" s="774">
        <v>0</v>
      </c>
      <c r="O17" s="713">
        <f t="shared" si="0"/>
        <v>1900</v>
      </c>
    </row>
    <row r="18" spans="1:16">
      <c r="A18" s="155" t="s">
        <v>447</v>
      </c>
      <c r="B18" s="774">
        <v>0</v>
      </c>
      <c r="C18" s="774">
        <v>0</v>
      </c>
      <c r="D18" s="774">
        <v>0</v>
      </c>
      <c r="E18" s="774">
        <v>0</v>
      </c>
      <c r="F18" s="774">
        <v>0</v>
      </c>
      <c r="G18" s="774">
        <v>833.2</v>
      </c>
      <c r="H18" s="774">
        <v>0</v>
      </c>
      <c r="I18" s="774">
        <v>0</v>
      </c>
      <c r="J18" s="774">
        <v>0</v>
      </c>
      <c r="K18" s="774">
        <v>0</v>
      </c>
      <c r="L18" s="774">
        <v>0</v>
      </c>
      <c r="M18" s="774">
        <v>500</v>
      </c>
      <c r="O18" s="713">
        <f t="shared" si="0"/>
        <v>1333.2</v>
      </c>
    </row>
    <row r="19" spans="1:16">
      <c r="A19" s="155" t="s">
        <v>450</v>
      </c>
      <c r="B19" s="774">
        <v>39.96</v>
      </c>
      <c r="C19" s="774">
        <v>0</v>
      </c>
      <c r="D19" s="774">
        <v>26.64</v>
      </c>
      <c r="E19" s="774">
        <v>21.06</v>
      </c>
      <c r="F19" s="774">
        <v>0</v>
      </c>
      <c r="G19" s="774">
        <v>14.37</v>
      </c>
      <c r="H19" s="774">
        <v>46.23</v>
      </c>
      <c r="I19" s="774">
        <v>15.9</v>
      </c>
      <c r="J19" s="774">
        <v>0</v>
      </c>
      <c r="K19" s="774">
        <v>72.540000000000006</v>
      </c>
      <c r="L19" s="774">
        <v>13.32</v>
      </c>
      <c r="M19" s="774">
        <v>58.44</v>
      </c>
      <c r="O19" s="713">
        <f t="shared" si="0"/>
        <v>308.45999999999998</v>
      </c>
    </row>
    <row r="20" spans="1:16">
      <c r="A20" s="155" t="s">
        <v>452</v>
      </c>
      <c r="B20" s="774">
        <v>21736.32</v>
      </c>
      <c r="C20" s="774">
        <v>0</v>
      </c>
      <c r="D20" s="774">
        <v>11397.2</v>
      </c>
      <c r="E20" s="774">
        <v>2868.6</v>
      </c>
      <c r="F20" s="774">
        <v>0</v>
      </c>
      <c r="G20" s="774">
        <v>0</v>
      </c>
      <c r="H20" s="774">
        <v>5735.39</v>
      </c>
      <c r="I20" s="774">
        <v>0</v>
      </c>
      <c r="J20" s="774">
        <v>2823.86</v>
      </c>
      <c r="K20" s="774">
        <v>3613.36</v>
      </c>
      <c r="L20" s="774">
        <v>0</v>
      </c>
      <c r="M20" s="774">
        <v>1360.39</v>
      </c>
      <c r="O20" s="713">
        <f t="shared" si="0"/>
        <v>49535.12</v>
      </c>
    </row>
    <row r="21" spans="1:16">
      <c r="A21" s="155" t="s">
        <v>453</v>
      </c>
      <c r="B21" s="774">
        <v>0</v>
      </c>
      <c r="C21" s="774">
        <v>0</v>
      </c>
      <c r="D21" s="774">
        <v>0</v>
      </c>
      <c r="E21" s="774">
        <v>0</v>
      </c>
      <c r="F21" s="774">
        <v>0</v>
      </c>
      <c r="G21" s="774">
        <v>0</v>
      </c>
      <c r="H21" s="774">
        <v>238</v>
      </c>
      <c r="I21" s="774">
        <v>212</v>
      </c>
      <c r="J21" s="774">
        <v>137</v>
      </c>
      <c r="K21" s="774">
        <v>222</v>
      </c>
      <c r="L21" s="774">
        <v>0</v>
      </c>
      <c r="M21" s="774">
        <v>0</v>
      </c>
      <c r="O21" s="713">
        <f t="shared" si="0"/>
        <v>809</v>
      </c>
    </row>
    <row r="22" spans="1:16">
      <c r="A22" s="155" t="s">
        <v>454</v>
      </c>
      <c r="B22" s="774">
        <v>0</v>
      </c>
      <c r="C22" s="774">
        <v>0</v>
      </c>
      <c r="D22" s="774">
        <v>0</v>
      </c>
      <c r="E22" s="774">
        <v>0</v>
      </c>
      <c r="F22" s="774">
        <v>93</v>
      </c>
      <c r="G22" s="774">
        <v>0</v>
      </c>
      <c r="H22" s="774">
        <v>0</v>
      </c>
      <c r="I22" s="774">
        <v>0</v>
      </c>
      <c r="J22" s="774">
        <v>0</v>
      </c>
      <c r="K22" s="774">
        <v>41.4</v>
      </c>
      <c r="L22" s="774">
        <v>0</v>
      </c>
      <c r="M22" s="774">
        <v>0</v>
      </c>
      <c r="O22" s="713">
        <f t="shared" si="0"/>
        <v>134.4</v>
      </c>
    </row>
    <row r="23" spans="1:16">
      <c r="A23" s="155" t="s">
        <v>455</v>
      </c>
      <c r="B23" s="774">
        <v>0</v>
      </c>
      <c r="C23" s="774">
        <v>0</v>
      </c>
      <c r="D23" s="774">
        <v>0</v>
      </c>
      <c r="E23" s="774">
        <v>0</v>
      </c>
      <c r="F23" s="774">
        <v>26</v>
      </c>
      <c r="G23" s="774">
        <v>0</v>
      </c>
      <c r="H23" s="774">
        <v>0</v>
      </c>
      <c r="I23" s="774">
        <v>0</v>
      </c>
      <c r="J23" s="774">
        <v>0</v>
      </c>
      <c r="K23" s="774">
        <v>0</v>
      </c>
      <c r="L23" s="774">
        <v>0</v>
      </c>
      <c r="M23" s="774">
        <v>0</v>
      </c>
      <c r="O23" s="713">
        <f t="shared" si="0"/>
        <v>26</v>
      </c>
    </row>
    <row r="24" spans="1:16">
      <c r="A24" s="155" t="s">
        <v>456</v>
      </c>
      <c r="B24" s="774">
        <v>989.2</v>
      </c>
      <c r="C24" s="774">
        <v>487.9</v>
      </c>
      <c r="D24" s="774">
        <v>0</v>
      </c>
      <c r="E24" s="774">
        <v>322.10000000000002</v>
      </c>
      <c r="F24" s="774">
        <v>484.4</v>
      </c>
      <c r="G24" s="774">
        <v>653.20000000000005</v>
      </c>
      <c r="H24" s="774">
        <v>2163.1</v>
      </c>
      <c r="I24" s="774">
        <v>0</v>
      </c>
      <c r="J24" s="774">
        <v>505.7</v>
      </c>
      <c r="K24" s="774">
        <v>570.4</v>
      </c>
      <c r="L24" s="774">
        <v>386.9</v>
      </c>
      <c r="M24" s="774">
        <v>860.4</v>
      </c>
      <c r="O24" s="713">
        <f t="shared" si="0"/>
        <v>7423.2999999999984</v>
      </c>
    </row>
    <row r="25" spans="1:16">
      <c r="A25" s="155" t="s">
        <v>451</v>
      </c>
      <c r="B25" s="774">
        <v>0</v>
      </c>
      <c r="C25" s="774">
        <v>0</v>
      </c>
      <c r="D25" s="774">
        <v>0</v>
      </c>
      <c r="E25" s="774">
        <v>0</v>
      </c>
      <c r="F25" s="774">
        <v>0</v>
      </c>
      <c r="G25" s="774">
        <v>0</v>
      </c>
      <c r="H25" s="774">
        <v>423.05</v>
      </c>
      <c r="I25" s="774">
        <v>0</v>
      </c>
      <c r="J25" s="774">
        <v>0</v>
      </c>
      <c r="K25" s="774">
        <v>0</v>
      </c>
      <c r="L25" s="774">
        <v>0</v>
      </c>
      <c r="M25" s="774">
        <v>0</v>
      </c>
      <c r="O25" s="713">
        <f t="shared" si="0"/>
        <v>423.05</v>
      </c>
    </row>
    <row r="26" spans="1:16">
      <c r="A26" s="155" t="s">
        <v>457</v>
      </c>
      <c r="B26" s="774">
        <v>58.26</v>
      </c>
      <c r="C26" s="774">
        <v>0</v>
      </c>
      <c r="D26" s="774">
        <v>6.47</v>
      </c>
      <c r="E26" s="774">
        <v>0</v>
      </c>
      <c r="F26" s="774">
        <v>9.7100000000000009</v>
      </c>
      <c r="G26" s="774">
        <v>0</v>
      </c>
      <c r="H26" s="774">
        <v>25.89</v>
      </c>
      <c r="I26" s="774">
        <v>0</v>
      </c>
      <c r="J26" s="774">
        <v>0</v>
      </c>
      <c r="K26" s="774">
        <v>0</v>
      </c>
      <c r="L26" s="774">
        <v>0</v>
      </c>
      <c r="M26" s="774">
        <v>9.7100000000000009</v>
      </c>
      <c r="O26" s="713">
        <f t="shared" si="0"/>
        <v>110.03999999999999</v>
      </c>
    </row>
    <row r="27" spans="1:16">
      <c r="A27" s="155"/>
      <c r="B27" s="774"/>
      <c r="C27" s="774"/>
      <c r="D27" s="774"/>
      <c r="E27" s="774"/>
      <c r="F27" s="774"/>
      <c r="G27" s="774"/>
      <c r="H27" s="774"/>
      <c r="I27" s="774"/>
      <c r="J27" s="774"/>
      <c r="K27" s="774"/>
      <c r="L27" s="774"/>
      <c r="M27" s="774"/>
      <c r="O27" s="713"/>
    </row>
    <row r="28" spans="1:16" s="733" customFormat="1">
      <c r="A28" s="730" t="s">
        <v>348</v>
      </c>
      <c r="B28" s="981">
        <f>SUM(B5:B26)</f>
        <v>402410.33000000007</v>
      </c>
      <c r="C28" s="981">
        <f t="shared" ref="C28:M28" si="1">SUM(C5:C26)</f>
        <v>370826.5</v>
      </c>
      <c r="D28" s="981">
        <f t="shared" si="1"/>
        <v>405486.85</v>
      </c>
      <c r="E28" s="981">
        <f t="shared" si="1"/>
        <v>403313.6</v>
      </c>
      <c r="F28" s="981">
        <f t="shared" si="1"/>
        <v>406155.16000000003</v>
      </c>
      <c r="G28" s="981">
        <f t="shared" si="1"/>
        <v>449229.35000000003</v>
      </c>
      <c r="H28" s="981">
        <f t="shared" si="1"/>
        <v>408737.51</v>
      </c>
      <c r="I28" s="981">
        <f t="shared" si="1"/>
        <v>406144.03</v>
      </c>
      <c r="J28" s="981">
        <f t="shared" si="1"/>
        <v>500608.13</v>
      </c>
      <c r="K28" s="981">
        <f t="shared" si="1"/>
        <v>425839.07</v>
      </c>
      <c r="L28" s="981">
        <f>SUM(L5:L26)</f>
        <v>403974.21</v>
      </c>
      <c r="M28" s="981">
        <f t="shared" si="1"/>
        <v>414392.15000000008</v>
      </c>
      <c r="N28" s="731"/>
      <c r="O28" s="729">
        <f>SUM(O5:O26)</f>
        <v>4997116.8899999997</v>
      </c>
    </row>
    <row r="29" spans="1:16" s="733" customFormat="1">
      <c r="A29" s="730"/>
      <c r="B29" s="774"/>
      <c r="C29" s="774"/>
      <c r="D29" s="774"/>
      <c r="E29" s="774"/>
      <c r="F29" s="774"/>
      <c r="G29" s="774"/>
      <c r="H29" s="774"/>
      <c r="I29" s="774"/>
      <c r="J29" s="774"/>
      <c r="K29" s="774"/>
      <c r="L29" s="774"/>
      <c r="M29" s="774"/>
      <c r="N29" s="731"/>
      <c r="O29" s="732"/>
    </row>
    <row r="30" spans="1:16" s="733" customFormat="1">
      <c r="A30" s="737" t="s">
        <v>615</v>
      </c>
      <c r="B30" s="774"/>
      <c r="C30" s="774"/>
      <c r="D30" s="774"/>
      <c r="E30" s="774"/>
      <c r="F30" s="774"/>
      <c r="G30" s="774"/>
      <c r="H30" s="774"/>
      <c r="I30" s="774"/>
      <c r="J30" s="774"/>
      <c r="K30" s="774"/>
      <c r="L30" s="774"/>
      <c r="M30" s="774"/>
      <c r="N30" s="731"/>
      <c r="O30" s="732"/>
      <c r="P30" s="736" t="s">
        <v>631</v>
      </c>
    </row>
    <row r="31" spans="1:16">
      <c r="A31" s="155" t="s">
        <v>603</v>
      </c>
      <c r="B31" s="774"/>
      <c r="C31" s="774"/>
      <c r="D31" s="774"/>
      <c r="E31" s="774"/>
      <c r="F31" s="774"/>
      <c r="G31" s="774"/>
      <c r="H31" s="774"/>
      <c r="I31" s="774"/>
      <c r="J31" s="774"/>
      <c r="K31" s="774"/>
      <c r="L31" s="774"/>
      <c r="M31" s="774"/>
      <c r="O31" s="713"/>
      <c r="P31" s="734">
        <f>1436788</f>
        <v>1436788</v>
      </c>
    </row>
    <row r="32" spans="1:16">
      <c r="A32" s="155" t="s">
        <v>606</v>
      </c>
      <c r="B32" s="774"/>
      <c r="C32" s="774"/>
      <c r="D32" s="774"/>
      <c r="E32" s="774"/>
      <c r="F32" s="774"/>
      <c r="G32" s="774"/>
      <c r="H32" s="774"/>
      <c r="I32" s="774"/>
      <c r="J32" s="774"/>
      <c r="K32" s="774"/>
      <c r="L32" s="774"/>
      <c r="M32" s="774"/>
      <c r="O32" s="713"/>
      <c r="P32" s="734">
        <v>2154911</v>
      </c>
    </row>
    <row r="33" spans="1:17">
      <c r="A33" s="155" t="s">
        <v>604</v>
      </c>
      <c r="B33" s="774"/>
      <c r="C33" s="774"/>
      <c r="D33" s="774"/>
      <c r="E33" s="774"/>
      <c r="F33" s="774"/>
      <c r="G33" s="774"/>
      <c r="H33" s="774"/>
      <c r="I33" s="774"/>
      <c r="J33" s="774"/>
      <c r="K33" s="774"/>
      <c r="L33" s="774"/>
      <c r="M33" s="774"/>
      <c r="O33" s="713"/>
      <c r="P33" s="734">
        <v>387428</v>
      </c>
    </row>
    <row r="34" spans="1:17">
      <c r="A34" s="155" t="s">
        <v>607</v>
      </c>
      <c r="B34" s="774"/>
      <c r="C34" s="774"/>
      <c r="D34" s="774"/>
      <c r="E34" s="774"/>
      <c r="F34" s="774"/>
      <c r="G34" s="774"/>
      <c r="H34" s="774"/>
      <c r="I34" s="774"/>
      <c r="J34" s="774"/>
      <c r="K34" s="774"/>
      <c r="L34" s="774"/>
      <c r="M34" s="774"/>
      <c r="O34" s="713"/>
      <c r="P34" s="734">
        <v>349662</v>
      </c>
    </row>
    <row r="35" spans="1:17">
      <c r="A35" s="155" t="s">
        <v>616</v>
      </c>
      <c r="B35" s="774"/>
      <c r="C35" s="774"/>
      <c r="D35" s="774"/>
      <c r="E35" s="774"/>
      <c r="F35" s="774"/>
      <c r="G35" s="774"/>
      <c r="H35" s="774"/>
      <c r="I35" s="774"/>
      <c r="J35" s="774"/>
      <c r="K35" s="774"/>
      <c r="L35" s="774"/>
      <c r="M35" s="774"/>
      <c r="O35" s="713"/>
      <c r="P35" s="734">
        <v>60</v>
      </c>
    </row>
    <row r="36" spans="1:17">
      <c r="A36" s="155" t="s">
        <v>608</v>
      </c>
      <c r="B36" s="774"/>
      <c r="C36" s="774"/>
      <c r="D36" s="774"/>
      <c r="E36" s="774"/>
      <c r="F36" s="774"/>
      <c r="G36" s="774"/>
      <c r="H36" s="774"/>
      <c r="I36" s="774"/>
      <c r="J36" s="774"/>
      <c r="K36" s="774"/>
      <c r="L36" s="774"/>
      <c r="M36" s="774"/>
      <c r="O36" s="713"/>
      <c r="P36" s="734">
        <v>321524</v>
      </c>
    </row>
    <row r="37" spans="1:17">
      <c r="A37" s="155" t="s">
        <v>609</v>
      </c>
      <c r="B37" s="774"/>
      <c r="C37" s="774"/>
      <c r="D37" s="774"/>
      <c r="E37" s="774"/>
      <c r="F37" s="774"/>
      <c r="G37" s="774"/>
      <c r="H37" s="774"/>
      <c r="I37" s="774"/>
      <c r="J37" s="774"/>
      <c r="K37" s="774"/>
      <c r="L37" s="774"/>
      <c r="M37" s="774"/>
      <c r="O37" s="713"/>
      <c r="P37" s="734">
        <v>161137</v>
      </c>
    </row>
    <row r="38" spans="1:17">
      <c r="A38" s="155" t="s">
        <v>629</v>
      </c>
      <c r="B38" s="774"/>
      <c r="C38" s="774"/>
      <c r="D38" s="774"/>
      <c r="E38" s="774"/>
      <c r="F38" s="774"/>
      <c r="G38" s="774"/>
      <c r="H38" s="774"/>
      <c r="I38" s="774"/>
      <c r="J38" s="774"/>
      <c r="K38" s="774"/>
      <c r="L38" s="774"/>
      <c r="M38" s="774"/>
      <c r="O38" s="713"/>
      <c r="P38" s="734">
        <v>-64755</v>
      </c>
    </row>
    <row r="39" spans="1:17">
      <c r="A39" s="155" t="s">
        <v>630</v>
      </c>
      <c r="B39" s="774"/>
      <c r="C39" s="774"/>
      <c r="D39" s="774"/>
      <c r="E39" s="774"/>
      <c r="F39" s="774"/>
      <c r="G39" s="774"/>
      <c r="H39" s="774"/>
      <c r="I39" s="774"/>
      <c r="J39" s="774"/>
      <c r="K39" s="774"/>
      <c r="L39" s="774"/>
      <c r="M39" s="774"/>
      <c r="O39" s="713"/>
      <c r="P39" s="734">
        <v>32124</v>
      </c>
    </row>
    <row r="40" spans="1:17">
      <c r="A40" s="155" t="s">
        <v>610</v>
      </c>
      <c r="B40" s="774"/>
      <c r="C40" s="774"/>
      <c r="D40" s="774"/>
      <c r="E40" s="774"/>
      <c r="F40" s="774"/>
      <c r="G40" s="774"/>
      <c r="H40" s="774"/>
      <c r="I40" s="774"/>
      <c r="J40" s="774"/>
      <c r="K40" s="774"/>
      <c r="L40" s="774"/>
      <c r="M40" s="774"/>
      <c r="O40" s="713"/>
      <c r="P40" s="734">
        <v>38386</v>
      </c>
    </row>
    <row r="41" spans="1:17">
      <c r="A41" s="155" t="s">
        <v>611</v>
      </c>
      <c r="B41" s="774"/>
      <c r="C41" s="774"/>
      <c r="D41" s="774"/>
      <c r="E41" s="774"/>
      <c r="F41" s="774"/>
      <c r="G41" s="774"/>
      <c r="H41" s="774"/>
      <c r="I41" s="774"/>
      <c r="J41" s="774"/>
      <c r="K41" s="774"/>
      <c r="L41" s="774"/>
      <c r="M41" s="774"/>
      <c r="O41" s="713"/>
      <c r="P41" s="734">
        <v>86873</v>
      </c>
    </row>
    <row r="42" spans="1:17">
      <c r="A42" s="155" t="s">
        <v>612</v>
      </c>
      <c r="B42" s="774"/>
      <c r="C42" s="774"/>
      <c r="D42" s="774"/>
      <c r="E42" s="774"/>
      <c r="F42" s="774"/>
      <c r="G42" s="774"/>
      <c r="H42" s="774"/>
      <c r="I42" s="774"/>
      <c r="J42" s="774"/>
      <c r="K42" s="774"/>
      <c r="L42" s="774"/>
      <c r="M42" s="774"/>
      <c r="O42" s="713"/>
      <c r="P42" s="734">
        <v>11204</v>
      </c>
    </row>
    <row r="43" spans="1:17">
      <c r="A43" s="155" t="s">
        <v>627</v>
      </c>
      <c r="B43" s="774"/>
      <c r="C43" s="774"/>
      <c r="D43" s="774"/>
      <c r="E43" s="774"/>
      <c r="F43" s="774"/>
      <c r="G43" s="774"/>
      <c r="H43" s="774"/>
      <c r="I43" s="774"/>
      <c r="J43" s="774"/>
      <c r="K43" s="774"/>
      <c r="L43" s="774"/>
      <c r="M43" s="774"/>
      <c r="O43" s="713"/>
      <c r="P43" s="735">
        <v>81774</v>
      </c>
    </row>
    <row r="44" spans="1:17">
      <c r="A44" s="155" t="s">
        <v>614</v>
      </c>
      <c r="B44" s="774"/>
      <c r="C44" s="774"/>
      <c r="D44" s="774"/>
      <c r="E44" s="774"/>
      <c r="F44" s="774"/>
      <c r="G44" s="774"/>
      <c r="H44" s="774"/>
      <c r="I44" s="774"/>
      <c r="J44" s="774"/>
      <c r="K44" s="774"/>
      <c r="L44" s="774"/>
      <c r="M44" s="774"/>
      <c r="O44" s="713"/>
      <c r="P44" s="734">
        <f>SUM(P31:P43)</f>
        <v>4997116</v>
      </c>
      <c r="Q44" s="151" t="s">
        <v>632</v>
      </c>
    </row>
    <row r="45" spans="1:17">
      <c r="A45" s="155"/>
      <c r="B45" s="774"/>
      <c r="C45" s="774"/>
      <c r="D45" s="774"/>
      <c r="E45" s="774"/>
      <c r="F45" s="774"/>
      <c r="G45" s="774"/>
      <c r="H45" s="774"/>
      <c r="I45" s="774"/>
      <c r="J45" s="774"/>
      <c r="K45" s="774"/>
      <c r="L45" s="774"/>
      <c r="M45" s="774"/>
      <c r="O45" s="713"/>
    </row>
    <row r="46" spans="1:17">
      <c r="A46" s="151" t="s">
        <v>613</v>
      </c>
      <c r="B46" s="774"/>
      <c r="C46" s="774"/>
      <c r="D46" s="774"/>
      <c r="E46" s="774"/>
      <c r="F46" s="774"/>
      <c r="G46" s="774"/>
      <c r="H46" s="774"/>
      <c r="I46" s="774"/>
      <c r="J46" s="774"/>
      <c r="K46" s="774"/>
      <c r="L46" s="774"/>
      <c r="M46" s="774"/>
      <c r="O46" s="713"/>
    </row>
    <row r="47" spans="1:17" s="160" customFormat="1">
      <c r="A47" s="155" t="s">
        <v>524</v>
      </c>
      <c r="B47" s="774">
        <v>0</v>
      </c>
      <c r="C47" s="774">
        <v>0</v>
      </c>
      <c r="D47" s="774">
        <v>0</v>
      </c>
      <c r="E47" s="774">
        <v>0</v>
      </c>
      <c r="F47" s="774">
        <v>0</v>
      </c>
      <c r="G47" s="774">
        <v>0</v>
      </c>
      <c r="H47" s="774">
        <v>0</v>
      </c>
      <c r="I47" s="774">
        <v>0</v>
      </c>
      <c r="J47" s="774">
        <v>0</v>
      </c>
      <c r="K47" s="774">
        <v>0</v>
      </c>
      <c r="L47" s="774">
        <v>0</v>
      </c>
      <c r="M47" s="774">
        <v>15330.94</v>
      </c>
      <c r="N47" s="150"/>
      <c r="O47" s="713">
        <f t="shared" si="0"/>
        <v>15330.94</v>
      </c>
    </row>
    <row r="48" spans="1:17">
      <c r="A48" s="155" t="s">
        <v>525</v>
      </c>
      <c r="B48" s="774">
        <v>664.71</v>
      </c>
      <c r="C48" s="774">
        <v>664.71</v>
      </c>
      <c r="D48" s="774">
        <v>2188.4899999999998</v>
      </c>
      <c r="E48" s="774">
        <v>664.71</v>
      </c>
      <c r="F48" s="774">
        <v>664.71</v>
      </c>
      <c r="G48" s="774">
        <v>1962.48</v>
      </c>
      <c r="H48" s="774">
        <v>664.71</v>
      </c>
      <c r="I48" s="774">
        <v>664.71</v>
      </c>
      <c r="J48" s="774">
        <v>1734.04</v>
      </c>
      <c r="K48" s="774">
        <v>0</v>
      </c>
      <c r="L48" s="774">
        <v>0</v>
      </c>
      <c r="M48" s="774">
        <v>2832.57</v>
      </c>
      <c r="O48" s="713">
        <f t="shared" si="0"/>
        <v>12705.84</v>
      </c>
    </row>
    <row r="49" spans="1:15" s="160" customFormat="1">
      <c r="A49" s="157"/>
      <c r="B49" s="158"/>
      <c r="C49" s="158"/>
      <c r="D49" s="158"/>
      <c r="E49" s="158"/>
      <c r="F49" s="158"/>
      <c r="G49" s="158"/>
      <c r="H49" s="158"/>
      <c r="I49" s="158"/>
      <c r="J49" s="158"/>
      <c r="K49" s="158"/>
      <c r="L49" s="158"/>
      <c r="M49" s="158"/>
      <c r="N49" s="159"/>
      <c r="O49" s="150"/>
    </row>
    <row r="50" spans="1:15">
      <c r="A50" s="155" t="s">
        <v>142</v>
      </c>
      <c r="B50" s="156">
        <f t="shared" ref="B50:M50" si="2">SUM(B5:B26)+SUM(B47:B48)</f>
        <v>403075.0400000001</v>
      </c>
      <c r="C50" s="156">
        <f t="shared" si="2"/>
        <v>371491.21</v>
      </c>
      <c r="D50" s="156">
        <f t="shared" si="2"/>
        <v>407675.33999999997</v>
      </c>
      <c r="E50" s="156">
        <f t="shared" si="2"/>
        <v>403978.31</v>
      </c>
      <c r="F50" s="156">
        <f t="shared" si="2"/>
        <v>406819.87000000005</v>
      </c>
      <c r="G50" s="156">
        <f t="shared" si="2"/>
        <v>451191.83</v>
      </c>
      <c r="H50" s="156">
        <f t="shared" si="2"/>
        <v>409402.22000000003</v>
      </c>
      <c r="I50" s="156">
        <f t="shared" si="2"/>
        <v>406808.74000000005</v>
      </c>
      <c r="J50" s="156">
        <f t="shared" si="2"/>
        <v>502342.17</v>
      </c>
      <c r="K50" s="156">
        <f t="shared" si="2"/>
        <v>425839.07</v>
      </c>
      <c r="L50" s="156">
        <f t="shared" si="2"/>
        <v>403974.21</v>
      </c>
      <c r="M50" s="156">
        <f t="shared" si="2"/>
        <v>432555.66000000009</v>
      </c>
      <c r="N50" s="156"/>
      <c r="O50" s="156">
        <f>SUM(O5:O26)+SUM(O47:O48)</f>
        <v>5025153.67</v>
      </c>
    </row>
    <row r="51" spans="1:15">
      <c r="A51" s="157"/>
      <c r="B51" s="158"/>
      <c r="C51" s="158"/>
      <c r="D51" s="158"/>
      <c r="E51" s="158"/>
      <c r="F51" s="158"/>
      <c r="G51" s="158"/>
      <c r="H51" s="158"/>
      <c r="I51" s="158"/>
      <c r="J51" s="158"/>
      <c r="K51" s="158"/>
      <c r="L51" s="158"/>
      <c r="M51" s="158"/>
      <c r="N51" s="159"/>
    </row>
    <row r="52" spans="1:15">
      <c r="A52" s="155" t="s">
        <v>141</v>
      </c>
    </row>
    <row r="53" spans="1:15">
      <c r="A53" s="155" t="s">
        <v>458</v>
      </c>
      <c r="B53" s="774">
        <v>1645</v>
      </c>
      <c r="C53" s="774">
        <v>694</v>
      </c>
      <c r="D53" s="774">
        <v>604</v>
      </c>
      <c r="E53" s="774">
        <v>559</v>
      </c>
      <c r="F53" s="774">
        <v>4787.2</v>
      </c>
      <c r="G53" s="774">
        <v>2036</v>
      </c>
      <c r="H53" s="774">
        <v>3549.4</v>
      </c>
      <c r="I53" s="774">
        <v>2868.8</v>
      </c>
      <c r="J53" s="774">
        <v>3820.9</v>
      </c>
      <c r="K53" s="774">
        <v>7059.9</v>
      </c>
      <c r="L53" s="774">
        <v>2402.4</v>
      </c>
      <c r="M53" s="774">
        <v>2793</v>
      </c>
      <c r="O53" s="150">
        <f>SUM(B53:M53)</f>
        <v>32819.600000000006</v>
      </c>
    </row>
    <row r="54" spans="1:15">
      <c r="A54" s="150" t="s">
        <v>459</v>
      </c>
      <c r="B54" s="774">
        <v>0</v>
      </c>
      <c r="C54" s="774">
        <v>0</v>
      </c>
      <c r="D54" s="774">
        <v>0</v>
      </c>
      <c r="E54" s="774">
        <v>600</v>
      </c>
      <c r="F54" s="774">
        <v>0</v>
      </c>
      <c r="G54" s="774">
        <v>0</v>
      </c>
      <c r="H54" s="774">
        <v>600</v>
      </c>
      <c r="I54" s="774">
        <v>0</v>
      </c>
      <c r="J54" s="774">
        <v>0</v>
      </c>
      <c r="K54" s="774">
        <v>0</v>
      </c>
      <c r="L54" s="774">
        <v>0</v>
      </c>
      <c r="M54" s="774">
        <v>620</v>
      </c>
      <c r="O54" s="150">
        <f t="shared" ref="O54:O117" si="3">SUM(B54:M54)</f>
        <v>1820</v>
      </c>
    </row>
    <row r="55" spans="1:15">
      <c r="A55" s="155" t="s">
        <v>460</v>
      </c>
      <c r="B55" s="774">
        <v>0</v>
      </c>
      <c r="C55" s="774">
        <v>0</v>
      </c>
      <c r="D55" s="774">
        <v>118.92</v>
      </c>
      <c r="E55" s="774">
        <v>0</v>
      </c>
      <c r="F55" s="774">
        <v>0</v>
      </c>
      <c r="G55" s="774">
        <v>212.36</v>
      </c>
      <c r="H55" s="774">
        <v>0</v>
      </c>
      <c r="I55" s="774">
        <v>0</v>
      </c>
      <c r="J55" s="774">
        <v>1389.82</v>
      </c>
      <c r="K55" s="774">
        <v>0</v>
      </c>
      <c r="L55" s="774">
        <v>0</v>
      </c>
      <c r="M55" s="774">
        <v>4160.53</v>
      </c>
      <c r="O55" s="150">
        <f t="shared" si="3"/>
        <v>5881.6299999999992</v>
      </c>
    </row>
    <row r="56" spans="1:15">
      <c r="A56" s="155" t="s">
        <v>461</v>
      </c>
      <c r="B56" s="774">
        <v>583.25</v>
      </c>
      <c r="C56" s="774">
        <v>1790.72</v>
      </c>
      <c r="D56" s="774">
        <v>-613.87</v>
      </c>
      <c r="E56" s="774">
        <v>573.79</v>
      </c>
      <c r="F56" s="774">
        <v>570.70000000000005</v>
      </c>
      <c r="G56" s="774">
        <v>1428.54</v>
      </c>
      <c r="H56" s="774">
        <v>574.89</v>
      </c>
      <c r="I56" s="774">
        <v>689.51</v>
      </c>
      <c r="J56" s="774">
        <v>734.63</v>
      </c>
      <c r="K56" s="774">
        <v>589.75</v>
      </c>
      <c r="L56" s="774">
        <v>626.97</v>
      </c>
      <c r="M56" s="774">
        <v>612.49</v>
      </c>
      <c r="O56" s="150">
        <f t="shared" si="3"/>
        <v>8161.3700000000008</v>
      </c>
    </row>
    <row r="57" spans="1:15">
      <c r="A57" s="982" t="s">
        <v>463</v>
      </c>
      <c r="B57" s="774">
        <v>149.49</v>
      </c>
      <c r="C57" s="774">
        <v>70.569999999999993</v>
      </c>
      <c r="D57" s="774">
        <v>137.46</v>
      </c>
      <c r="E57" s="774">
        <v>105.46</v>
      </c>
      <c r="F57" s="774">
        <v>165.76</v>
      </c>
      <c r="G57" s="774">
        <v>15</v>
      </c>
      <c r="H57" s="774">
        <v>79.08</v>
      </c>
      <c r="I57" s="774">
        <v>0</v>
      </c>
      <c r="J57" s="774">
        <v>0</v>
      </c>
      <c r="K57" s="774">
        <v>87.31</v>
      </c>
      <c r="L57" s="774">
        <v>257.25</v>
      </c>
      <c r="M57" s="774">
        <v>0</v>
      </c>
      <c r="O57" s="150">
        <f t="shared" si="3"/>
        <v>1067.3800000000001</v>
      </c>
    </row>
    <row r="58" spans="1:15">
      <c r="A58" s="982" t="s">
        <v>462</v>
      </c>
      <c r="B58" s="774">
        <v>28.17</v>
      </c>
      <c r="C58" s="774">
        <v>0</v>
      </c>
      <c r="D58" s="774">
        <v>0</v>
      </c>
      <c r="E58" s="774">
        <v>0</v>
      </c>
      <c r="F58" s="774">
        <v>0</v>
      </c>
      <c r="G58" s="774">
        <v>0</v>
      </c>
      <c r="H58" s="774">
        <v>0</v>
      </c>
      <c r="I58" s="774">
        <v>0</v>
      </c>
      <c r="J58" s="774">
        <v>0</v>
      </c>
      <c r="K58" s="774">
        <v>0</v>
      </c>
      <c r="L58" s="774">
        <v>0</v>
      </c>
      <c r="M58" s="774">
        <v>0</v>
      </c>
      <c r="O58" s="150">
        <f t="shared" si="3"/>
        <v>28.17</v>
      </c>
    </row>
    <row r="59" spans="1:15">
      <c r="A59" s="982" t="s">
        <v>464</v>
      </c>
      <c r="B59" s="774">
        <v>0</v>
      </c>
      <c r="C59" s="774">
        <v>0</v>
      </c>
      <c r="D59" s="774">
        <v>962.21</v>
      </c>
      <c r="E59" s="774">
        <v>0</v>
      </c>
      <c r="F59" s="774">
        <v>0</v>
      </c>
      <c r="G59" s="774">
        <v>0</v>
      </c>
      <c r="H59" s="774">
        <v>0</v>
      </c>
      <c r="I59" s="774">
        <v>0</v>
      </c>
      <c r="J59" s="774">
        <v>0</v>
      </c>
      <c r="K59" s="774">
        <v>0</v>
      </c>
      <c r="L59" s="774">
        <v>0</v>
      </c>
      <c r="M59" s="774">
        <v>0</v>
      </c>
      <c r="O59" s="150">
        <f t="shared" si="3"/>
        <v>962.21</v>
      </c>
    </row>
    <row r="60" spans="1:15">
      <c r="A60" s="982" t="s">
        <v>465</v>
      </c>
      <c r="B60" s="774">
        <v>0</v>
      </c>
      <c r="C60" s="774">
        <v>780</v>
      </c>
      <c r="D60" s="774">
        <v>849.58</v>
      </c>
      <c r="E60" s="774">
        <v>75</v>
      </c>
      <c r="F60" s="774">
        <v>575</v>
      </c>
      <c r="G60" s="774">
        <v>100</v>
      </c>
      <c r="H60" s="774">
        <v>0</v>
      </c>
      <c r="I60" s="774">
        <v>0</v>
      </c>
      <c r="J60" s="774">
        <v>0</v>
      </c>
      <c r="K60" s="774">
        <v>0</v>
      </c>
      <c r="L60" s="774">
        <v>200</v>
      </c>
      <c r="M60" s="774">
        <v>2520</v>
      </c>
      <c r="O60" s="150">
        <f t="shared" si="3"/>
        <v>5099.58</v>
      </c>
    </row>
    <row r="61" spans="1:15">
      <c r="A61" s="982" t="s">
        <v>466</v>
      </c>
      <c r="B61" s="774">
        <v>0</v>
      </c>
      <c r="C61" s="774">
        <v>0</v>
      </c>
      <c r="D61" s="774">
        <v>0</v>
      </c>
      <c r="E61" s="774">
        <v>0</v>
      </c>
      <c r="F61" s="774">
        <v>0</v>
      </c>
      <c r="G61" s="774">
        <v>0</v>
      </c>
      <c r="H61" s="774">
        <v>0</v>
      </c>
      <c r="I61" s="774">
        <v>0</v>
      </c>
      <c r="J61" s="774">
        <v>0</v>
      </c>
      <c r="K61" s="774">
        <v>910</v>
      </c>
      <c r="L61" s="774">
        <v>910</v>
      </c>
      <c r="M61" s="774">
        <v>910</v>
      </c>
      <c r="O61" s="150">
        <f t="shared" si="3"/>
        <v>2730</v>
      </c>
    </row>
    <row r="62" spans="1:15">
      <c r="A62" s="982" t="s">
        <v>316</v>
      </c>
      <c r="B62" s="774">
        <v>970</v>
      </c>
      <c r="C62" s="774">
        <v>910</v>
      </c>
      <c r="D62" s="774">
        <v>910</v>
      </c>
      <c r="E62" s="774">
        <v>910</v>
      </c>
      <c r="F62" s="774">
        <v>910</v>
      </c>
      <c r="G62" s="774">
        <v>910</v>
      </c>
      <c r="H62" s="774">
        <v>2320</v>
      </c>
      <c r="I62" s="774">
        <v>910</v>
      </c>
      <c r="J62" s="774">
        <v>1030</v>
      </c>
      <c r="K62" s="774">
        <v>60</v>
      </c>
      <c r="L62" s="774">
        <v>541</v>
      </c>
      <c r="M62" s="774">
        <v>0</v>
      </c>
      <c r="O62" s="150">
        <f t="shared" si="3"/>
        <v>10381</v>
      </c>
    </row>
    <row r="63" spans="1:15">
      <c r="A63" s="982" t="s">
        <v>467</v>
      </c>
      <c r="B63" s="774">
        <v>0</v>
      </c>
      <c r="C63" s="774">
        <v>0</v>
      </c>
      <c r="D63" s="774">
        <v>933.49</v>
      </c>
      <c r="E63" s="774">
        <v>0</v>
      </c>
      <c r="F63" s="774">
        <v>-629.72</v>
      </c>
      <c r="G63" s="774">
        <v>933.49</v>
      </c>
      <c r="H63" s="774">
        <v>0</v>
      </c>
      <c r="I63" s="774">
        <v>933.49</v>
      </c>
      <c r="J63" s="774">
        <v>0</v>
      </c>
      <c r="K63" s="774">
        <v>0</v>
      </c>
      <c r="L63" s="774">
        <v>0</v>
      </c>
      <c r="M63" s="774">
        <v>932.29</v>
      </c>
      <c r="O63" s="150">
        <f t="shared" si="3"/>
        <v>3103.04</v>
      </c>
    </row>
    <row r="64" spans="1:15">
      <c r="A64" s="155" t="s">
        <v>139</v>
      </c>
      <c r="B64" s="774">
        <v>37</v>
      </c>
      <c r="C64" s="774">
        <v>3554.06</v>
      </c>
      <c r="D64" s="774">
        <v>0</v>
      </c>
      <c r="E64" s="774">
        <v>124.27</v>
      </c>
      <c r="F64" s="774">
        <v>59.5</v>
      </c>
      <c r="G64" s="774">
        <v>14</v>
      </c>
      <c r="H64" s="774">
        <v>4341.25</v>
      </c>
      <c r="I64" s="774">
        <v>74.75</v>
      </c>
      <c r="J64" s="774">
        <v>3920.4</v>
      </c>
      <c r="K64" s="774">
        <v>107.25</v>
      </c>
      <c r="L64" s="774">
        <v>1984</v>
      </c>
      <c r="M64" s="774">
        <v>131.43</v>
      </c>
      <c r="O64" s="150">
        <f t="shared" si="3"/>
        <v>14347.91</v>
      </c>
    </row>
    <row r="65" spans="1:15">
      <c r="A65" s="155" t="s">
        <v>140</v>
      </c>
      <c r="B65" s="774">
        <v>10969.29</v>
      </c>
      <c r="C65" s="774">
        <v>0</v>
      </c>
      <c r="D65" s="774">
        <v>20281.46</v>
      </c>
      <c r="E65" s="774">
        <v>12669.33</v>
      </c>
      <c r="F65" s="774">
        <v>14101.5</v>
      </c>
      <c r="G65" s="774">
        <v>227.13</v>
      </c>
      <c r="H65" s="774">
        <v>27067.31</v>
      </c>
      <c r="I65" s="774">
        <v>15154.21</v>
      </c>
      <c r="J65" s="774">
        <v>12724.7</v>
      </c>
      <c r="K65" s="774">
        <v>71.040000000000006</v>
      </c>
      <c r="L65" s="774">
        <v>27853.96</v>
      </c>
      <c r="M65" s="774">
        <v>10319.36</v>
      </c>
      <c r="O65" s="150">
        <f t="shared" si="3"/>
        <v>151439.28999999998</v>
      </c>
    </row>
    <row r="66" spans="1:15">
      <c r="A66" s="155" t="s">
        <v>469</v>
      </c>
      <c r="B66" s="774">
        <v>2085</v>
      </c>
      <c r="C66" s="774">
        <v>2085</v>
      </c>
      <c r="D66" s="774">
        <v>2085</v>
      </c>
      <c r="E66" s="774">
        <v>2085</v>
      </c>
      <c r="F66" s="774">
        <v>2085</v>
      </c>
      <c r="G66" s="774">
        <v>2085</v>
      </c>
      <c r="H66" s="774">
        <v>2085</v>
      </c>
      <c r="I66" s="774">
        <v>2085</v>
      </c>
      <c r="J66" s="774">
        <v>2085</v>
      </c>
      <c r="K66" s="774">
        <v>2085</v>
      </c>
      <c r="L66" s="774">
        <v>2085</v>
      </c>
      <c r="M66" s="774">
        <v>2085</v>
      </c>
      <c r="O66" s="150">
        <f t="shared" si="3"/>
        <v>25020</v>
      </c>
    </row>
    <row r="67" spans="1:15">
      <c r="A67" s="155" t="s">
        <v>470</v>
      </c>
      <c r="B67" s="774">
        <v>0</v>
      </c>
      <c r="C67" s="774">
        <v>0</v>
      </c>
      <c r="D67" s="774">
        <v>0</v>
      </c>
      <c r="E67" s="774">
        <v>0</v>
      </c>
      <c r="F67" s="774">
        <v>153.30000000000001</v>
      </c>
      <c r="G67" s="774">
        <v>0</v>
      </c>
      <c r="H67" s="774">
        <v>0</v>
      </c>
      <c r="I67" s="774">
        <v>0</v>
      </c>
      <c r="J67" s="774">
        <v>0</v>
      </c>
      <c r="K67" s="774">
        <v>0</v>
      </c>
      <c r="L67" s="774">
        <v>0</v>
      </c>
      <c r="M67" s="774">
        <v>0</v>
      </c>
      <c r="O67" s="150">
        <f t="shared" si="3"/>
        <v>153.30000000000001</v>
      </c>
    </row>
    <row r="68" spans="1:15">
      <c r="A68" s="155" t="s">
        <v>471</v>
      </c>
      <c r="B68" s="774">
        <v>12176.71</v>
      </c>
      <c r="C68" s="774">
        <v>774.62</v>
      </c>
      <c r="D68" s="774">
        <v>11774.62</v>
      </c>
      <c r="E68" s="774">
        <v>11757.12</v>
      </c>
      <c r="F68" s="774">
        <v>11245.04</v>
      </c>
      <c r="G68" s="774">
        <v>11870.29</v>
      </c>
      <c r="H68" s="774">
        <v>11870.29</v>
      </c>
      <c r="I68" s="774">
        <v>13111.79</v>
      </c>
      <c r="J68" s="774">
        <v>10628.79</v>
      </c>
      <c r="K68" s="774">
        <v>11340.71</v>
      </c>
      <c r="L68" s="774">
        <v>11634.62</v>
      </c>
      <c r="M68" s="774">
        <v>11754.72</v>
      </c>
      <c r="O68" s="150">
        <f t="shared" si="3"/>
        <v>129939.32</v>
      </c>
    </row>
    <row r="69" spans="1:15">
      <c r="A69" s="155" t="s">
        <v>472</v>
      </c>
      <c r="B69" s="774">
        <v>88.44</v>
      </c>
      <c r="C69" s="774">
        <v>135.47999999999999</v>
      </c>
      <c r="D69" s="774">
        <v>-353.54</v>
      </c>
      <c r="E69" s="774">
        <v>135.47999999999999</v>
      </c>
      <c r="F69" s="774">
        <v>-41.29</v>
      </c>
      <c r="G69" s="774">
        <v>135.47999999999999</v>
      </c>
      <c r="H69" s="774">
        <v>135.47999999999999</v>
      </c>
      <c r="I69" s="774">
        <v>135.47999999999999</v>
      </c>
      <c r="J69" s="774">
        <v>135.47999999999999</v>
      </c>
      <c r="K69" s="774">
        <v>-41.29</v>
      </c>
      <c r="L69" s="774">
        <v>135.47999999999999</v>
      </c>
      <c r="M69" s="774">
        <v>135.47999999999999</v>
      </c>
      <c r="O69" s="150">
        <f t="shared" si="3"/>
        <v>736.15999999999985</v>
      </c>
    </row>
    <row r="70" spans="1:15">
      <c r="A70" s="155" t="s">
        <v>473</v>
      </c>
      <c r="B70" s="774">
        <v>0</v>
      </c>
      <c r="C70" s="774">
        <v>0</v>
      </c>
      <c r="D70" s="774">
        <v>0</v>
      </c>
      <c r="E70" s="774">
        <v>0</v>
      </c>
      <c r="F70" s="774">
        <v>0</v>
      </c>
      <c r="G70" s="774">
        <v>0</v>
      </c>
      <c r="H70" s="774">
        <v>0</v>
      </c>
      <c r="I70" s="774">
        <v>0</v>
      </c>
      <c r="J70" s="774">
        <v>0</v>
      </c>
      <c r="K70" s="774">
        <v>0</v>
      </c>
      <c r="L70" s="774">
        <v>0</v>
      </c>
      <c r="M70" s="774">
        <v>-24043</v>
      </c>
      <c r="O70" s="150">
        <f t="shared" si="3"/>
        <v>-24043</v>
      </c>
    </row>
    <row r="71" spans="1:15">
      <c r="A71" s="155" t="s">
        <v>474</v>
      </c>
      <c r="B71" s="774">
        <v>515.62</v>
      </c>
      <c r="C71" s="774">
        <v>515.62</v>
      </c>
      <c r="D71" s="774">
        <v>483.49</v>
      </c>
      <c r="E71" s="774">
        <v>483.49</v>
      </c>
      <c r="F71" s="774">
        <v>483.49</v>
      </c>
      <c r="G71" s="774">
        <v>387.82</v>
      </c>
      <c r="H71" s="774">
        <v>387.82</v>
      </c>
      <c r="I71" s="774">
        <v>387.82</v>
      </c>
      <c r="J71" s="774">
        <v>387.82</v>
      </c>
      <c r="K71" s="774">
        <v>387.82</v>
      </c>
      <c r="L71" s="774">
        <v>387.82</v>
      </c>
      <c r="M71" s="774">
        <v>387.82</v>
      </c>
      <c r="O71" s="150">
        <f t="shared" si="3"/>
        <v>5196.45</v>
      </c>
    </row>
    <row r="72" spans="1:15">
      <c r="A72" s="155" t="s">
        <v>476</v>
      </c>
      <c r="B72" s="774">
        <v>0</v>
      </c>
      <c r="C72" s="774">
        <v>0</v>
      </c>
      <c r="D72" s="774">
        <v>80</v>
      </c>
      <c r="E72" s="774">
        <v>0</v>
      </c>
      <c r="F72" s="774">
        <v>80</v>
      </c>
      <c r="G72" s="774">
        <v>0</v>
      </c>
      <c r="H72" s="774">
        <v>0</v>
      </c>
      <c r="I72" s="774">
        <v>0</v>
      </c>
      <c r="J72" s="774">
        <v>0</v>
      </c>
      <c r="K72" s="774">
        <v>240</v>
      </c>
      <c r="L72" s="774">
        <v>0</v>
      </c>
      <c r="M72" s="774">
        <v>0</v>
      </c>
      <c r="O72" s="150">
        <f t="shared" si="3"/>
        <v>400</v>
      </c>
    </row>
    <row r="73" spans="1:15">
      <c r="A73" s="155" t="s">
        <v>477</v>
      </c>
      <c r="B73" s="774">
        <v>0</v>
      </c>
      <c r="C73" s="774">
        <v>0</v>
      </c>
      <c r="D73" s="774">
        <v>0</v>
      </c>
      <c r="E73" s="774">
        <v>0</v>
      </c>
      <c r="F73" s="774">
        <v>0</v>
      </c>
      <c r="G73" s="774">
        <v>25.75</v>
      </c>
      <c r="H73" s="774">
        <v>27.23</v>
      </c>
      <c r="I73" s="774">
        <v>73.17</v>
      </c>
      <c r="J73" s="774">
        <v>51.97</v>
      </c>
      <c r="K73" s="774">
        <v>0</v>
      </c>
      <c r="L73" s="774">
        <v>0</v>
      </c>
      <c r="M73" s="774">
        <v>0</v>
      </c>
      <c r="O73" s="150">
        <f t="shared" si="3"/>
        <v>178.12</v>
      </c>
    </row>
    <row r="74" spans="1:15">
      <c r="A74" s="155" t="s">
        <v>475</v>
      </c>
      <c r="B74" s="774">
        <v>403.11</v>
      </c>
      <c r="C74" s="774">
        <v>1046.02</v>
      </c>
      <c r="D74" s="774">
        <v>138.75</v>
      </c>
      <c r="E74" s="774">
        <v>71.36</v>
      </c>
      <c r="F74" s="774">
        <v>290.18</v>
      </c>
      <c r="G74" s="774">
        <v>831</v>
      </c>
      <c r="H74" s="774">
        <v>333.98</v>
      </c>
      <c r="I74" s="774">
        <v>506.66</v>
      </c>
      <c r="J74" s="774">
        <v>133.43</v>
      </c>
      <c r="K74" s="774">
        <v>25.63</v>
      </c>
      <c r="L74" s="774">
        <v>459.73</v>
      </c>
      <c r="M74" s="774">
        <v>646.42999999999995</v>
      </c>
      <c r="O74" s="150">
        <f t="shared" si="3"/>
        <v>4886.2800000000007</v>
      </c>
    </row>
    <row r="75" spans="1:15">
      <c r="A75" s="155" t="s">
        <v>468</v>
      </c>
      <c r="B75" s="774">
        <v>16626.02</v>
      </c>
      <c r="C75" s="774">
        <v>2892</v>
      </c>
      <c r="D75" s="774">
        <v>3850</v>
      </c>
      <c r="E75" s="774">
        <v>3424</v>
      </c>
      <c r="F75" s="774">
        <v>3371</v>
      </c>
      <c r="G75" s="774">
        <v>3371</v>
      </c>
      <c r="H75" s="774">
        <v>3371</v>
      </c>
      <c r="I75" s="774">
        <v>3371</v>
      </c>
      <c r="J75" s="774">
        <v>0</v>
      </c>
      <c r="K75" s="774">
        <v>0</v>
      </c>
      <c r="L75" s="774">
        <v>0</v>
      </c>
      <c r="M75" s="774">
        <v>0</v>
      </c>
      <c r="O75" s="150">
        <f t="shared" si="3"/>
        <v>40276.020000000004</v>
      </c>
    </row>
    <row r="76" spans="1:15">
      <c r="A76" s="155" t="s">
        <v>479</v>
      </c>
      <c r="B76" s="774">
        <v>8564.51</v>
      </c>
      <c r="C76" s="774">
        <v>5295.9</v>
      </c>
      <c r="D76" s="774">
        <v>-4131.1099999999997</v>
      </c>
      <c r="E76" s="774">
        <v>4730.7</v>
      </c>
      <c r="F76" s="774">
        <v>10529.77</v>
      </c>
      <c r="G76" s="774">
        <v>5062.8</v>
      </c>
      <c r="H76" s="774">
        <v>3879</v>
      </c>
      <c r="I76" s="774">
        <v>3625.2</v>
      </c>
      <c r="J76" s="774">
        <v>1340.88</v>
      </c>
      <c r="K76" s="774">
        <v>3561</v>
      </c>
      <c r="L76" s="774">
        <v>4386.3</v>
      </c>
      <c r="M76" s="774">
        <v>4520.92</v>
      </c>
      <c r="O76" s="150">
        <f t="shared" si="3"/>
        <v>51365.869999999995</v>
      </c>
    </row>
    <row r="77" spans="1:15">
      <c r="A77" s="155" t="s">
        <v>478</v>
      </c>
      <c r="B77" s="774">
        <v>106279.98</v>
      </c>
      <c r="C77" s="774">
        <v>133152.29</v>
      </c>
      <c r="D77" s="774">
        <v>136481.34</v>
      </c>
      <c r="E77" s="774">
        <v>129752.98</v>
      </c>
      <c r="F77" s="774">
        <v>138930.75</v>
      </c>
      <c r="G77" s="774">
        <v>171524.2</v>
      </c>
      <c r="H77" s="774">
        <v>124109.04</v>
      </c>
      <c r="I77" s="774">
        <v>122893.22</v>
      </c>
      <c r="J77" s="774">
        <v>128184.21</v>
      </c>
      <c r="K77" s="774">
        <v>118263.97</v>
      </c>
      <c r="L77" s="774">
        <v>131143.44</v>
      </c>
      <c r="M77" s="774">
        <v>125406.09</v>
      </c>
      <c r="O77" s="150">
        <f t="shared" si="3"/>
        <v>1566121.51</v>
      </c>
    </row>
    <row r="78" spans="1:15">
      <c r="A78" s="155" t="s">
        <v>481</v>
      </c>
      <c r="B78" s="774">
        <v>0</v>
      </c>
      <c r="C78" s="774">
        <v>0</v>
      </c>
      <c r="D78" s="774">
        <v>22651.18</v>
      </c>
      <c r="E78" s="774">
        <v>22651.18</v>
      </c>
      <c r="F78" s="774">
        <v>0</v>
      </c>
      <c r="G78" s="774">
        <v>-22651.18</v>
      </c>
      <c r="H78" s="774">
        <v>0</v>
      </c>
      <c r="I78" s="774">
        <v>0</v>
      </c>
      <c r="J78" s="774">
        <v>0</v>
      </c>
      <c r="K78" s="774">
        <v>0</v>
      </c>
      <c r="L78" s="774">
        <v>0</v>
      </c>
      <c r="M78" s="774">
        <v>0</v>
      </c>
      <c r="O78" s="150">
        <f t="shared" si="3"/>
        <v>22651.18</v>
      </c>
    </row>
    <row r="79" spans="1:15">
      <c r="A79" s="155" t="s">
        <v>482</v>
      </c>
      <c r="B79" s="774">
        <v>0</v>
      </c>
      <c r="C79" s="774">
        <v>0</v>
      </c>
      <c r="D79" s="774">
        <v>12957.37</v>
      </c>
      <c r="E79" s="774">
        <v>12957.34</v>
      </c>
      <c r="F79" s="774">
        <v>0</v>
      </c>
      <c r="G79" s="774">
        <v>-12957.37</v>
      </c>
      <c r="H79" s="774">
        <v>0</v>
      </c>
      <c r="I79" s="774">
        <v>0</v>
      </c>
      <c r="J79" s="774">
        <v>0</v>
      </c>
      <c r="K79" s="774">
        <v>0</v>
      </c>
      <c r="L79" s="774">
        <v>0</v>
      </c>
      <c r="M79" s="774">
        <v>0</v>
      </c>
      <c r="O79" s="150">
        <f t="shared" si="3"/>
        <v>12957.339999999998</v>
      </c>
    </row>
    <row r="80" spans="1:15">
      <c r="A80" s="155" t="s">
        <v>483</v>
      </c>
      <c r="B80" s="774">
        <v>0</v>
      </c>
      <c r="C80" s="774">
        <v>0</v>
      </c>
      <c r="D80" s="774">
        <v>0</v>
      </c>
      <c r="E80" s="774">
        <v>0</v>
      </c>
      <c r="F80" s="774">
        <v>0</v>
      </c>
      <c r="G80" s="774">
        <v>52</v>
      </c>
      <c r="H80" s="774">
        <v>0</v>
      </c>
      <c r="I80" s="774">
        <v>0</v>
      </c>
      <c r="J80" s="774">
        <v>0</v>
      </c>
      <c r="K80" s="774">
        <v>0</v>
      </c>
      <c r="L80" s="774">
        <v>129.18</v>
      </c>
      <c r="M80" s="774">
        <v>0</v>
      </c>
      <c r="O80" s="150">
        <f t="shared" si="3"/>
        <v>181.18</v>
      </c>
    </row>
    <row r="81" spans="1:15">
      <c r="A81" s="155" t="s">
        <v>484</v>
      </c>
      <c r="B81" s="774">
        <v>0</v>
      </c>
      <c r="C81" s="774">
        <v>0</v>
      </c>
      <c r="D81" s="774">
        <v>0</v>
      </c>
      <c r="E81" s="774">
        <v>0</v>
      </c>
      <c r="F81" s="774">
        <v>0</v>
      </c>
      <c r="G81" s="774">
        <v>0</v>
      </c>
      <c r="H81" s="774">
        <v>0</v>
      </c>
      <c r="I81" s="774">
        <v>0</v>
      </c>
      <c r="J81" s="774">
        <v>0</v>
      </c>
      <c r="K81" s="774">
        <v>0</v>
      </c>
      <c r="L81" s="774">
        <v>0</v>
      </c>
      <c r="M81" s="774">
        <v>26</v>
      </c>
      <c r="O81" s="150">
        <f t="shared" si="3"/>
        <v>26</v>
      </c>
    </row>
    <row r="82" spans="1:15">
      <c r="A82" s="155" t="s">
        <v>485</v>
      </c>
      <c r="B82" s="774">
        <v>69.98</v>
      </c>
      <c r="C82" s="774">
        <v>71.14</v>
      </c>
      <c r="D82" s="774">
        <v>-95.11</v>
      </c>
      <c r="E82" s="774">
        <v>72.91</v>
      </c>
      <c r="F82" s="774">
        <v>104.15</v>
      </c>
      <c r="G82" s="774">
        <v>54.52</v>
      </c>
      <c r="H82" s="774">
        <v>69.75</v>
      </c>
      <c r="I82" s="774">
        <v>64.33</v>
      </c>
      <c r="J82" s="774">
        <v>59.24</v>
      </c>
      <c r="K82" s="774">
        <v>84.73</v>
      </c>
      <c r="L82" s="774">
        <v>45.84</v>
      </c>
      <c r="M82" s="774">
        <v>44.59</v>
      </c>
      <c r="O82" s="150">
        <f t="shared" si="3"/>
        <v>646.07000000000005</v>
      </c>
    </row>
    <row r="83" spans="1:15">
      <c r="A83" s="155" t="s">
        <v>486</v>
      </c>
      <c r="B83" s="774">
        <v>13983.4</v>
      </c>
      <c r="C83" s="774">
        <v>15064.62</v>
      </c>
      <c r="D83" s="774">
        <v>1435.09</v>
      </c>
      <c r="E83" s="774">
        <v>29919.57</v>
      </c>
      <c r="F83" s="774">
        <v>15017.28</v>
      </c>
      <c r="G83" s="774">
        <v>15212.93</v>
      </c>
      <c r="H83" s="774">
        <v>14487.63</v>
      </c>
      <c r="I83" s="774">
        <v>14854.68</v>
      </c>
      <c r="J83" s="774">
        <v>18248.7</v>
      </c>
      <c r="K83" s="774">
        <v>15302.86</v>
      </c>
      <c r="L83" s="774">
        <v>15623.08</v>
      </c>
      <c r="M83" s="774">
        <v>14468.35</v>
      </c>
      <c r="O83" s="150">
        <f t="shared" si="3"/>
        <v>183618.19</v>
      </c>
    </row>
    <row r="84" spans="1:15">
      <c r="A84" s="155" t="s">
        <v>487</v>
      </c>
      <c r="B84" s="774">
        <v>0</v>
      </c>
      <c r="C84" s="774">
        <v>0</v>
      </c>
      <c r="D84" s="774">
        <v>0</v>
      </c>
      <c r="E84" s="774">
        <v>109168</v>
      </c>
      <c r="F84" s="774">
        <v>0</v>
      </c>
      <c r="G84" s="774">
        <v>-109168</v>
      </c>
      <c r="H84" s="774">
        <v>0</v>
      </c>
      <c r="I84" s="774">
        <v>0</v>
      </c>
      <c r="J84" s="774">
        <v>0</v>
      </c>
      <c r="K84" s="774">
        <v>0</v>
      </c>
      <c r="L84" s="774">
        <v>0</v>
      </c>
      <c r="M84" s="774">
        <v>0</v>
      </c>
      <c r="O84" s="150">
        <f t="shared" si="3"/>
        <v>0</v>
      </c>
    </row>
    <row r="85" spans="1:15">
      <c r="A85" s="155" t="s">
        <v>488</v>
      </c>
      <c r="B85" s="774">
        <v>0</v>
      </c>
      <c r="C85" s="774">
        <v>34673.64</v>
      </c>
      <c r="D85" s="774">
        <v>79793.62</v>
      </c>
      <c r="E85" s="774">
        <v>39750.43</v>
      </c>
      <c r="F85" s="774">
        <v>39090.43</v>
      </c>
      <c r="G85" s="774">
        <v>-2811.44</v>
      </c>
      <c r="H85" s="774">
        <v>77748.69</v>
      </c>
      <c r="I85" s="774">
        <v>38484.53</v>
      </c>
      <c r="J85" s="774">
        <v>46113.87</v>
      </c>
      <c r="K85" s="774">
        <v>39319.21</v>
      </c>
      <c r="L85" s="774">
        <v>41293.47</v>
      </c>
      <c r="M85" s="774">
        <v>-909.6</v>
      </c>
      <c r="O85" s="150">
        <f t="shared" si="3"/>
        <v>432546.85000000009</v>
      </c>
    </row>
    <row r="86" spans="1:15">
      <c r="A86" s="155" t="s">
        <v>489</v>
      </c>
      <c r="B86" s="774">
        <v>0</v>
      </c>
      <c r="C86" s="774">
        <v>850</v>
      </c>
      <c r="D86" s="774">
        <v>0</v>
      </c>
      <c r="E86" s="774">
        <v>981</v>
      </c>
      <c r="F86" s="774">
        <v>686.75</v>
      </c>
      <c r="G86" s="774">
        <v>0</v>
      </c>
      <c r="H86" s="774">
        <v>618</v>
      </c>
      <c r="I86" s="774">
        <v>2890</v>
      </c>
      <c r="J86" s="774">
        <v>0</v>
      </c>
      <c r="K86" s="774">
        <v>0</v>
      </c>
      <c r="L86" s="774">
        <v>0</v>
      </c>
      <c r="M86" s="774">
        <v>1412</v>
      </c>
      <c r="O86" s="150">
        <f t="shared" si="3"/>
        <v>7437.75</v>
      </c>
    </row>
    <row r="87" spans="1:15">
      <c r="A87" s="155" t="s">
        <v>480</v>
      </c>
      <c r="B87" s="774">
        <v>47.75</v>
      </c>
      <c r="C87" s="774">
        <v>3528</v>
      </c>
      <c r="D87" s="774">
        <v>0</v>
      </c>
      <c r="E87" s="774">
        <v>0</v>
      </c>
      <c r="F87" s="774">
        <v>0</v>
      </c>
      <c r="G87" s="774">
        <v>0</v>
      </c>
      <c r="H87" s="774">
        <v>55.75</v>
      </c>
      <c r="I87" s="774">
        <v>0</v>
      </c>
      <c r="J87" s="774">
        <v>1507</v>
      </c>
      <c r="K87" s="774">
        <v>0</v>
      </c>
      <c r="L87" s="774">
        <v>0</v>
      </c>
      <c r="M87" s="774">
        <v>0</v>
      </c>
      <c r="O87" s="150">
        <f t="shared" si="3"/>
        <v>5138.5</v>
      </c>
    </row>
    <row r="88" spans="1:15">
      <c r="A88" s="155" t="s">
        <v>490</v>
      </c>
      <c r="B88" s="774">
        <v>165.71</v>
      </c>
      <c r="C88" s="774">
        <v>0</v>
      </c>
      <c r="D88" s="774">
        <v>0</v>
      </c>
      <c r="E88" s="774">
        <v>0</v>
      </c>
      <c r="F88" s="774">
        <v>0</v>
      </c>
      <c r="G88" s="774">
        <v>16.07</v>
      </c>
      <c r="H88" s="774">
        <v>0</v>
      </c>
      <c r="I88" s="774">
        <v>6.23</v>
      </c>
      <c r="J88" s="774">
        <v>0</v>
      </c>
      <c r="K88" s="774">
        <v>0</v>
      </c>
      <c r="L88" s="774">
        <v>14.55</v>
      </c>
      <c r="M88" s="774">
        <v>0</v>
      </c>
      <c r="O88" s="150">
        <f t="shared" si="3"/>
        <v>202.56</v>
      </c>
    </row>
    <row r="89" spans="1:15">
      <c r="A89" s="155" t="s">
        <v>491</v>
      </c>
      <c r="B89" s="774">
        <v>0</v>
      </c>
      <c r="C89" s="774">
        <v>0</v>
      </c>
      <c r="D89" s="774">
        <v>0</v>
      </c>
      <c r="E89" s="774">
        <v>0</v>
      </c>
      <c r="F89" s="774">
        <v>32</v>
      </c>
      <c r="G89" s="774">
        <v>0</v>
      </c>
      <c r="H89" s="774">
        <v>0</v>
      </c>
      <c r="I89" s="774">
        <v>0</v>
      </c>
      <c r="J89" s="774">
        <v>0</v>
      </c>
      <c r="K89" s="774">
        <v>533.34</v>
      </c>
      <c r="L89" s="774">
        <v>0</v>
      </c>
      <c r="M89" s="774">
        <v>285</v>
      </c>
      <c r="O89" s="150">
        <f t="shared" si="3"/>
        <v>850.34</v>
      </c>
    </row>
    <row r="90" spans="1:15">
      <c r="A90" s="155" t="s">
        <v>492</v>
      </c>
      <c r="B90" s="774">
        <v>80</v>
      </c>
      <c r="C90" s="774">
        <v>0</v>
      </c>
      <c r="D90" s="774">
        <v>-80</v>
      </c>
      <c r="E90" s="774">
        <v>0</v>
      </c>
      <c r="F90" s="774">
        <v>16</v>
      </c>
      <c r="G90" s="774">
        <v>0</v>
      </c>
      <c r="H90" s="774">
        <v>0</v>
      </c>
      <c r="I90" s="774">
        <v>0</v>
      </c>
      <c r="J90" s="774">
        <v>0</v>
      </c>
      <c r="K90" s="774">
        <v>0</v>
      </c>
      <c r="L90" s="774">
        <v>0</v>
      </c>
      <c r="M90" s="774">
        <v>0</v>
      </c>
      <c r="O90" s="150">
        <f t="shared" si="3"/>
        <v>16</v>
      </c>
    </row>
    <row r="91" spans="1:15">
      <c r="A91" s="155" t="s">
        <v>494</v>
      </c>
      <c r="B91" s="774">
        <v>10.77</v>
      </c>
      <c r="C91" s="774">
        <v>4264.4399999999996</v>
      </c>
      <c r="D91" s="774">
        <v>642.49</v>
      </c>
      <c r="E91" s="774">
        <v>4636.3900000000003</v>
      </c>
      <c r="F91" s="774">
        <v>3542.3</v>
      </c>
      <c r="G91" s="774">
        <v>659.73</v>
      </c>
      <c r="H91" s="774">
        <v>1932.11</v>
      </c>
      <c r="I91" s="774">
        <v>5033.6400000000003</v>
      </c>
      <c r="J91" s="774">
        <v>1931.75</v>
      </c>
      <c r="K91" s="774">
        <v>1142.67</v>
      </c>
      <c r="L91" s="774">
        <v>4535.54</v>
      </c>
      <c r="M91" s="774">
        <v>1140.97</v>
      </c>
      <c r="O91" s="150">
        <f t="shared" si="3"/>
        <v>29472.800000000003</v>
      </c>
    </row>
    <row r="92" spans="1:15">
      <c r="A92" s="155" t="s">
        <v>495</v>
      </c>
      <c r="B92" s="774">
        <v>0</v>
      </c>
      <c r="C92" s="774">
        <v>0</v>
      </c>
      <c r="D92" s="774">
        <v>22.63</v>
      </c>
      <c r="E92" s="774">
        <v>0</v>
      </c>
      <c r="F92" s="774">
        <v>0</v>
      </c>
      <c r="G92" s="774">
        <v>0</v>
      </c>
      <c r="H92" s="774">
        <v>0</v>
      </c>
      <c r="I92" s="774">
        <v>0</v>
      </c>
      <c r="J92" s="774">
        <v>157.07</v>
      </c>
      <c r="K92" s="774">
        <v>0</v>
      </c>
      <c r="L92" s="774">
        <v>0</v>
      </c>
      <c r="M92" s="774">
        <v>274</v>
      </c>
      <c r="O92" s="150">
        <f t="shared" si="3"/>
        <v>453.7</v>
      </c>
    </row>
    <row r="93" spans="1:15">
      <c r="A93" s="155" t="s">
        <v>496</v>
      </c>
      <c r="B93" s="774">
        <v>457.31</v>
      </c>
      <c r="C93" s="774">
        <v>114.24</v>
      </c>
      <c r="D93" s="774">
        <v>36.01</v>
      </c>
      <c r="E93" s="774">
        <v>844.94</v>
      </c>
      <c r="F93" s="774">
        <v>108.83</v>
      </c>
      <c r="G93" s="774">
        <v>89.5</v>
      </c>
      <c r="H93" s="774">
        <v>117.21</v>
      </c>
      <c r="I93" s="774">
        <v>99.43</v>
      </c>
      <c r="J93" s="774">
        <v>1848.81</v>
      </c>
      <c r="K93" s="774">
        <v>243.72</v>
      </c>
      <c r="L93" s="774">
        <v>1662.13</v>
      </c>
      <c r="M93" s="774">
        <v>742.89</v>
      </c>
      <c r="O93" s="150">
        <f t="shared" si="3"/>
        <v>6365.0199999999995</v>
      </c>
    </row>
    <row r="94" spans="1:15">
      <c r="A94" s="155" t="s">
        <v>497</v>
      </c>
      <c r="B94" s="774">
        <v>2022.62</v>
      </c>
      <c r="C94" s="774">
        <v>1005</v>
      </c>
      <c r="D94" s="774">
        <v>2315.5700000000002</v>
      </c>
      <c r="E94" s="774">
        <v>2015</v>
      </c>
      <c r="F94" s="774">
        <v>2015</v>
      </c>
      <c r="G94" s="774">
        <v>2064.9899999999998</v>
      </c>
      <c r="H94" s="774">
        <v>2015</v>
      </c>
      <c r="I94" s="774">
        <v>2015</v>
      </c>
      <c r="J94" s="774">
        <v>3454.37</v>
      </c>
      <c r="K94" s="774">
        <v>2100</v>
      </c>
      <c r="L94" s="774">
        <v>2000</v>
      </c>
      <c r="M94" s="774">
        <v>2507.81</v>
      </c>
      <c r="O94" s="150">
        <f t="shared" si="3"/>
        <v>25530.36</v>
      </c>
    </row>
    <row r="95" spans="1:15">
      <c r="A95" s="155" t="s">
        <v>493</v>
      </c>
      <c r="B95" s="774">
        <v>0</v>
      </c>
      <c r="C95" s="774">
        <v>225</v>
      </c>
      <c r="D95" s="774">
        <v>-555.57000000000005</v>
      </c>
      <c r="E95" s="774">
        <v>0</v>
      </c>
      <c r="F95" s="774">
        <v>0</v>
      </c>
      <c r="G95" s="774">
        <v>-143.66999999999999</v>
      </c>
      <c r="H95" s="774">
        <v>0</v>
      </c>
      <c r="I95" s="774">
        <v>0</v>
      </c>
      <c r="J95" s="774">
        <v>0</v>
      </c>
      <c r="K95" s="774">
        <v>0</v>
      </c>
      <c r="L95" s="774">
        <v>0</v>
      </c>
      <c r="M95" s="774">
        <v>0</v>
      </c>
      <c r="O95" s="150">
        <f t="shared" si="3"/>
        <v>-474.24</v>
      </c>
    </row>
    <row r="96" spans="1:15">
      <c r="A96" s="155" t="s">
        <v>498</v>
      </c>
      <c r="B96" s="774">
        <v>2372.5100000000002</v>
      </c>
      <c r="C96" s="774">
        <v>0</v>
      </c>
      <c r="D96" s="774">
        <v>3497.29</v>
      </c>
      <c r="E96" s="774">
        <v>0</v>
      </c>
      <c r="F96" s="774">
        <v>2667.83</v>
      </c>
      <c r="G96" s="774">
        <v>0</v>
      </c>
      <c r="H96" s="774">
        <v>0</v>
      </c>
      <c r="I96" s="774">
        <v>6844.8</v>
      </c>
      <c r="J96" s="774">
        <v>0</v>
      </c>
      <c r="K96" s="774">
        <v>0</v>
      </c>
      <c r="L96" s="774">
        <v>3120.05</v>
      </c>
      <c r="M96" s="774">
        <v>0</v>
      </c>
      <c r="O96" s="150">
        <f t="shared" si="3"/>
        <v>18502.48</v>
      </c>
    </row>
    <row r="97" spans="1:15">
      <c r="A97" s="155" t="s">
        <v>533</v>
      </c>
      <c r="B97" s="774">
        <v>584.53</v>
      </c>
      <c r="C97" s="774">
        <v>324.14999999999998</v>
      </c>
      <c r="D97" s="774">
        <v>405.37</v>
      </c>
      <c r="E97" s="774">
        <v>454.62</v>
      </c>
      <c r="F97" s="774">
        <v>285.27</v>
      </c>
      <c r="G97" s="774">
        <v>276.26</v>
      </c>
      <c r="H97" s="774">
        <v>298.67</v>
      </c>
      <c r="I97" s="774">
        <v>291.62</v>
      </c>
      <c r="J97" s="774">
        <v>586.29999999999995</v>
      </c>
      <c r="K97" s="774">
        <v>391.62</v>
      </c>
      <c r="L97" s="774">
        <v>280.39</v>
      </c>
      <c r="M97" s="774">
        <v>284.3</v>
      </c>
      <c r="O97" s="150">
        <f t="shared" si="3"/>
        <v>4463.1000000000004</v>
      </c>
    </row>
    <row r="98" spans="1:15">
      <c r="A98" s="155" t="s">
        <v>499</v>
      </c>
      <c r="B98" s="774">
        <v>7656</v>
      </c>
      <c r="C98" s="774">
        <v>2064.83</v>
      </c>
      <c r="D98" s="774">
        <v>11054.32</v>
      </c>
      <c r="E98" s="774">
        <v>9437.7800000000007</v>
      </c>
      <c r="F98" s="774">
        <v>3498.52</v>
      </c>
      <c r="G98" s="774">
        <v>8697.26</v>
      </c>
      <c r="H98" s="774">
        <v>3706.11</v>
      </c>
      <c r="I98" s="774">
        <v>8518.85</v>
      </c>
      <c r="J98" s="774">
        <v>4380.6899999999996</v>
      </c>
      <c r="K98" s="774">
        <v>13120.9</v>
      </c>
      <c r="L98" s="774">
        <v>8452.2199999999993</v>
      </c>
      <c r="M98" s="774">
        <v>46047.46</v>
      </c>
      <c r="O98" s="150">
        <f t="shared" si="3"/>
        <v>126634.94</v>
      </c>
    </row>
    <row r="99" spans="1:15">
      <c r="A99" s="155" t="s">
        <v>172</v>
      </c>
      <c r="B99" s="774">
        <v>0</v>
      </c>
      <c r="C99" s="774">
        <v>0</v>
      </c>
      <c r="D99" s="774">
        <v>0</v>
      </c>
      <c r="E99" s="774">
        <v>0</v>
      </c>
      <c r="F99" s="774">
        <v>0</v>
      </c>
      <c r="G99" s="774">
        <v>176</v>
      </c>
      <c r="H99" s="774">
        <v>0</v>
      </c>
      <c r="I99" s="774">
        <v>0</v>
      </c>
      <c r="J99" s="774">
        <v>0</v>
      </c>
      <c r="K99" s="774">
        <v>0</v>
      </c>
      <c r="L99" s="774">
        <v>0</v>
      </c>
      <c r="M99" s="774">
        <v>548</v>
      </c>
      <c r="O99" s="150">
        <f t="shared" si="3"/>
        <v>724</v>
      </c>
    </row>
    <row r="100" spans="1:15">
      <c r="A100" s="155" t="s">
        <v>500</v>
      </c>
      <c r="B100" s="774">
        <v>1997.66</v>
      </c>
      <c r="C100" s="774">
        <v>1904</v>
      </c>
      <c r="D100" s="774">
        <v>1896.07</v>
      </c>
      <c r="E100" s="774">
        <v>1857.01</v>
      </c>
      <c r="F100" s="774">
        <v>2800.11</v>
      </c>
      <c r="G100" s="774">
        <v>1866.27</v>
      </c>
      <c r="H100" s="774">
        <v>1881.38</v>
      </c>
      <c r="I100" s="774">
        <v>1865.77</v>
      </c>
      <c r="J100" s="774">
        <v>1933.66</v>
      </c>
      <c r="K100" s="774">
        <v>3221.67</v>
      </c>
      <c r="L100" s="774">
        <v>2137.17</v>
      </c>
      <c r="M100" s="774">
        <v>82200.73</v>
      </c>
      <c r="O100" s="150">
        <f t="shared" si="3"/>
        <v>105561.5</v>
      </c>
    </row>
    <row r="101" spans="1:15">
      <c r="A101" s="155" t="s">
        <v>501</v>
      </c>
      <c r="B101" s="774">
        <v>0</v>
      </c>
      <c r="C101" s="774">
        <v>185.07</v>
      </c>
      <c r="D101" s="774">
        <v>198.52</v>
      </c>
      <c r="E101" s="774">
        <v>0</v>
      </c>
      <c r="F101" s="774">
        <v>99.26</v>
      </c>
      <c r="G101" s="774">
        <v>99.26</v>
      </c>
      <c r="H101" s="774">
        <v>99.26</v>
      </c>
      <c r="I101" s="774">
        <v>99.26</v>
      </c>
      <c r="J101" s="774">
        <v>1347.58</v>
      </c>
      <c r="K101" s="774">
        <v>140.66</v>
      </c>
      <c r="L101" s="774">
        <v>281.52999999999997</v>
      </c>
      <c r="M101" s="774">
        <v>498.04</v>
      </c>
      <c r="O101" s="150">
        <f t="shared" si="3"/>
        <v>3048.4399999999996</v>
      </c>
    </row>
    <row r="102" spans="1:15">
      <c r="A102" s="155" t="s">
        <v>502</v>
      </c>
      <c r="B102" s="774">
        <v>0</v>
      </c>
      <c r="C102" s="774">
        <v>8725</v>
      </c>
      <c r="D102" s="774">
        <v>0</v>
      </c>
      <c r="E102" s="774">
        <v>0</v>
      </c>
      <c r="F102" s="774">
        <v>3450</v>
      </c>
      <c r="G102" s="774">
        <v>0</v>
      </c>
      <c r="H102" s="774">
        <v>0</v>
      </c>
      <c r="I102" s="774">
        <v>4460.3999999999996</v>
      </c>
      <c r="J102" s="774">
        <v>0</v>
      </c>
      <c r="K102" s="774">
        <v>216</v>
      </c>
      <c r="L102" s="774">
        <v>6149.9</v>
      </c>
      <c r="M102" s="774">
        <v>0</v>
      </c>
      <c r="O102" s="150">
        <f t="shared" si="3"/>
        <v>23001.300000000003</v>
      </c>
    </row>
    <row r="103" spans="1:15">
      <c r="A103" s="155" t="s">
        <v>503</v>
      </c>
      <c r="B103" s="774">
        <v>0</v>
      </c>
      <c r="C103" s="774">
        <v>0</v>
      </c>
      <c r="D103" s="774">
        <v>0</v>
      </c>
      <c r="E103" s="774">
        <v>0</v>
      </c>
      <c r="F103" s="774">
        <v>0</v>
      </c>
      <c r="G103" s="774">
        <v>0</v>
      </c>
      <c r="H103" s="774">
        <v>0</v>
      </c>
      <c r="I103" s="774">
        <v>0</v>
      </c>
      <c r="J103" s="774">
        <v>0</v>
      </c>
      <c r="K103" s="774">
        <v>-67</v>
      </c>
      <c r="L103" s="774">
        <v>0</v>
      </c>
      <c r="M103" s="774">
        <v>0</v>
      </c>
      <c r="O103" s="150">
        <f t="shared" si="3"/>
        <v>-67</v>
      </c>
    </row>
    <row r="104" spans="1:15">
      <c r="A104" s="155" t="s">
        <v>504</v>
      </c>
      <c r="B104" s="774">
        <v>0</v>
      </c>
      <c r="C104" s="774">
        <v>3111.73</v>
      </c>
      <c r="D104" s="774">
        <v>0</v>
      </c>
      <c r="E104" s="774">
        <v>0</v>
      </c>
      <c r="F104" s="774">
        <v>0</v>
      </c>
      <c r="G104" s="774">
        <v>0</v>
      </c>
      <c r="H104" s="774">
        <v>22261.360000000001</v>
      </c>
      <c r="I104" s="774">
        <v>8193.43</v>
      </c>
      <c r="J104" s="774">
        <v>5340.35</v>
      </c>
      <c r="K104" s="774">
        <v>6187.33</v>
      </c>
      <c r="L104" s="774">
        <v>4379.7</v>
      </c>
      <c r="M104" s="774">
        <v>9731.24</v>
      </c>
      <c r="O104" s="150">
        <f t="shared" si="3"/>
        <v>59205.14</v>
      </c>
    </row>
    <row r="105" spans="1:15">
      <c r="A105" s="155" t="s">
        <v>505</v>
      </c>
      <c r="B105" s="774">
        <v>418.38</v>
      </c>
      <c r="C105" s="774">
        <v>225.26</v>
      </c>
      <c r="D105" s="774">
        <v>113.72</v>
      </c>
      <c r="E105" s="774">
        <v>0</v>
      </c>
      <c r="F105" s="774">
        <v>257.70999999999998</v>
      </c>
      <c r="G105" s="774">
        <v>25245.82</v>
      </c>
      <c r="H105" s="774">
        <v>6902.15</v>
      </c>
      <c r="I105" s="774">
        <v>366.52</v>
      </c>
      <c r="J105" s="774">
        <v>1941.91</v>
      </c>
      <c r="K105" s="774">
        <v>11007.92</v>
      </c>
      <c r="L105" s="774">
        <v>-5257.82</v>
      </c>
      <c r="M105" s="774">
        <v>613.33000000000004</v>
      </c>
      <c r="O105" s="150">
        <f t="shared" si="3"/>
        <v>41834.9</v>
      </c>
    </row>
    <row r="106" spans="1:15">
      <c r="A106" s="155" t="s">
        <v>506</v>
      </c>
      <c r="B106" s="774">
        <v>434.91</v>
      </c>
      <c r="C106" s="774">
        <v>0</v>
      </c>
      <c r="D106" s="774">
        <v>0</v>
      </c>
      <c r="E106" s="774">
        <v>498.56</v>
      </c>
      <c r="F106" s="774">
        <v>0</v>
      </c>
      <c r="G106" s="774">
        <v>0</v>
      </c>
      <c r="H106" s="774">
        <v>0</v>
      </c>
      <c r="I106" s="774">
        <v>0</v>
      </c>
      <c r="J106" s="774">
        <v>526.98</v>
      </c>
      <c r="K106" s="774">
        <v>0</v>
      </c>
      <c r="L106" s="774">
        <v>0</v>
      </c>
      <c r="M106" s="774">
        <v>0</v>
      </c>
      <c r="O106" s="150">
        <f t="shared" si="3"/>
        <v>1460.45</v>
      </c>
    </row>
    <row r="107" spans="1:15">
      <c r="A107" s="155" t="s">
        <v>507</v>
      </c>
      <c r="B107" s="774">
        <v>0</v>
      </c>
      <c r="C107" s="774">
        <v>0</v>
      </c>
      <c r="D107" s="774">
        <v>0</v>
      </c>
      <c r="E107" s="774">
        <v>0</v>
      </c>
      <c r="F107" s="774">
        <v>0</v>
      </c>
      <c r="G107" s="774">
        <v>0</v>
      </c>
      <c r="H107" s="774">
        <v>0</v>
      </c>
      <c r="I107" s="774">
        <v>474</v>
      </c>
      <c r="J107" s="774">
        <v>0</v>
      </c>
      <c r="K107" s="774">
        <v>0</v>
      </c>
      <c r="L107" s="774">
        <v>300.8</v>
      </c>
      <c r="M107" s="774">
        <v>0</v>
      </c>
      <c r="O107" s="150">
        <f t="shared" si="3"/>
        <v>774.8</v>
      </c>
    </row>
    <row r="108" spans="1:15">
      <c r="A108" s="155" t="s">
        <v>508</v>
      </c>
      <c r="B108" s="774">
        <v>0</v>
      </c>
      <c r="C108" s="774">
        <v>0</v>
      </c>
      <c r="D108" s="774">
        <v>0</v>
      </c>
      <c r="E108" s="774">
        <v>0</v>
      </c>
      <c r="F108" s="774">
        <v>0</v>
      </c>
      <c r="G108" s="774">
        <v>210.22</v>
      </c>
      <c r="H108" s="774">
        <v>0</v>
      </c>
      <c r="I108" s="774">
        <v>6400</v>
      </c>
      <c r="J108" s="774">
        <v>0</v>
      </c>
      <c r="K108" s="774">
        <v>0</v>
      </c>
      <c r="L108" s="774">
        <v>0</v>
      </c>
      <c r="M108" s="774">
        <v>0</v>
      </c>
      <c r="O108" s="150">
        <f t="shared" si="3"/>
        <v>6610.22</v>
      </c>
    </row>
    <row r="109" spans="1:15">
      <c r="A109" s="155" t="s">
        <v>509</v>
      </c>
      <c r="B109" s="774">
        <v>10700</v>
      </c>
      <c r="C109" s="774">
        <v>10700</v>
      </c>
      <c r="D109" s="774">
        <v>10700</v>
      </c>
      <c r="E109" s="774">
        <v>10700</v>
      </c>
      <c r="F109" s="774">
        <v>10700</v>
      </c>
      <c r="G109" s="774">
        <v>10700</v>
      </c>
      <c r="H109" s="774">
        <v>10700</v>
      </c>
      <c r="I109" s="774">
        <v>10700</v>
      </c>
      <c r="J109" s="774">
        <v>10700</v>
      </c>
      <c r="K109" s="774">
        <v>10700</v>
      </c>
      <c r="L109" s="774">
        <v>10700</v>
      </c>
      <c r="M109" s="774">
        <v>10700</v>
      </c>
      <c r="O109" s="150">
        <f t="shared" si="3"/>
        <v>128400</v>
      </c>
    </row>
    <row r="110" spans="1:15">
      <c r="A110" s="155" t="s">
        <v>510</v>
      </c>
      <c r="B110" s="774">
        <v>1004.76</v>
      </c>
      <c r="C110" s="774">
        <v>16894.21</v>
      </c>
      <c r="D110" s="774">
        <v>1086.1500000000001</v>
      </c>
      <c r="E110" s="774">
        <v>2023.01</v>
      </c>
      <c r="F110" s="774">
        <v>1125.3699999999999</v>
      </c>
      <c r="G110" s="774">
        <v>6788.47</v>
      </c>
      <c r="H110" s="774">
        <v>726.71</v>
      </c>
      <c r="I110" s="774">
        <v>1294.69</v>
      </c>
      <c r="J110" s="774">
        <v>35920.400000000001</v>
      </c>
      <c r="K110" s="774">
        <v>1010.06</v>
      </c>
      <c r="L110" s="774">
        <v>612.92999999999995</v>
      </c>
      <c r="M110" s="774">
        <v>1477.18</v>
      </c>
      <c r="O110" s="150">
        <f t="shared" si="3"/>
        <v>69963.939999999973</v>
      </c>
    </row>
    <row r="111" spans="1:15">
      <c r="A111" s="155" t="s">
        <v>511</v>
      </c>
      <c r="B111" s="774">
        <v>1849.3</v>
      </c>
      <c r="C111" s="774">
        <v>4707.1400000000003</v>
      </c>
      <c r="D111" s="774">
        <v>3264.31</v>
      </c>
      <c r="E111" s="774">
        <v>2209.0300000000002</v>
      </c>
      <c r="F111" s="774">
        <v>2468.9499999999998</v>
      </c>
      <c r="G111" s="774">
        <v>1332.19</v>
      </c>
      <c r="H111" s="774">
        <v>2358.8000000000002</v>
      </c>
      <c r="I111" s="774">
        <v>1277.4000000000001</v>
      </c>
      <c r="J111" s="774">
        <v>3379.98</v>
      </c>
      <c r="K111" s="774">
        <v>1272.01</v>
      </c>
      <c r="L111" s="774">
        <v>1539.21</v>
      </c>
      <c r="M111" s="774">
        <v>2356</v>
      </c>
      <c r="O111" s="150">
        <f t="shared" si="3"/>
        <v>28014.32</v>
      </c>
    </row>
    <row r="112" spans="1:15">
      <c r="A112" s="155" t="s">
        <v>512</v>
      </c>
      <c r="B112" s="774">
        <v>39</v>
      </c>
      <c r="C112" s="774">
        <v>169</v>
      </c>
      <c r="D112" s="774">
        <v>208</v>
      </c>
      <c r="E112" s="774">
        <v>26</v>
      </c>
      <c r="F112" s="774">
        <v>288</v>
      </c>
      <c r="G112" s="774">
        <v>0</v>
      </c>
      <c r="H112" s="774">
        <v>0</v>
      </c>
      <c r="I112" s="774">
        <v>0</v>
      </c>
      <c r="J112" s="774">
        <v>356.9</v>
      </c>
      <c r="K112" s="774">
        <v>91</v>
      </c>
      <c r="L112" s="774">
        <v>136.5</v>
      </c>
      <c r="M112" s="774">
        <v>0</v>
      </c>
      <c r="O112" s="150">
        <f t="shared" si="3"/>
        <v>1314.4</v>
      </c>
    </row>
    <row r="113" spans="1:15">
      <c r="A113" s="155" t="s">
        <v>513</v>
      </c>
      <c r="B113" s="774">
        <v>87</v>
      </c>
      <c r="C113" s="774">
        <v>87</v>
      </c>
      <c r="D113" s="774">
        <v>87</v>
      </c>
      <c r="E113" s="774">
        <v>87</v>
      </c>
      <c r="F113" s="774">
        <v>87</v>
      </c>
      <c r="G113" s="774">
        <v>87</v>
      </c>
      <c r="H113" s="774">
        <v>87</v>
      </c>
      <c r="I113" s="774">
        <v>87</v>
      </c>
      <c r="J113" s="774">
        <v>87</v>
      </c>
      <c r="K113" s="774">
        <v>87</v>
      </c>
      <c r="L113" s="774">
        <v>87</v>
      </c>
      <c r="M113" s="774">
        <v>87</v>
      </c>
      <c r="O113" s="150">
        <f t="shared" si="3"/>
        <v>1044</v>
      </c>
    </row>
    <row r="114" spans="1:15">
      <c r="A114" s="155" t="s">
        <v>514</v>
      </c>
      <c r="B114" s="774">
        <v>409.64</v>
      </c>
      <c r="C114" s="774">
        <v>0</v>
      </c>
      <c r="D114" s="774">
        <v>1203.8800000000001</v>
      </c>
      <c r="E114" s="774">
        <v>2805.64</v>
      </c>
      <c r="F114" s="774">
        <v>424.64</v>
      </c>
      <c r="G114" s="774">
        <v>634.64</v>
      </c>
      <c r="H114" s="774">
        <v>512.04999999999995</v>
      </c>
      <c r="I114" s="774">
        <v>409.64</v>
      </c>
      <c r="J114" s="774">
        <v>0</v>
      </c>
      <c r="K114" s="774">
        <v>716.87</v>
      </c>
      <c r="L114" s="774">
        <v>0</v>
      </c>
      <c r="M114" s="774">
        <v>731.87</v>
      </c>
      <c r="O114" s="150">
        <f t="shared" si="3"/>
        <v>7848.8700000000008</v>
      </c>
    </row>
    <row r="115" spans="1:15">
      <c r="A115" s="155" t="s">
        <v>515</v>
      </c>
      <c r="B115" s="774">
        <v>0</v>
      </c>
      <c r="C115" s="774">
        <v>369.2</v>
      </c>
      <c r="D115" s="774">
        <v>0</v>
      </c>
      <c r="E115" s="774">
        <v>0</v>
      </c>
      <c r="F115" s="774">
        <v>0</v>
      </c>
      <c r="G115" s="774">
        <v>0</v>
      </c>
      <c r="H115" s="774">
        <v>0</v>
      </c>
      <c r="I115" s="774">
        <v>0</v>
      </c>
      <c r="J115" s="774">
        <v>0</v>
      </c>
      <c r="K115" s="774">
        <v>0</v>
      </c>
      <c r="L115" s="774">
        <v>0</v>
      </c>
      <c r="M115" s="774">
        <v>395.2</v>
      </c>
      <c r="O115" s="150">
        <f t="shared" si="3"/>
        <v>764.4</v>
      </c>
    </row>
    <row r="116" spans="1:15">
      <c r="A116" s="155" t="s">
        <v>16</v>
      </c>
      <c r="B116" s="774">
        <v>5210.62</v>
      </c>
      <c r="C116" s="774">
        <v>1901.42</v>
      </c>
      <c r="D116" s="774">
        <v>355.4</v>
      </c>
      <c r="E116" s="774">
        <v>3607.06</v>
      </c>
      <c r="F116" s="774">
        <v>7273.69</v>
      </c>
      <c r="G116" s="774">
        <v>1402.87</v>
      </c>
      <c r="H116" s="774">
        <v>5491.53</v>
      </c>
      <c r="I116" s="774">
        <v>0</v>
      </c>
      <c r="J116" s="774">
        <v>9101.7999999999993</v>
      </c>
      <c r="K116" s="774">
        <v>0</v>
      </c>
      <c r="L116" s="774">
        <v>5497.48</v>
      </c>
      <c r="M116" s="774">
        <v>3685.94</v>
      </c>
      <c r="O116" s="150">
        <f t="shared" si="3"/>
        <v>43527.81</v>
      </c>
    </row>
    <row r="117" spans="1:15">
      <c r="A117" s="155" t="s">
        <v>516</v>
      </c>
      <c r="B117" s="774">
        <v>0</v>
      </c>
      <c r="C117" s="774">
        <v>2299.27</v>
      </c>
      <c r="D117" s="774">
        <v>0</v>
      </c>
      <c r="E117" s="774">
        <v>0</v>
      </c>
      <c r="F117" s="774">
        <v>727.32</v>
      </c>
      <c r="G117" s="774">
        <v>0</v>
      </c>
      <c r="H117" s="774">
        <v>653.33000000000004</v>
      </c>
      <c r="I117" s="774">
        <v>2105.1799999999998</v>
      </c>
      <c r="J117" s="774">
        <v>279.22000000000003</v>
      </c>
      <c r="K117" s="774">
        <v>131.46</v>
      </c>
      <c r="L117" s="774">
        <v>463</v>
      </c>
      <c r="M117" s="774">
        <v>463</v>
      </c>
      <c r="O117" s="150">
        <f t="shared" si="3"/>
        <v>7121.7800000000007</v>
      </c>
    </row>
    <row r="118" spans="1:15">
      <c r="A118" s="155" t="s">
        <v>517</v>
      </c>
      <c r="B118" s="774">
        <v>0</v>
      </c>
      <c r="C118" s="774">
        <v>125</v>
      </c>
      <c r="D118" s="774">
        <v>0</v>
      </c>
      <c r="E118" s="774">
        <v>0</v>
      </c>
      <c r="F118" s="774">
        <v>0</v>
      </c>
      <c r="G118" s="774">
        <v>0</v>
      </c>
      <c r="H118" s="774">
        <v>0</v>
      </c>
      <c r="I118" s="774">
        <v>0</v>
      </c>
      <c r="J118" s="774">
        <v>0</v>
      </c>
      <c r="K118" s="774">
        <v>0</v>
      </c>
      <c r="L118" s="774">
        <v>0</v>
      </c>
      <c r="M118" s="774">
        <v>0</v>
      </c>
      <c r="O118" s="150">
        <f t="shared" ref="O118:O133" si="4">SUM(B118:M118)</f>
        <v>125</v>
      </c>
    </row>
    <row r="119" spans="1:15">
      <c r="A119" s="155" t="s">
        <v>518</v>
      </c>
      <c r="B119" s="774">
        <v>0</v>
      </c>
      <c r="C119" s="774">
        <v>0</v>
      </c>
      <c r="D119" s="774">
        <v>247.59</v>
      </c>
      <c r="E119" s="774">
        <v>-125</v>
      </c>
      <c r="F119" s="774">
        <v>0</v>
      </c>
      <c r="G119" s="774">
        <v>0</v>
      </c>
      <c r="H119" s="774">
        <v>0</v>
      </c>
      <c r="I119" s="774">
        <v>2.4</v>
      </c>
      <c r="J119" s="774">
        <v>158.63</v>
      </c>
      <c r="K119" s="774">
        <v>0</v>
      </c>
      <c r="L119" s="774">
        <v>0</v>
      </c>
      <c r="M119" s="774">
        <v>0</v>
      </c>
      <c r="O119" s="150">
        <f t="shared" si="4"/>
        <v>283.62</v>
      </c>
    </row>
    <row r="120" spans="1:15">
      <c r="A120" s="155" t="s">
        <v>520</v>
      </c>
      <c r="B120" s="774">
        <v>-244.44</v>
      </c>
      <c r="C120" s="774">
        <v>-244.44</v>
      </c>
      <c r="D120" s="774">
        <v>-244.44</v>
      </c>
      <c r="E120" s="774">
        <v>-122.84</v>
      </c>
      <c r="F120" s="774">
        <v>-264.66000000000003</v>
      </c>
      <c r="G120" s="774">
        <v>-244.44</v>
      </c>
      <c r="H120" s="774">
        <v>-122.84</v>
      </c>
      <c r="I120" s="774">
        <v>-244.44</v>
      </c>
      <c r="J120" s="774">
        <v>227.33</v>
      </c>
      <c r="K120" s="774">
        <v>100.27</v>
      </c>
      <c r="L120" s="774">
        <v>-176.49</v>
      </c>
      <c r="M120" s="774">
        <v>791.83</v>
      </c>
      <c r="O120" s="150">
        <f t="shared" si="4"/>
        <v>-789.6</v>
      </c>
    </row>
    <row r="121" spans="1:15" ht="12" customHeight="1">
      <c r="A121" s="155" t="s">
        <v>521</v>
      </c>
      <c r="B121" s="774">
        <v>3087.07</v>
      </c>
      <c r="C121" s="774">
        <v>3144.17</v>
      </c>
      <c r="D121" s="774">
        <v>2740</v>
      </c>
      <c r="E121" s="774">
        <v>3185.29</v>
      </c>
      <c r="F121" s="774">
        <v>4908.0600000000004</v>
      </c>
      <c r="G121" s="774">
        <v>3958.31</v>
      </c>
      <c r="H121" s="774">
        <v>3242.74</v>
      </c>
      <c r="I121" s="774">
        <v>3342.72</v>
      </c>
      <c r="J121" s="774">
        <v>2174.5500000000002</v>
      </c>
      <c r="K121" s="774">
        <v>5298.05</v>
      </c>
      <c r="L121" s="774">
        <v>3482.13</v>
      </c>
      <c r="M121" s="774">
        <v>-8884.8799999999992</v>
      </c>
      <c r="O121" s="150">
        <f t="shared" si="4"/>
        <v>29678.21</v>
      </c>
    </row>
    <row r="122" spans="1:15" ht="12" customHeight="1">
      <c r="A122" s="155" t="s">
        <v>522</v>
      </c>
      <c r="B122" s="774">
        <v>5423.15</v>
      </c>
      <c r="C122" s="774">
        <v>5461.27</v>
      </c>
      <c r="D122" s="774">
        <v>5663.29</v>
      </c>
      <c r="E122" s="774">
        <v>5604.88</v>
      </c>
      <c r="F122" s="774">
        <v>8359.84</v>
      </c>
      <c r="G122" s="774">
        <v>5756.63</v>
      </c>
      <c r="H122" s="774">
        <v>5913.09</v>
      </c>
      <c r="I122" s="774">
        <v>5941.7</v>
      </c>
      <c r="J122" s="774">
        <v>5785.76</v>
      </c>
      <c r="K122" s="774">
        <v>8883.7999999999993</v>
      </c>
      <c r="L122" s="774">
        <v>5797.11</v>
      </c>
      <c r="M122" s="774">
        <v>5647.46</v>
      </c>
      <c r="O122" s="150">
        <f t="shared" si="4"/>
        <v>74237.98</v>
      </c>
    </row>
    <row r="123" spans="1:15" ht="12" customHeight="1">
      <c r="A123" s="155" t="s">
        <v>523</v>
      </c>
      <c r="B123" s="774">
        <v>392.8</v>
      </c>
      <c r="C123" s="774">
        <v>246.81</v>
      </c>
      <c r="D123" s="774">
        <v>614.1</v>
      </c>
      <c r="E123" s="774">
        <v>58.1</v>
      </c>
      <c r="F123" s="774">
        <v>58.71</v>
      </c>
      <c r="G123" s="774">
        <v>-538.20000000000005</v>
      </c>
      <c r="H123" s="774">
        <v>52.68</v>
      </c>
      <c r="I123" s="774">
        <v>24.7</v>
      </c>
      <c r="J123" s="774">
        <v>-151.24</v>
      </c>
      <c r="K123" s="774">
        <v>6.29</v>
      </c>
      <c r="L123" s="774">
        <v>21.25</v>
      </c>
      <c r="M123" s="774">
        <v>23.28</v>
      </c>
      <c r="O123" s="150">
        <f t="shared" si="4"/>
        <v>809.27999999999986</v>
      </c>
    </row>
    <row r="124" spans="1:15" ht="12" customHeight="1">
      <c r="A124" s="155" t="s">
        <v>519</v>
      </c>
      <c r="B124" s="774">
        <v>71565.48</v>
      </c>
      <c r="C124" s="774">
        <v>72448.479999999996</v>
      </c>
      <c r="D124" s="774">
        <v>72584.62</v>
      </c>
      <c r="E124" s="774">
        <v>74204.600000000006</v>
      </c>
      <c r="F124" s="774">
        <v>110684.89</v>
      </c>
      <c r="G124" s="774">
        <v>75786.66</v>
      </c>
      <c r="H124" s="774">
        <v>78232.800000000003</v>
      </c>
      <c r="I124" s="774">
        <v>78729.100000000006</v>
      </c>
      <c r="J124" s="774">
        <v>76717.740000000005</v>
      </c>
      <c r="K124" s="774">
        <v>117249.71</v>
      </c>
      <c r="L124" s="774">
        <v>76770.17</v>
      </c>
      <c r="M124" s="774">
        <v>85100.89</v>
      </c>
      <c r="O124" s="150">
        <f t="shared" si="4"/>
        <v>990075.14</v>
      </c>
    </row>
    <row r="125" spans="1:15">
      <c r="A125" s="155" t="s">
        <v>138</v>
      </c>
      <c r="B125" s="774">
        <v>0</v>
      </c>
      <c r="C125" s="774">
        <v>0</v>
      </c>
      <c r="D125" s="774">
        <v>90</v>
      </c>
      <c r="E125" s="774">
        <v>0</v>
      </c>
      <c r="F125" s="774">
        <v>0</v>
      </c>
      <c r="G125" s="774">
        <v>90</v>
      </c>
      <c r="H125" s="774">
        <v>0</v>
      </c>
      <c r="I125" s="774">
        <v>0</v>
      </c>
      <c r="J125" s="774">
        <v>90</v>
      </c>
      <c r="K125" s="774">
        <v>0</v>
      </c>
      <c r="L125" s="774">
        <v>0</v>
      </c>
      <c r="M125" s="774">
        <v>90</v>
      </c>
      <c r="O125" s="150">
        <f t="shared" si="4"/>
        <v>360</v>
      </c>
    </row>
    <row r="126" spans="1:15">
      <c r="A126" s="155" t="s">
        <v>526</v>
      </c>
      <c r="B126" s="774">
        <v>0</v>
      </c>
      <c r="C126" s="774">
        <v>0</v>
      </c>
      <c r="D126" s="774">
        <v>0</v>
      </c>
      <c r="E126" s="774">
        <v>-17.61</v>
      </c>
      <c r="F126" s="774">
        <v>0</v>
      </c>
      <c r="G126" s="774">
        <v>17.61</v>
      </c>
      <c r="H126" s="774">
        <v>0</v>
      </c>
      <c r="I126" s="774">
        <v>-500</v>
      </c>
      <c r="J126" s="774">
        <v>0</v>
      </c>
      <c r="K126" s="774">
        <v>0</v>
      </c>
      <c r="L126" s="774">
        <v>0</v>
      </c>
      <c r="M126" s="774">
        <v>500</v>
      </c>
      <c r="O126" s="150">
        <f t="shared" si="4"/>
        <v>0</v>
      </c>
    </row>
    <row r="127" spans="1:15">
      <c r="A127" s="155" t="s">
        <v>527</v>
      </c>
      <c r="B127" s="774">
        <v>0</v>
      </c>
      <c r="C127" s="774">
        <v>0</v>
      </c>
      <c r="D127" s="774">
        <v>0</v>
      </c>
      <c r="E127" s="774">
        <v>0</v>
      </c>
      <c r="F127" s="774">
        <v>176</v>
      </c>
      <c r="G127" s="774">
        <v>-176</v>
      </c>
      <c r="H127" s="774">
        <v>0</v>
      </c>
      <c r="I127" s="774">
        <v>0</v>
      </c>
      <c r="J127" s="774">
        <v>0</v>
      </c>
      <c r="K127" s="774">
        <v>0</v>
      </c>
      <c r="L127" s="774">
        <v>0</v>
      </c>
      <c r="M127" s="774">
        <v>0</v>
      </c>
      <c r="O127" s="150">
        <f t="shared" si="4"/>
        <v>0</v>
      </c>
    </row>
    <row r="128" spans="1:15">
      <c r="A128" s="155" t="s">
        <v>528</v>
      </c>
      <c r="B128" s="774">
        <v>0</v>
      </c>
      <c r="C128" s="774">
        <v>0</v>
      </c>
      <c r="D128" s="774">
        <v>70808.25</v>
      </c>
      <c r="E128" s="774">
        <v>0</v>
      </c>
      <c r="F128" s="774">
        <v>0</v>
      </c>
      <c r="G128" s="774">
        <v>71271.25</v>
      </c>
      <c r="H128" s="774">
        <v>0</v>
      </c>
      <c r="I128" s="774">
        <v>0</v>
      </c>
      <c r="J128" s="774">
        <v>72499.25</v>
      </c>
      <c r="K128" s="774">
        <v>0</v>
      </c>
      <c r="L128" s="774">
        <v>0</v>
      </c>
      <c r="M128" s="774">
        <v>71526.25</v>
      </c>
      <c r="O128" s="150">
        <f t="shared" si="4"/>
        <v>286105</v>
      </c>
    </row>
    <row r="129" spans="1:15">
      <c r="A129" s="155" t="s">
        <v>529</v>
      </c>
      <c r="B129" s="774">
        <v>0</v>
      </c>
      <c r="C129" s="774">
        <v>0</v>
      </c>
      <c r="D129" s="774">
        <v>0</v>
      </c>
      <c r="E129" s="774">
        <v>0</v>
      </c>
      <c r="F129" s="774">
        <v>0</v>
      </c>
      <c r="G129" s="774">
        <v>0</v>
      </c>
      <c r="H129" s="774">
        <v>0</v>
      </c>
      <c r="I129" s="774">
        <v>0</v>
      </c>
      <c r="J129" s="774">
        <v>0</v>
      </c>
      <c r="K129" s="774">
        <v>0</v>
      </c>
      <c r="L129" s="774">
        <v>0</v>
      </c>
      <c r="M129" s="774">
        <v>17125</v>
      </c>
      <c r="O129" s="150">
        <f t="shared" si="4"/>
        <v>17125</v>
      </c>
    </row>
    <row r="130" spans="1:15">
      <c r="A130" s="155" t="s">
        <v>530</v>
      </c>
      <c r="B130" s="774">
        <v>0</v>
      </c>
      <c r="C130" s="774">
        <v>0</v>
      </c>
      <c r="D130" s="774">
        <v>0</v>
      </c>
      <c r="E130" s="774">
        <v>0</v>
      </c>
      <c r="F130" s="774">
        <v>0</v>
      </c>
      <c r="G130" s="774">
        <v>0</v>
      </c>
      <c r="H130" s="774">
        <v>0</v>
      </c>
      <c r="I130" s="774">
        <v>0</v>
      </c>
      <c r="J130" s="774">
        <v>0</v>
      </c>
      <c r="K130" s="774">
        <v>0</v>
      </c>
      <c r="L130" s="774">
        <v>0</v>
      </c>
      <c r="M130" s="774">
        <v>-51834</v>
      </c>
      <c r="O130" s="150">
        <f t="shared" si="4"/>
        <v>-51834</v>
      </c>
    </row>
    <row r="131" spans="1:15">
      <c r="A131" s="155" t="s">
        <v>531</v>
      </c>
      <c r="B131" s="774">
        <v>0</v>
      </c>
      <c r="C131" s="774">
        <v>0</v>
      </c>
      <c r="D131" s="774">
        <v>25818</v>
      </c>
      <c r="E131" s="774">
        <v>0</v>
      </c>
      <c r="F131" s="774">
        <v>0</v>
      </c>
      <c r="G131" s="774">
        <v>24686</v>
      </c>
      <c r="H131" s="774">
        <v>0</v>
      </c>
      <c r="I131" s="774">
        <v>0</v>
      </c>
      <c r="J131" s="774">
        <v>6446</v>
      </c>
      <c r="K131" s="774">
        <v>0</v>
      </c>
      <c r="L131" s="774">
        <v>0</v>
      </c>
      <c r="M131" s="774">
        <v>23109</v>
      </c>
      <c r="O131" s="150">
        <f t="shared" si="4"/>
        <v>80059</v>
      </c>
    </row>
    <row r="132" spans="1:15">
      <c r="A132" s="155" t="s">
        <v>532</v>
      </c>
      <c r="B132" s="774">
        <v>3374.79</v>
      </c>
      <c r="C132" s="774">
        <v>2988.5</v>
      </c>
      <c r="D132" s="774">
        <v>2698.28</v>
      </c>
      <c r="E132" s="774">
        <v>2840.03</v>
      </c>
      <c r="F132" s="774">
        <v>2528.4899999999998</v>
      </c>
      <c r="G132" s="774">
        <v>2272.84</v>
      </c>
      <c r="H132" s="774">
        <v>2666.7</v>
      </c>
      <c r="I132" s="774">
        <v>2968.97</v>
      </c>
      <c r="J132" s="774">
        <v>2082.11</v>
      </c>
      <c r="K132" s="774">
        <v>1686.21</v>
      </c>
      <c r="L132" s="774">
        <v>1868.68</v>
      </c>
      <c r="M132" s="774">
        <v>3203.71</v>
      </c>
      <c r="O132" s="150">
        <f t="shared" si="4"/>
        <v>31179.31</v>
      </c>
    </row>
    <row r="133" spans="1:15">
      <c r="A133" s="155" t="s">
        <v>137</v>
      </c>
      <c r="B133" s="774">
        <v>0</v>
      </c>
      <c r="C133" s="774">
        <v>0</v>
      </c>
      <c r="D133" s="774">
        <v>-500</v>
      </c>
      <c r="E133" s="774">
        <v>0</v>
      </c>
      <c r="F133" s="774">
        <v>0</v>
      </c>
      <c r="G133" s="774">
        <v>0</v>
      </c>
      <c r="H133" s="774">
        <v>0</v>
      </c>
      <c r="I133" s="774">
        <v>0</v>
      </c>
      <c r="J133" s="774">
        <v>0</v>
      </c>
      <c r="K133" s="774">
        <v>0</v>
      </c>
      <c r="L133" s="774">
        <v>0</v>
      </c>
      <c r="M133" s="774">
        <v>0</v>
      </c>
      <c r="O133" s="150">
        <f t="shared" si="4"/>
        <v>-500</v>
      </c>
    </row>
    <row r="134" spans="1:15">
      <c r="A134" s="157"/>
      <c r="B134" s="158"/>
      <c r="C134" s="158"/>
      <c r="D134" s="158"/>
      <c r="E134" s="158"/>
      <c r="F134" s="158"/>
      <c r="G134" s="158"/>
      <c r="H134" s="158"/>
      <c r="I134" s="158"/>
      <c r="J134" s="158"/>
      <c r="K134" s="158"/>
      <c r="L134" s="158"/>
      <c r="M134" s="158"/>
      <c r="N134" s="159"/>
    </row>
    <row r="135" spans="1:15">
      <c r="A135" s="155" t="s">
        <v>26</v>
      </c>
      <c r="B135" s="156">
        <f t="shared" ref="B135:M135" si="5">ROUND(SUBTOTAL(9, B52:B134), 5)</f>
        <v>294322.28999999998</v>
      </c>
      <c r="C135" s="156">
        <f t="shared" si="5"/>
        <v>351329.43</v>
      </c>
      <c r="D135" s="156">
        <f t="shared" si="5"/>
        <v>508304.8</v>
      </c>
      <c r="E135" s="156">
        <f t="shared" si="5"/>
        <v>510386.9</v>
      </c>
      <c r="F135" s="156">
        <f t="shared" si="5"/>
        <v>410884.92</v>
      </c>
      <c r="G135" s="156">
        <f t="shared" si="5"/>
        <v>311984.86</v>
      </c>
      <c r="H135" s="156">
        <f t="shared" si="5"/>
        <v>427438.43</v>
      </c>
      <c r="I135" s="156">
        <f t="shared" si="5"/>
        <v>373921.65</v>
      </c>
      <c r="J135" s="156">
        <f t="shared" si="5"/>
        <v>481801.74</v>
      </c>
      <c r="K135" s="156">
        <f t="shared" si="5"/>
        <v>384926.45</v>
      </c>
      <c r="L135" s="156">
        <f t="shared" si="5"/>
        <v>376954.67</v>
      </c>
      <c r="M135" s="156">
        <f t="shared" si="5"/>
        <v>470102.4</v>
      </c>
      <c r="O135" s="156">
        <f>ROUND(SUBTOTAL(9, O52:O134), 5)</f>
        <v>4902358.54</v>
      </c>
    </row>
    <row r="136" spans="1:15">
      <c r="A136" s="157"/>
      <c r="B136" s="158"/>
      <c r="C136" s="158"/>
      <c r="D136" s="158"/>
      <c r="E136" s="158"/>
      <c r="F136" s="158"/>
      <c r="G136" s="158"/>
      <c r="H136" s="158"/>
      <c r="I136" s="158"/>
      <c r="J136" s="158"/>
      <c r="K136" s="158"/>
      <c r="L136" s="158"/>
      <c r="M136" s="158"/>
      <c r="N136" s="159"/>
    </row>
    <row r="137" spans="1:15" ht="13.5" thickBot="1">
      <c r="A137" s="155" t="s">
        <v>136</v>
      </c>
      <c r="B137" s="161">
        <f t="shared" ref="B137:M137" si="6">-(ROUND(-B50+B135, 5))</f>
        <v>108752.75</v>
      </c>
      <c r="C137" s="161">
        <f t="shared" si="6"/>
        <v>20161.78</v>
      </c>
      <c r="D137" s="161">
        <f t="shared" si="6"/>
        <v>-100629.46</v>
      </c>
      <c r="E137" s="161">
        <f t="shared" si="6"/>
        <v>-106408.59</v>
      </c>
      <c r="F137" s="161">
        <f t="shared" si="6"/>
        <v>-4065.05</v>
      </c>
      <c r="G137" s="161">
        <f t="shared" si="6"/>
        <v>139206.97</v>
      </c>
      <c r="H137" s="161">
        <f t="shared" si="6"/>
        <v>-18036.21</v>
      </c>
      <c r="I137" s="161">
        <f t="shared" si="6"/>
        <v>32887.089999999997</v>
      </c>
      <c r="J137" s="161">
        <f t="shared" si="6"/>
        <v>20540.43</v>
      </c>
      <c r="K137" s="161">
        <f t="shared" si="6"/>
        <v>40912.620000000003</v>
      </c>
      <c r="L137" s="161">
        <f t="shared" si="6"/>
        <v>27019.54</v>
      </c>
      <c r="M137" s="161">
        <f t="shared" si="6"/>
        <v>-37546.74</v>
      </c>
      <c r="O137" s="161">
        <f>-(ROUND(-O50+O135, 5))</f>
        <v>122795.13</v>
      </c>
    </row>
    <row r="138" spans="1:15" ht="13.5" thickTop="1"/>
    <row r="139" spans="1:15">
      <c r="O139" s="479"/>
    </row>
    <row r="140" spans="1:15">
      <c r="O140" s="710"/>
    </row>
    <row r="141" spans="1:15">
      <c r="O141" s="710"/>
    </row>
    <row r="142" spans="1:15">
      <c r="O142" s="710"/>
    </row>
    <row r="143" spans="1:15">
      <c r="O143" s="710"/>
    </row>
    <row r="144" spans="1:15">
      <c r="O144" s="710"/>
    </row>
    <row r="179" spans="1:16" s="160" customFormat="1">
      <c r="A179" s="151"/>
      <c r="B179" s="150"/>
      <c r="C179" s="150"/>
      <c r="D179" s="150"/>
      <c r="E179" s="150"/>
      <c r="F179" s="150"/>
      <c r="G179" s="150"/>
      <c r="H179" s="150"/>
      <c r="I179" s="150"/>
      <c r="J179" s="150"/>
      <c r="K179" s="150"/>
      <c r="L179" s="150"/>
      <c r="M179" s="150"/>
      <c r="N179" s="150"/>
      <c r="O179" s="150"/>
    </row>
    <row r="181" spans="1:16" s="160" customFormat="1">
      <c r="A181" s="151"/>
      <c r="B181" s="150"/>
      <c r="C181" s="150"/>
      <c r="D181" s="150"/>
      <c r="E181" s="150"/>
      <c r="F181" s="150"/>
      <c r="G181" s="150"/>
      <c r="H181" s="150"/>
      <c r="I181" s="150"/>
      <c r="J181" s="150"/>
      <c r="K181" s="150"/>
      <c r="L181" s="150"/>
      <c r="M181" s="150"/>
      <c r="N181" s="150"/>
      <c r="O181" s="150"/>
    </row>
    <row r="182" spans="1:16">
      <c r="P182" s="403" t="s">
        <v>258</v>
      </c>
    </row>
    <row r="184" spans="1:16">
      <c r="P184" s="480" t="s">
        <v>281</v>
      </c>
    </row>
    <row r="185" spans="1:16">
      <c r="P185" s="480" t="s">
        <v>280</v>
      </c>
    </row>
    <row r="186" spans="1:16">
      <c r="P186" s="480" t="s">
        <v>35</v>
      </c>
    </row>
    <row r="187" spans="1:16">
      <c r="P187" s="480"/>
    </row>
    <row r="188" spans="1:16">
      <c r="P188" s="480" t="s">
        <v>282</v>
      </c>
    </row>
    <row r="189" spans="1:16">
      <c r="P189" s="403" t="s">
        <v>283</v>
      </c>
    </row>
  </sheetData>
  <printOptions horizontalCentered="1"/>
  <pageMargins left="0.5" right="0.5" top="0.27" bottom="0.5" header="0.22" footer="0.26"/>
  <pageSetup scale="58" fitToHeight="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15"/>
  <sheetViews>
    <sheetView topLeftCell="A38" zoomScaleNormal="100" workbookViewId="0">
      <selection activeCell="F38" sqref="F38"/>
    </sheetView>
  </sheetViews>
  <sheetFormatPr defaultRowHeight="15"/>
  <cols>
    <col min="1" max="1" width="2.21875" style="213" bestFit="1" customWidth="1"/>
    <col min="2" max="2" width="30.109375" customWidth="1"/>
    <col min="3" max="3" width="20.77734375" customWidth="1"/>
    <col min="4" max="4" width="12.77734375" style="213" customWidth="1"/>
    <col min="5" max="5" width="12.77734375" style="71" customWidth="1"/>
    <col min="6" max="6" width="10.21875" style="213" bestFit="1" customWidth="1"/>
    <col min="7" max="7" width="20.77734375" customWidth="1"/>
    <col min="8" max="8" width="12.77734375" customWidth="1"/>
    <col min="9" max="9" width="5.77734375" style="213" customWidth="1"/>
    <col min="10" max="10" width="20.77734375" customWidth="1"/>
    <col min="12" max="12" width="10.5546875" customWidth="1"/>
    <col min="13" max="13" width="18.21875" bestFit="1" customWidth="1"/>
  </cols>
  <sheetData>
    <row r="1" spans="1:11" ht="16.5">
      <c r="B1" s="993" t="s">
        <v>434</v>
      </c>
      <c r="C1" s="993"/>
      <c r="D1" s="993"/>
      <c r="E1" s="993"/>
      <c r="F1" s="993"/>
      <c r="G1" s="993"/>
      <c r="H1" s="993"/>
      <c r="I1" s="993"/>
      <c r="J1" s="993"/>
    </row>
    <row r="2" spans="1:11" ht="16.5">
      <c r="B2" s="72"/>
      <c r="C2" s="40"/>
      <c r="D2" s="219"/>
      <c r="E2" s="40"/>
      <c r="F2" s="219"/>
      <c r="G2" s="40"/>
      <c r="H2" s="46"/>
      <c r="I2" s="223"/>
    </row>
    <row r="3" spans="1:11" ht="16.5">
      <c r="B3" s="993" t="s">
        <v>248</v>
      </c>
      <c r="C3" s="993"/>
      <c r="D3" s="993"/>
      <c r="E3" s="993"/>
      <c r="F3" s="993"/>
      <c r="G3" s="993"/>
      <c r="H3" s="993"/>
      <c r="I3" s="993"/>
      <c r="J3" s="993"/>
    </row>
    <row r="4" spans="1:11" ht="16.5">
      <c r="B4" s="41"/>
      <c r="C4" s="41"/>
      <c r="D4" s="220"/>
      <c r="E4" s="41"/>
      <c r="F4" s="220"/>
      <c r="G4" s="41"/>
      <c r="H4" s="47"/>
      <c r="I4" s="224"/>
      <c r="J4" s="47"/>
    </row>
    <row r="5" spans="1:11" ht="16.5">
      <c r="B5" s="994" t="str">
        <f>'Fly Sheet'!$A$20</f>
        <v>For the Twelve Months Ended December 31, 2018 Historical and December 31, 2020 Forecasted</v>
      </c>
      <c r="C5" s="994"/>
      <c r="D5" s="994"/>
      <c r="E5" s="994"/>
      <c r="F5" s="994"/>
      <c r="G5" s="994"/>
      <c r="H5" s="994"/>
      <c r="I5" s="994"/>
      <c r="J5" s="994"/>
    </row>
    <row r="6" spans="1:11" ht="15.75">
      <c r="B6" s="995"/>
      <c r="C6" s="995"/>
      <c r="D6" s="995"/>
      <c r="E6" s="995"/>
      <c r="F6" s="995"/>
      <c r="G6" s="995"/>
      <c r="H6" s="995"/>
      <c r="I6" s="995"/>
      <c r="J6" s="995"/>
    </row>
    <row r="7" spans="1:11" ht="15.75">
      <c r="B7" s="26"/>
      <c r="C7" s="26"/>
      <c r="D7" s="26"/>
      <c r="E7" s="26"/>
      <c r="F7" s="26"/>
      <c r="G7" s="26"/>
      <c r="H7" s="26"/>
      <c r="I7" s="26"/>
      <c r="J7" s="26"/>
    </row>
    <row r="8" spans="1:11" ht="15.75">
      <c r="C8" s="212" t="s">
        <v>150</v>
      </c>
      <c r="D8" s="249" t="s">
        <v>49</v>
      </c>
      <c r="E8" s="249" t="s">
        <v>36</v>
      </c>
      <c r="G8" s="212" t="s">
        <v>151</v>
      </c>
      <c r="H8" s="212" t="s">
        <v>250</v>
      </c>
      <c r="J8" s="212" t="s">
        <v>250</v>
      </c>
    </row>
    <row r="9" spans="1:11" ht="15.75">
      <c r="C9" s="212" t="s">
        <v>232</v>
      </c>
      <c r="D9" s="249" t="s">
        <v>29</v>
      </c>
      <c r="E9" s="249" t="s">
        <v>29</v>
      </c>
      <c r="G9" s="212" t="s">
        <v>232</v>
      </c>
      <c r="H9" s="212" t="s">
        <v>29</v>
      </c>
      <c r="J9" s="212" t="s">
        <v>234</v>
      </c>
    </row>
    <row r="10" spans="1:11" ht="15.75">
      <c r="C10" s="212" t="s">
        <v>233</v>
      </c>
      <c r="D10" s="252"/>
      <c r="E10" s="249"/>
      <c r="F10" s="221" t="s">
        <v>235</v>
      </c>
      <c r="G10" s="212" t="s">
        <v>233</v>
      </c>
      <c r="H10" s="212"/>
      <c r="I10" s="221" t="s">
        <v>235</v>
      </c>
      <c r="J10" s="212" t="s">
        <v>233</v>
      </c>
    </row>
    <row r="11" spans="1:11">
      <c r="B11" s="52" t="s">
        <v>42</v>
      </c>
      <c r="D11" s="250"/>
    </row>
    <row r="12" spans="1:11" ht="15.75">
      <c r="A12" s="213">
        <v>1</v>
      </c>
      <c r="B12" s="48" t="s">
        <v>603</v>
      </c>
      <c r="C12" s="250">
        <f>+'Sch 4 - 12 Months'!O12</f>
        <v>1436848</v>
      </c>
      <c r="D12" s="250"/>
      <c r="E12" s="361">
        <f>+'Sch 1, pg 2 - Restated'!T13</f>
        <v>-137492.62</v>
      </c>
      <c r="F12" s="232" t="s">
        <v>293</v>
      </c>
      <c r="G12" s="361">
        <f t="shared" ref="G12:G26" si="0">C12+E12+D12</f>
        <v>1299355.3799999999</v>
      </c>
      <c r="H12" s="361">
        <f>+'Sch 2, pg 2 - Forecast'!L13</f>
        <v>17125.061030208315</v>
      </c>
      <c r="I12" s="232" t="s">
        <v>68</v>
      </c>
      <c r="J12" s="361">
        <f>G12+H12</f>
        <v>1316480.4410302083</v>
      </c>
      <c r="K12" s="71"/>
    </row>
    <row r="13" spans="1:11" ht="15.75">
      <c r="A13" s="213">
        <v>2</v>
      </c>
      <c r="B13" s="48" t="s">
        <v>885</v>
      </c>
      <c r="C13" s="250">
        <f>+'Sch 4 - 12 Months'!O13</f>
        <v>2154911.0000000005</v>
      </c>
      <c r="D13" s="250"/>
      <c r="E13" s="361">
        <f>+'Sch 1, pg 2 - Restated'!T14</f>
        <v>-206204.39</v>
      </c>
      <c r="F13" s="232" t="s">
        <v>293</v>
      </c>
      <c r="G13" s="361">
        <f t="shared" si="0"/>
        <v>1948706.6100000003</v>
      </c>
      <c r="H13" s="361">
        <f>+'Sch 2, pg 2 - Forecast'!L14</f>
        <v>25683.288969791683</v>
      </c>
      <c r="I13" s="232" t="s">
        <v>68</v>
      </c>
      <c r="J13" s="361">
        <f t="shared" ref="J13:J22" si="1">G13+H13</f>
        <v>1974389.8989697921</v>
      </c>
      <c r="K13" s="761"/>
    </row>
    <row r="14" spans="1:11" ht="15.75">
      <c r="A14" s="213">
        <v>3</v>
      </c>
      <c r="B14" s="48" t="s">
        <v>7</v>
      </c>
      <c r="C14" s="250">
        <f>+'Sch 4 - 12 Months'!O14</f>
        <v>387428.00000000012</v>
      </c>
      <c r="D14" s="250"/>
      <c r="E14" s="361">
        <f>+'Sch 1, pg 2 - Restated'!T15</f>
        <v>-37073.160000000003</v>
      </c>
      <c r="F14" s="232" t="s">
        <v>293</v>
      </c>
      <c r="G14" s="361">
        <f t="shared" si="0"/>
        <v>350354.84000000008</v>
      </c>
      <c r="H14" s="361"/>
      <c r="I14" s="232"/>
      <c r="J14" s="361">
        <f t="shared" si="1"/>
        <v>350354.84000000008</v>
      </c>
      <c r="K14" s="761"/>
    </row>
    <row r="15" spans="1:11" ht="15.75">
      <c r="A15" s="213">
        <v>4</v>
      </c>
      <c r="B15" s="48" t="s">
        <v>886</v>
      </c>
      <c r="C15" s="250">
        <f>+'Sch 4 - 12 Months'!O15</f>
        <v>349662.00000000006</v>
      </c>
      <c r="D15" s="250"/>
      <c r="E15" s="361"/>
      <c r="F15" s="232"/>
      <c r="G15" s="361">
        <f t="shared" si="0"/>
        <v>349662.00000000006</v>
      </c>
      <c r="H15" s="361">
        <f>+'Sch 2, pg 2 - Forecast'!L16</f>
        <v>13194.792452830188</v>
      </c>
      <c r="I15" s="232" t="s">
        <v>70</v>
      </c>
      <c r="J15" s="361">
        <f t="shared" si="1"/>
        <v>362856.79245283024</v>
      </c>
      <c r="K15" s="761"/>
    </row>
    <row r="16" spans="1:11" ht="15.75">
      <c r="A16" s="213">
        <v>5</v>
      </c>
      <c r="B16" s="48" t="s">
        <v>887</v>
      </c>
      <c r="C16" s="250">
        <f>+'Sch 4 - 12 Months'!O16</f>
        <v>321524</v>
      </c>
      <c r="D16" s="250"/>
      <c r="E16" s="361">
        <f>+'Sch 1, pg 2 - Restated'!T17</f>
        <v>-30766.77</v>
      </c>
      <c r="F16" s="232" t="s">
        <v>293</v>
      </c>
      <c r="G16" s="361">
        <f t="shared" si="0"/>
        <v>290757.23</v>
      </c>
      <c r="H16" s="361"/>
      <c r="I16" s="232"/>
      <c r="J16" s="361">
        <f t="shared" si="1"/>
        <v>290757.23</v>
      </c>
      <c r="K16" s="761"/>
    </row>
    <row r="17" spans="1:13" ht="15.75">
      <c r="A17" s="213">
        <v>6</v>
      </c>
      <c r="B17" s="48" t="s">
        <v>888</v>
      </c>
      <c r="C17" s="250">
        <f>+'Sch 4 - 12 Months'!O17</f>
        <v>161137.00000000003</v>
      </c>
      <c r="D17" s="250"/>
      <c r="E17" s="361">
        <f>+'Sch 1, pg 2 - Restated'!T18</f>
        <v>-12696.98</v>
      </c>
      <c r="F17" s="232" t="s">
        <v>293</v>
      </c>
      <c r="G17" s="361">
        <f t="shared" si="0"/>
        <v>148440.02000000002</v>
      </c>
      <c r="H17" s="361"/>
      <c r="I17" s="232"/>
      <c r="J17" s="361">
        <f t="shared" si="1"/>
        <v>148440.02000000002</v>
      </c>
      <c r="K17" s="761"/>
    </row>
    <row r="18" spans="1:13" ht="15.75">
      <c r="A18" s="213">
        <v>7</v>
      </c>
      <c r="B18" s="48" t="s">
        <v>889</v>
      </c>
      <c r="C18" s="250">
        <f>+'Sch 4 - 12 Months'!O20</f>
        <v>38386.000000000007</v>
      </c>
      <c r="D18" s="250"/>
      <c r="E18" s="361"/>
      <c r="F18" s="232"/>
      <c r="G18" s="361">
        <f t="shared" si="0"/>
        <v>38386.000000000007</v>
      </c>
      <c r="H18" s="361"/>
      <c r="I18" s="232"/>
      <c r="J18" s="361">
        <f t="shared" si="1"/>
        <v>38386.000000000007</v>
      </c>
      <c r="K18" s="761"/>
    </row>
    <row r="19" spans="1:13" ht="15.75">
      <c r="A19" s="213">
        <v>8</v>
      </c>
      <c r="B19" s="48" t="s">
        <v>534</v>
      </c>
      <c r="C19" s="250">
        <f>+'Sch 4 - 12 Months'!O18+'Sch 4 - 12 Months'!O19</f>
        <v>-32631.000000000004</v>
      </c>
      <c r="D19" s="250"/>
      <c r="E19" s="361"/>
      <c r="F19" s="232"/>
      <c r="G19" s="361">
        <f t="shared" si="0"/>
        <v>-32631.000000000004</v>
      </c>
      <c r="H19" s="361"/>
      <c r="I19" s="232"/>
      <c r="J19" s="361">
        <f t="shared" si="1"/>
        <v>-32631.000000000004</v>
      </c>
      <c r="K19" s="71"/>
    </row>
    <row r="20" spans="1:13" ht="15.75">
      <c r="A20" s="213">
        <v>9</v>
      </c>
      <c r="B20" s="48" t="s">
        <v>890</v>
      </c>
      <c r="C20" s="250">
        <f>+'Sch 4 - 12 Months'!O21</f>
        <v>86873.000000000015</v>
      </c>
      <c r="D20" s="250"/>
      <c r="E20" s="361">
        <f>+'Sch 1, pg 2 - Restated'!T21</f>
        <v>-8312.92</v>
      </c>
      <c r="F20" s="232" t="s">
        <v>293</v>
      </c>
      <c r="G20" s="361">
        <f t="shared" si="0"/>
        <v>78560.080000000016</v>
      </c>
      <c r="H20" s="361"/>
      <c r="I20" s="232"/>
      <c r="J20" s="361">
        <f t="shared" si="1"/>
        <v>78560.080000000016</v>
      </c>
      <c r="K20" s="761"/>
    </row>
    <row r="21" spans="1:13" ht="15.75">
      <c r="A21" s="213">
        <v>10</v>
      </c>
      <c r="B21" s="48" t="s">
        <v>59</v>
      </c>
      <c r="C21" s="250">
        <f>+'Sch 4 - 12 Months'!O22+'Sch 4 - 12 Months'!O23</f>
        <v>92978</v>
      </c>
      <c r="D21" s="250"/>
      <c r="E21" s="361"/>
      <c r="F21" s="232"/>
      <c r="G21" s="361">
        <f t="shared" si="0"/>
        <v>92978</v>
      </c>
      <c r="H21" s="361"/>
      <c r="I21" s="232"/>
      <c r="J21" s="361">
        <f t="shared" si="1"/>
        <v>92978</v>
      </c>
      <c r="K21" s="71"/>
      <c r="M21" s="511"/>
    </row>
    <row r="22" spans="1:13" ht="15.75">
      <c r="B22" s="48"/>
      <c r="C22" s="250"/>
      <c r="D22" s="250"/>
      <c r="E22" s="361"/>
      <c r="F22" s="232"/>
      <c r="G22" s="361">
        <f t="shared" si="0"/>
        <v>0</v>
      </c>
      <c r="H22" s="361"/>
      <c r="I22" s="232"/>
      <c r="J22" s="361">
        <f t="shared" si="1"/>
        <v>0</v>
      </c>
      <c r="K22" s="71"/>
    </row>
    <row r="23" spans="1:13" ht="15.75">
      <c r="B23" s="48"/>
      <c r="C23" s="250"/>
      <c r="D23" s="250"/>
      <c r="E23" s="361"/>
      <c r="F23" s="232"/>
      <c r="G23" s="361">
        <f t="shared" si="0"/>
        <v>0</v>
      </c>
      <c r="H23" s="361"/>
      <c r="I23" s="232"/>
      <c r="J23" s="361">
        <f t="shared" ref="J23:J26" si="2">G23+H23</f>
        <v>0</v>
      </c>
      <c r="K23" s="71"/>
    </row>
    <row r="24" spans="1:13" ht="15.75">
      <c r="B24" s="48"/>
      <c r="C24" s="250"/>
      <c r="D24" s="250"/>
      <c r="E24" s="361"/>
      <c r="F24" s="232"/>
      <c r="G24" s="361">
        <f t="shared" si="0"/>
        <v>0</v>
      </c>
      <c r="H24" s="441"/>
      <c r="I24" s="232"/>
      <c r="J24" s="361">
        <f t="shared" si="2"/>
        <v>0</v>
      </c>
      <c r="K24" s="71"/>
    </row>
    <row r="25" spans="1:13" ht="15.75">
      <c r="B25" s="48"/>
      <c r="C25" s="250"/>
      <c r="D25" s="250"/>
      <c r="E25" s="361"/>
      <c r="F25" s="232"/>
      <c r="G25" s="361">
        <f t="shared" si="0"/>
        <v>0</v>
      </c>
      <c r="H25" s="361"/>
      <c r="I25" s="232"/>
      <c r="J25" s="361">
        <f t="shared" si="2"/>
        <v>0</v>
      </c>
      <c r="K25" s="71"/>
    </row>
    <row r="26" spans="1:13" ht="15.75">
      <c r="B26" s="48"/>
      <c r="C26" s="250"/>
      <c r="D26" s="232"/>
      <c r="E26" s="361"/>
      <c r="F26" s="232"/>
      <c r="G26" s="361">
        <f t="shared" si="0"/>
        <v>0</v>
      </c>
      <c r="H26" s="361"/>
      <c r="I26" s="232"/>
      <c r="J26" s="361">
        <f t="shared" si="2"/>
        <v>0</v>
      </c>
      <c r="K26" s="71"/>
    </row>
    <row r="27" spans="1:13" ht="15.75">
      <c r="B27" s="215" t="s">
        <v>236</v>
      </c>
      <c r="C27" s="251">
        <f>SUM(C12:C26)</f>
        <v>4997116.0000000009</v>
      </c>
      <c r="D27" s="251">
        <f>SUM(D12:D26)</f>
        <v>0</v>
      </c>
      <c r="E27" s="251">
        <f>SUM(E12:E26)</f>
        <v>-432546.84</v>
      </c>
      <c r="F27" s="365"/>
      <c r="G27" s="251">
        <f>SUM(G12:G26)</f>
        <v>4564569.16</v>
      </c>
      <c r="H27" s="251">
        <f>SUM(H12:H26)</f>
        <v>56003.142452830187</v>
      </c>
      <c r="I27" s="365"/>
      <c r="J27" s="251">
        <f>SUM(J12:J26)</f>
        <v>4620572.3024528306</v>
      </c>
      <c r="K27" s="71"/>
    </row>
    <row r="28" spans="1:13">
      <c r="B28" s="227" t="s">
        <v>243</v>
      </c>
      <c r="C28" s="214">
        <f>SUM(C12:C21)</f>
        <v>4997116.0000000009</v>
      </c>
      <c r="D28" s="232"/>
      <c r="F28" s="232"/>
      <c r="G28" s="361"/>
      <c r="H28" s="361"/>
      <c r="I28" s="232"/>
      <c r="J28" s="361"/>
      <c r="K28" s="71"/>
    </row>
    <row r="29" spans="1:13" ht="15.75">
      <c r="B29" s="42"/>
      <c r="C29" s="214"/>
      <c r="D29" s="232"/>
      <c r="F29" s="232"/>
      <c r="G29" s="361"/>
      <c r="H29" s="361"/>
      <c r="I29" s="232"/>
      <c r="J29" s="361"/>
      <c r="K29" s="71"/>
    </row>
    <row r="30" spans="1:13">
      <c r="B30" s="52" t="s">
        <v>27</v>
      </c>
      <c r="C30" s="214"/>
      <c r="D30" s="232"/>
      <c r="E30" s="361"/>
      <c r="F30" s="232"/>
      <c r="G30" s="361"/>
      <c r="H30" s="361"/>
      <c r="I30" s="232"/>
      <c r="J30" s="361"/>
      <c r="K30" s="71"/>
    </row>
    <row r="31" spans="1:13" ht="15.75">
      <c r="A31" s="213">
        <v>11</v>
      </c>
      <c r="B31" s="48" t="s">
        <v>173</v>
      </c>
      <c r="C31" s="250">
        <f>+'Sch 4 - 12 Months'!O27</f>
        <v>989285.54</v>
      </c>
      <c r="D31" s="379">
        <f>+'Sch 3, pg 2 - Reclass'!B27</f>
        <v>-989285.54</v>
      </c>
      <c r="F31" s="232" t="s">
        <v>74</v>
      </c>
      <c r="G31" s="361">
        <f t="shared" ref="G31:G60" si="3">C31+E31+D31</f>
        <v>0</v>
      </c>
      <c r="H31" s="379"/>
      <c r="I31" s="232"/>
      <c r="J31" s="361">
        <f>G31+H31</f>
        <v>0</v>
      </c>
      <c r="K31" s="71"/>
      <c r="L31" s="331"/>
    </row>
    <row r="32" spans="1:13" ht="15.75">
      <c r="A32" s="213">
        <v>12</v>
      </c>
      <c r="B32" s="48" t="s">
        <v>11</v>
      </c>
      <c r="C32" s="250">
        <v>0</v>
      </c>
      <c r="D32" s="379">
        <f>+'Sch 3, pg 2 - Reclass'!B28</f>
        <v>438600.25</v>
      </c>
      <c r="E32" s="379"/>
      <c r="F32" s="232" t="s">
        <v>74</v>
      </c>
      <c r="G32" s="361">
        <f t="shared" si="3"/>
        <v>438600.25</v>
      </c>
      <c r="H32" s="379">
        <f>+'Sch 2, pg 2 - Forecast'!L28</f>
        <v>67998.008515000009</v>
      </c>
      <c r="I32" s="232" t="s">
        <v>94</v>
      </c>
      <c r="J32" s="361">
        <f t="shared" ref="J32:J89" si="4">G32+H32</f>
        <v>506598.25851499999</v>
      </c>
      <c r="K32" s="71"/>
      <c r="L32" s="331"/>
    </row>
    <row r="33" spans="1:13" ht="15.75">
      <c r="A33" s="213">
        <v>13</v>
      </c>
      <c r="B33" s="48" t="s">
        <v>13</v>
      </c>
      <c r="C33" s="250">
        <v>0</v>
      </c>
      <c r="D33" s="379">
        <f>+'Sch 3, pg 2 - Reclass'!B29</f>
        <v>105452.65</v>
      </c>
      <c r="F33" s="232" t="s">
        <v>74</v>
      </c>
      <c r="G33" s="361">
        <f t="shared" si="3"/>
        <v>105452.65</v>
      </c>
      <c r="H33" s="379">
        <f>+'Sch 2, pg 2 - Forecast'!L29</f>
        <v>17819.092400000001</v>
      </c>
      <c r="I33" s="232" t="s">
        <v>94</v>
      </c>
      <c r="J33" s="361">
        <f t="shared" si="4"/>
        <v>123271.74239999999</v>
      </c>
      <c r="K33" s="71"/>
      <c r="L33" s="331"/>
    </row>
    <row r="34" spans="1:13" ht="15.75">
      <c r="A34" s="213">
        <v>14</v>
      </c>
      <c r="B34" s="48" t="s">
        <v>835</v>
      </c>
      <c r="C34" s="250">
        <v>0</v>
      </c>
      <c r="D34" s="379">
        <f>+'Sch 3, pg 2 - Reclass'!B30</f>
        <v>102290.32999999999</v>
      </c>
      <c r="F34" s="232" t="s">
        <v>74</v>
      </c>
      <c r="G34" s="361">
        <f t="shared" si="3"/>
        <v>102290.32999999999</v>
      </c>
      <c r="H34" s="379">
        <f>+'Sch 2, pg 2 - Forecast'!L30</f>
        <v>45592.189120000003</v>
      </c>
      <c r="I34" s="232" t="s">
        <v>94</v>
      </c>
      <c r="J34" s="361">
        <f t="shared" si="4"/>
        <v>147882.51911999998</v>
      </c>
      <c r="K34" s="71"/>
      <c r="L34" s="331"/>
    </row>
    <row r="35" spans="1:13" ht="15.75">
      <c r="A35" s="213">
        <v>15</v>
      </c>
      <c r="B35" s="48" t="s">
        <v>18</v>
      </c>
      <c r="C35" s="250">
        <v>0</v>
      </c>
      <c r="D35" s="379">
        <f>+'Sch 3, pg 2 - Reclass'!B31</f>
        <v>342942.31</v>
      </c>
      <c r="E35" s="379"/>
      <c r="F35" s="232" t="s">
        <v>74</v>
      </c>
      <c r="G35" s="361">
        <f t="shared" si="3"/>
        <v>342942.31</v>
      </c>
      <c r="H35" s="379">
        <f>+'Sch 2, pg 2 - Forecast'!L31</f>
        <v>27388.101199999997</v>
      </c>
      <c r="I35" s="232" t="s">
        <v>94</v>
      </c>
      <c r="J35" s="361">
        <f t="shared" si="4"/>
        <v>370330.41119999997</v>
      </c>
      <c r="K35" s="71"/>
      <c r="L35" s="331"/>
    </row>
    <row r="36" spans="1:13" ht="15.75">
      <c r="A36" s="213">
        <v>16</v>
      </c>
      <c r="B36" s="48" t="s">
        <v>15</v>
      </c>
      <c r="C36" s="250">
        <f>+'Sch 4 - 12 Months'!O34</f>
        <v>160891.93</v>
      </c>
      <c r="D36" s="379">
        <f>+'Sch 3, pg 2 - Reclass'!L32</f>
        <v>105860.55999999998</v>
      </c>
      <c r="E36" s="380">
        <f>+'Sch 1, pg 2 - Restated'!T33</f>
        <v>20918.670000000006</v>
      </c>
      <c r="F36" s="232" t="s">
        <v>943</v>
      </c>
      <c r="G36" s="361">
        <f t="shared" si="3"/>
        <v>287671.15999999997</v>
      </c>
      <c r="H36" s="379">
        <f>+'Sch 2, pg 2 - Forecast'!L32</f>
        <v>63461.850513156489</v>
      </c>
      <c r="I36" s="232" t="s">
        <v>94</v>
      </c>
      <c r="J36" s="361">
        <f t="shared" si="4"/>
        <v>351133.01051315648</v>
      </c>
      <c r="K36" s="71"/>
      <c r="L36" s="331"/>
    </row>
    <row r="37" spans="1:13" s="783" customFormat="1" ht="15.75">
      <c r="A37" s="213">
        <v>17</v>
      </c>
      <c r="B37" s="48" t="s">
        <v>536</v>
      </c>
      <c r="C37" s="250">
        <f>+'Sch 4 - 12 Months'!O35</f>
        <v>-24043</v>
      </c>
      <c r="D37" s="232"/>
      <c r="E37" s="380">
        <f>+'Sch 1, pg 2 - Restated'!T34</f>
        <v>24043</v>
      </c>
      <c r="F37" s="232" t="s">
        <v>292</v>
      </c>
      <c r="G37" s="361">
        <f t="shared" si="3"/>
        <v>0</v>
      </c>
      <c r="H37" s="361"/>
      <c r="I37" s="232"/>
      <c r="J37" s="361">
        <f t="shared" si="4"/>
        <v>0</v>
      </c>
      <c r="L37" s="331"/>
    </row>
    <row r="38" spans="1:13" ht="15.75">
      <c r="A38" s="213">
        <v>18</v>
      </c>
      <c r="B38" s="48" t="s">
        <v>500</v>
      </c>
      <c r="C38" s="250">
        <f>+'Sch 4 - 12 Months'!O36</f>
        <v>105561.5</v>
      </c>
      <c r="D38" s="232"/>
      <c r="E38" s="379"/>
      <c r="F38" s="232"/>
      <c r="G38" s="361">
        <f t="shared" si="3"/>
        <v>105561.5</v>
      </c>
      <c r="H38" s="361">
        <f>+'Sch 2, pg 2 - Forecast'!L34</f>
        <v>4693.5339000499953</v>
      </c>
      <c r="I38" s="232" t="s">
        <v>94</v>
      </c>
      <c r="J38" s="361">
        <f t="shared" si="4"/>
        <v>110255.03390005</v>
      </c>
      <c r="K38" s="71"/>
      <c r="L38" s="331"/>
    </row>
    <row r="39" spans="1:13" ht="15.75">
      <c r="A39" s="213">
        <v>19</v>
      </c>
      <c r="B39" s="48" t="s">
        <v>458</v>
      </c>
      <c r="C39" s="250">
        <f>+'Sch 4 - 12 Months'!O37</f>
        <v>32819.600000000006</v>
      </c>
      <c r="D39" s="232"/>
      <c r="E39" s="361"/>
      <c r="F39" s="232"/>
      <c r="G39" s="361">
        <f t="shared" si="3"/>
        <v>32819.600000000006</v>
      </c>
      <c r="H39" s="361"/>
      <c r="I39" s="232"/>
      <c r="J39" s="361">
        <f t="shared" si="4"/>
        <v>32819.600000000006</v>
      </c>
      <c r="K39" s="71"/>
      <c r="L39" s="331"/>
      <c r="M39" s="71"/>
    </row>
    <row r="40" spans="1:13" ht="15.75">
      <c r="A40" s="213">
        <v>20</v>
      </c>
      <c r="B40" s="48" t="s">
        <v>537</v>
      </c>
      <c r="C40" s="250">
        <f>+'Sch 4 - 12 Months'!O38</f>
        <v>1820</v>
      </c>
      <c r="D40" s="232"/>
      <c r="E40" s="380"/>
      <c r="F40" s="232"/>
      <c r="G40" s="361">
        <f t="shared" si="3"/>
        <v>1820</v>
      </c>
      <c r="H40" s="361"/>
      <c r="I40" s="232"/>
      <c r="J40" s="361">
        <f t="shared" si="4"/>
        <v>1820</v>
      </c>
      <c r="K40" s="71"/>
      <c r="L40" s="331"/>
      <c r="M40" s="71"/>
    </row>
    <row r="41" spans="1:13" ht="15.75">
      <c r="A41" s="213">
        <v>21</v>
      </c>
      <c r="B41" s="48" t="s">
        <v>91</v>
      </c>
      <c r="C41" s="250">
        <f>+'Sch 4 - 12 Months'!O39</f>
        <v>5881.6299999999992</v>
      </c>
      <c r="D41" s="232"/>
      <c r="E41" s="380">
        <f>+'Sch 1, pg 2 - Restated'!H38</f>
        <v>-142.44000000000005</v>
      </c>
      <c r="F41" s="232" t="s">
        <v>63</v>
      </c>
      <c r="G41" s="361">
        <f t="shared" si="3"/>
        <v>5739.1899999999987</v>
      </c>
      <c r="H41" s="498"/>
      <c r="I41" s="232"/>
      <c r="J41" s="361">
        <f t="shared" si="4"/>
        <v>5739.1899999999987</v>
      </c>
      <c r="K41" s="71"/>
      <c r="L41" s="331"/>
      <c r="M41" s="71"/>
    </row>
    <row r="42" spans="1:13" ht="15.75">
      <c r="A42" s="213">
        <v>22</v>
      </c>
      <c r="B42" s="48" t="s">
        <v>461</v>
      </c>
      <c r="C42" s="250">
        <f>+'Sch 4 - 12 Months'!O40</f>
        <v>8161.3700000000008</v>
      </c>
      <c r="D42" s="232"/>
      <c r="E42" s="361"/>
      <c r="F42" s="232"/>
      <c r="G42" s="361">
        <f t="shared" si="3"/>
        <v>8161.3700000000008</v>
      </c>
      <c r="H42" s="361"/>
      <c r="I42" s="232"/>
      <c r="J42" s="361">
        <f t="shared" si="4"/>
        <v>8161.3700000000008</v>
      </c>
      <c r="K42" s="71"/>
      <c r="L42" s="331"/>
      <c r="M42" s="71"/>
    </row>
    <row r="43" spans="1:13" ht="15.75">
      <c r="A43" s="213">
        <v>23</v>
      </c>
      <c r="B43" s="48" t="s">
        <v>538</v>
      </c>
      <c r="C43" s="250">
        <f>+'Sch 4 - 12 Months'!O41</f>
        <v>1095.5500000000002</v>
      </c>
      <c r="D43" s="379"/>
      <c r="F43" s="232"/>
      <c r="G43" s="361">
        <f t="shared" si="3"/>
        <v>1095.5500000000002</v>
      </c>
      <c r="H43" s="379"/>
      <c r="I43" s="232"/>
      <c r="J43" s="361">
        <f t="shared" si="4"/>
        <v>1095.5500000000002</v>
      </c>
      <c r="K43" s="71"/>
      <c r="L43" s="331"/>
      <c r="M43" s="71"/>
    </row>
    <row r="44" spans="1:13" ht="15.75">
      <c r="A44" s="213">
        <v>24</v>
      </c>
      <c r="B44" s="48" t="s">
        <v>539</v>
      </c>
      <c r="C44" s="250">
        <f>+'Sch 4 - 12 Months'!O42</f>
        <v>962.21</v>
      </c>
      <c r="D44" s="379"/>
      <c r="F44" s="232"/>
      <c r="G44" s="361">
        <f t="shared" si="3"/>
        <v>962.21</v>
      </c>
      <c r="H44" s="361"/>
      <c r="I44" s="232"/>
      <c r="J44" s="361">
        <f t="shared" si="4"/>
        <v>962.21</v>
      </c>
      <c r="K44" s="71"/>
      <c r="L44" s="331"/>
      <c r="M44" s="71"/>
    </row>
    <row r="45" spans="1:13" ht="15.75">
      <c r="A45" s="213">
        <v>25</v>
      </c>
      <c r="B45" s="48" t="s">
        <v>465</v>
      </c>
      <c r="C45" s="250">
        <f>+'Sch 4 - 12 Months'!O43</f>
        <v>5099.58</v>
      </c>
      <c r="D45" s="379"/>
      <c r="E45" s="71">
        <f>+'Sch 1, pg 2 - Restated'!D42</f>
        <v>-5099.58</v>
      </c>
      <c r="F45" s="232" t="s">
        <v>61</v>
      </c>
      <c r="G45" s="361">
        <f>C45+E45+D45</f>
        <v>0</v>
      </c>
      <c r="H45" s="361"/>
      <c r="I45" s="232"/>
      <c r="J45" s="361">
        <f t="shared" si="4"/>
        <v>0</v>
      </c>
      <c r="K45" s="71"/>
      <c r="L45" s="331"/>
    </row>
    <row r="46" spans="1:13" ht="15.75">
      <c r="A46" s="213">
        <v>26</v>
      </c>
      <c r="B46" s="48" t="s">
        <v>316</v>
      </c>
      <c r="C46" s="250">
        <f>+'Sch 4 - 12 Months'!O44</f>
        <v>13111</v>
      </c>
      <c r="D46" s="379"/>
      <c r="E46" s="71">
        <f>+'Sch 1, pg 2 - Restated'!D43</f>
        <v>-1647</v>
      </c>
      <c r="F46" s="232" t="s">
        <v>61</v>
      </c>
      <c r="G46" s="361">
        <f t="shared" si="3"/>
        <v>11464</v>
      </c>
      <c r="H46" s="379"/>
      <c r="I46" s="232"/>
      <c r="J46" s="361">
        <f t="shared" si="4"/>
        <v>11464</v>
      </c>
      <c r="K46" s="71"/>
      <c r="L46" s="331"/>
    </row>
    <row r="47" spans="1:13" ht="15.75">
      <c r="A47" s="213">
        <v>27</v>
      </c>
      <c r="B47" s="48" t="s">
        <v>467</v>
      </c>
      <c r="C47" s="250">
        <f>+'Sch 4 - 12 Months'!O45</f>
        <v>3103.04</v>
      </c>
      <c r="D47" s="232"/>
      <c r="E47" s="381"/>
      <c r="F47" s="232"/>
      <c r="G47" s="361">
        <f t="shared" si="3"/>
        <v>3103.04</v>
      </c>
      <c r="H47" s="361"/>
      <c r="I47" s="232"/>
      <c r="J47" s="361">
        <f t="shared" si="4"/>
        <v>3103.04</v>
      </c>
      <c r="K47" s="71"/>
      <c r="L47" s="331"/>
    </row>
    <row r="48" spans="1:13" ht="15.75">
      <c r="A48" s="213">
        <v>28</v>
      </c>
      <c r="B48" s="48" t="s">
        <v>25</v>
      </c>
      <c r="C48" s="250">
        <f>+'Sch 4 - 12 Months'!O46</f>
        <v>14347.91</v>
      </c>
      <c r="D48" s="232"/>
      <c r="E48" s="361"/>
      <c r="F48" s="232"/>
      <c r="G48" s="361">
        <f t="shared" si="3"/>
        <v>14347.91</v>
      </c>
      <c r="H48" s="361"/>
      <c r="I48" s="232"/>
      <c r="J48" s="361">
        <f t="shared" si="4"/>
        <v>14347.91</v>
      </c>
      <c r="K48" s="71"/>
      <c r="L48" s="331"/>
    </row>
    <row r="49" spans="1:12" ht="15.75">
      <c r="A49" s="213">
        <v>29</v>
      </c>
      <c r="B49" s="48" t="s">
        <v>140</v>
      </c>
      <c r="C49" s="250">
        <f>+'Sch 4 - 12 Months'!O47</f>
        <v>169941.77000000002</v>
      </c>
      <c r="D49" s="232"/>
      <c r="E49" s="361"/>
      <c r="F49" s="232"/>
      <c r="G49" s="361">
        <f t="shared" si="3"/>
        <v>169941.77000000002</v>
      </c>
      <c r="H49" s="361">
        <f>+'Sch 2, pg 2 - Forecast'!L45</f>
        <v>-7490.3710242575617</v>
      </c>
      <c r="I49" s="232" t="s">
        <v>69</v>
      </c>
      <c r="J49" s="361">
        <f t="shared" si="4"/>
        <v>162451.39897574246</v>
      </c>
      <c r="K49" s="71"/>
      <c r="L49" s="331"/>
    </row>
    <row r="50" spans="1:12" ht="15.75">
      <c r="A50" s="213">
        <v>30</v>
      </c>
      <c r="B50" s="48" t="s">
        <v>95</v>
      </c>
      <c r="C50" s="250">
        <f>+'Sch 4 - 12 Months'!O48</f>
        <v>40276.020000000004</v>
      </c>
      <c r="D50" s="379">
        <f>+'Sch 3, pg 2 - Reclass'!D46</f>
        <v>-489.02</v>
      </c>
      <c r="F50" s="232" t="s">
        <v>75</v>
      </c>
      <c r="G50" s="361">
        <f>C50+E50+D50</f>
        <v>39787.000000000007</v>
      </c>
      <c r="H50" s="379"/>
      <c r="I50" s="232"/>
      <c r="J50" s="361">
        <f t="shared" si="4"/>
        <v>39787.000000000007</v>
      </c>
      <c r="K50" s="71"/>
      <c r="L50" s="331"/>
    </row>
    <row r="51" spans="1:12" ht="15.75">
      <c r="A51" s="213">
        <v>31</v>
      </c>
      <c r="B51" s="48" t="s">
        <v>24</v>
      </c>
      <c r="C51" s="250">
        <f>+'Sch 4 - 12 Months'!O49</f>
        <v>153.30000000000001</v>
      </c>
      <c r="D51" s="232"/>
      <c r="E51" s="381"/>
      <c r="F51" s="232"/>
      <c r="G51" s="361">
        <f t="shared" si="3"/>
        <v>153.30000000000001</v>
      </c>
      <c r="H51" s="379"/>
      <c r="I51" s="232"/>
      <c r="J51" s="361">
        <f t="shared" si="4"/>
        <v>153.30000000000001</v>
      </c>
      <c r="K51" s="71"/>
      <c r="L51" s="331"/>
    </row>
    <row r="52" spans="1:12" ht="15.75">
      <c r="A52" s="213">
        <v>32</v>
      </c>
      <c r="B52" s="48" t="s">
        <v>540</v>
      </c>
      <c r="C52" s="250">
        <f>+'Sch 4 - 12 Months'!O50</f>
        <v>5464.4</v>
      </c>
      <c r="D52" s="232"/>
      <c r="E52" s="381"/>
      <c r="F52" s="232"/>
      <c r="G52" s="361">
        <f t="shared" si="3"/>
        <v>5464.4</v>
      </c>
      <c r="H52" s="361"/>
      <c r="I52" s="232"/>
      <c r="J52" s="361">
        <f t="shared" si="4"/>
        <v>5464.4</v>
      </c>
      <c r="K52" s="71"/>
      <c r="L52" s="331"/>
    </row>
    <row r="53" spans="1:12" ht="15.75">
      <c r="A53" s="213">
        <v>33</v>
      </c>
      <c r="B53" s="48" t="s">
        <v>541</v>
      </c>
      <c r="C53" s="250">
        <f>+'Sch 4 - 12 Months'!O51</f>
        <v>1566121.51</v>
      </c>
      <c r="D53" s="250">
        <f>+'Sch 3, pg 2 - Reclass'!J49</f>
        <v>-8428.1900000000023</v>
      </c>
      <c r="E53" s="379"/>
      <c r="F53" s="232" t="s">
        <v>966</v>
      </c>
      <c r="G53" s="361">
        <f t="shared" si="3"/>
        <v>1557693.32</v>
      </c>
      <c r="H53" s="361">
        <f>+'Sch 2, pg 2 - Forecast'!L49</f>
        <v>58780.87999999999</v>
      </c>
      <c r="I53" s="232" t="s">
        <v>70</v>
      </c>
      <c r="J53" s="361">
        <f t="shared" si="4"/>
        <v>1616474.2</v>
      </c>
      <c r="K53" s="71"/>
      <c r="L53" s="331"/>
    </row>
    <row r="54" spans="1:12" ht="15.75">
      <c r="A54" s="213">
        <v>34</v>
      </c>
      <c r="B54" s="48" t="s">
        <v>542</v>
      </c>
      <c r="C54" s="250">
        <f>+'Sch 4 - 12 Months'!O52</f>
        <v>51365.869999999995</v>
      </c>
      <c r="D54" s="250"/>
      <c r="E54" s="361"/>
      <c r="F54" s="232"/>
      <c r="G54" s="361">
        <f t="shared" si="3"/>
        <v>51365.869999999995</v>
      </c>
      <c r="H54" s="361"/>
      <c r="I54" s="232"/>
      <c r="J54" s="361">
        <f t="shared" si="4"/>
        <v>51365.869999999995</v>
      </c>
      <c r="K54" s="71"/>
      <c r="L54" s="331"/>
    </row>
    <row r="55" spans="1:12" ht="15.75">
      <c r="A55" s="213">
        <v>35</v>
      </c>
      <c r="B55" s="48" t="s">
        <v>551</v>
      </c>
      <c r="C55" s="250">
        <f>+'Sch 4 - 12 Months'!O53</f>
        <v>4463.1000000000004</v>
      </c>
      <c r="D55" s="250"/>
      <c r="E55" s="361"/>
      <c r="F55" s="232"/>
      <c r="G55" s="361">
        <f t="shared" si="3"/>
        <v>4463.1000000000004</v>
      </c>
      <c r="H55" s="361"/>
      <c r="I55" s="232"/>
      <c r="J55" s="361">
        <f t="shared" si="4"/>
        <v>4463.1000000000004</v>
      </c>
      <c r="K55" s="71"/>
      <c r="L55" s="331"/>
    </row>
    <row r="56" spans="1:12" ht="15.75">
      <c r="A56" s="213">
        <v>36</v>
      </c>
      <c r="B56" s="43" t="s">
        <v>503</v>
      </c>
      <c r="C56" s="250">
        <f>+'Sch 4 - 12 Months'!O54</f>
        <v>-67</v>
      </c>
      <c r="D56" s="250"/>
      <c r="E56" s="361"/>
      <c r="F56" s="232"/>
      <c r="G56" s="361">
        <f t="shared" si="3"/>
        <v>-67</v>
      </c>
      <c r="H56" s="361"/>
      <c r="I56" s="232"/>
      <c r="J56" s="361">
        <f t="shared" si="4"/>
        <v>-67</v>
      </c>
      <c r="K56" s="71"/>
      <c r="L56" s="331"/>
    </row>
    <row r="57" spans="1:12" ht="15.75">
      <c r="A57" s="213">
        <v>37</v>
      </c>
      <c r="B57" s="43" t="s">
        <v>504</v>
      </c>
      <c r="C57" s="250">
        <f>+'Sch 4 - 12 Months'!O55</f>
        <v>59205.14</v>
      </c>
      <c r="D57" s="250">
        <f>+'Sch 3, pg 2 - Reclass'!J53</f>
        <v>8428.1900000000023</v>
      </c>
      <c r="E57" s="361"/>
      <c r="F57" s="232" t="s">
        <v>966</v>
      </c>
      <c r="G57" s="361">
        <f t="shared" si="3"/>
        <v>67633.33</v>
      </c>
      <c r="H57" s="966"/>
      <c r="I57" s="232"/>
      <c r="J57" s="361">
        <f t="shared" si="4"/>
        <v>67633.33</v>
      </c>
      <c r="K57" s="71"/>
      <c r="L57" s="331"/>
    </row>
    <row r="58" spans="1:12" ht="15.75">
      <c r="A58" s="213">
        <v>38</v>
      </c>
      <c r="B58" s="48" t="s">
        <v>21</v>
      </c>
      <c r="C58" s="250">
        <f>+'Sch 4 - 12 Months'!O56</f>
        <v>22651.18</v>
      </c>
      <c r="D58" s="250"/>
      <c r="E58" s="361"/>
      <c r="F58" s="232"/>
      <c r="G58" s="361">
        <f t="shared" si="3"/>
        <v>22651.18</v>
      </c>
      <c r="H58" s="361"/>
      <c r="I58" s="232"/>
      <c r="J58" s="361">
        <f t="shared" si="4"/>
        <v>22651.18</v>
      </c>
      <c r="K58" s="71"/>
      <c r="L58" s="331"/>
    </row>
    <row r="59" spans="1:12" ht="15.75">
      <c r="A59" s="213">
        <v>39</v>
      </c>
      <c r="B59" s="48" t="s">
        <v>23</v>
      </c>
      <c r="C59" s="250">
        <f>+'Sch 4 - 12 Months'!O57</f>
        <v>12957.339999999998</v>
      </c>
      <c r="D59" s="250"/>
      <c r="E59" s="381"/>
      <c r="F59" s="232"/>
      <c r="G59" s="361">
        <f t="shared" si="3"/>
        <v>12957.339999999998</v>
      </c>
      <c r="H59" s="361"/>
      <c r="I59" s="232"/>
      <c r="J59" s="361">
        <f t="shared" si="4"/>
        <v>12957.339999999998</v>
      </c>
      <c r="K59" s="71"/>
      <c r="L59" s="331"/>
    </row>
    <row r="60" spans="1:12" ht="15.75">
      <c r="A60" s="213">
        <v>40</v>
      </c>
      <c r="B60" s="43" t="s">
        <v>543</v>
      </c>
      <c r="C60" s="250">
        <f>+'Sch 4 - 12 Months'!O58</f>
        <v>183618.19</v>
      </c>
      <c r="D60" s="250"/>
      <c r="E60" s="361"/>
      <c r="F60" s="232"/>
      <c r="G60" s="361">
        <f t="shared" si="3"/>
        <v>183618.19</v>
      </c>
      <c r="H60" s="361"/>
      <c r="I60" s="232"/>
      <c r="J60" s="361">
        <f t="shared" si="4"/>
        <v>183618.19</v>
      </c>
      <c r="K60" s="71"/>
      <c r="L60" s="331"/>
    </row>
    <row r="61" spans="1:12" ht="15.75">
      <c r="A61" s="213">
        <v>41</v>
      </c>
      <c r="B61" s="43" t="s">
        <v>544</v>
      </c>
      <c r="C61" s="250">
        <f>+'Sch 4 - 12 Months'!O59</f>
        <v>432546.85000000009</v>
      </c>
      <c r="D61" s="232"/>
      <c r="E61" s="361">
        <f>+'Sch 1, pg 2 - Restated'!T58</f>
        <v>-432546.84</v>
      </c>
      <c r="F61" s="232" t="s">
        <v>293</v>
      </c>
      <c r="G61" s="361">
        <f t="shared" ref="G61:G88" si="5">C61+E61+D61</f>
        <v>1.0000000067520887E-2</v>
      </c>
      <c r="H61" s="361"/>
      <c r="I61" s="232"/>
      <c r="J61" s="361">
        <f t="shared" si="4"/>
        <v>1.0000000067520887E-2</v>
      </c>
      <c r="K61" s="71"/>
      <c r="L61" s="331"/>
    </row>
    <row r="62" spans="1:12" ht="15.75">
      <c r="A62" s="213">
        <v>42</v>
      </c>
      <c r="B62" s="43" t="s">
        <v>44</v>
      </c>
      <c r="C62" s="250">
        <f>+'Sch 4 - 12 Months'!O60</f>
        <v>105371.53999999998</v>
      </c>
      <c r="D62" s="250">
        <f>+'Sch 3, pg 2 - Reclass'!H58</f>
        <v>-105371.53999999998</v>
      </c>
      <c r="E62" s="361"/>
      <c r="F62" s="232" t="s">
        <v>74</v>
      </c>
      <c r="G62" s="361">
        <f t="shared" si="5"/>
        <v>0</v>
      </c>
      <c r="H62" s="361"/>
      <c r="I62" s="232"/>
      <c r="J62" s="361">
        <f t="shared" si="4"/>
        <v>0</v>
      </c>
      <c r="K62" s="71"/>
      <c r="L62" s="331"/>
    </row>
    <row r="63" spans="1:12" ht="15.75">
      <c r="A63" s="213">
        <v>43</v>
      </c>
      <c r="B63" s="43" t="s">
        <v>546</v>
      </c>
      <c r="C63" s="250">
        <f>+'Sch 4 - 12 Months'!O65</f>
        <v>7437.75</v>
      </c>
      <c r="D63" s="232"/>
      <c r="E63" s="361"/>
      <c r="F63" s="232"/>
      <c r="G63" s="361">
        <f t="shared" si="5"/>
        <v>7437.75</v>
      </c>
      <c r="H63" s="361"/>
      <c r="I63" s="232"/>
      <c r="J63" s="361">
        <f t="shared" si="4"/>
        <v>7437.75</v>
      </c>
      <c r="K63" s="71"/>
      <c r="L63" s="331"/>
    </row>
    <row r="64" spans="1:12" ht="15.75">
      <c r="A64" s="213">
        <v>44</v>
      </c>
      <c r="B64" s="43" t="s">
        <v>545</v>
      </c>
      <c r="C64" s="250">
        <f>+'Sch 4 - 12 Months'!O66</f>
        <v>5345.68</v>
      </c>
      <c r="D64" s="232"/>
      <c r="E64" s="361"/>
      <c r="F64" s="232"/>
      <c r="G64" s="361">
        <f t="shared" si="5"/>
        <v>5345.68</v>
      </c>
      <c r="H64" s="361"/>
      <c r="I64" s="232"/>
      <c r="J64" s="361">
        <f t="shared" si="4"/>
        <v>5345.68</v>
      </c>
      <c r="K64" s="71"/>
      <c r="L64" s="331"/>
    </row>
    <row r="65" spans="1:12" ht="15.75">
      <c r="A65" s="213">
        <v>45</v>
      </c>
      <c r="B65" s="43" t="s">
        <v>547</v>
      </c>
      <c r="C65" s="250">
        <f>+'Sch 4 - 12 Months'!O67</f>
        <v>16</v>
      </c>
      <c r="D65" s="232"/>
      <c r="E65" s="380"/>
      <c r="F65" s="232"/>
      <c r="G65" s="361">
        <f t="shared" si="5"/>
        <v>16</v>
      </c>
      <c r="H65" s="361"/>
      <c r="I65" s="232"/>
      <c r="J65" s="361">
        <f t="shared" si="4"/>
        <v>16</v>
      </c>
      <c r="K65" s="71"/>
      <c r="L65" s="331"/>
    </row>
    <row r="66" spans="1:12" ht="15.75">
      <c r="A66" s="213">
        <v>46</v>
      </c>
      <c r="B66" s="43" t="s">
        <v>490</v>
      </c>
      <c r="C66" s="250">
        <f>+'Sch 4 - 12 Months'!O68</f>
        <v>202.56</v>
      </c>
      <c r="D66" s="232"/>
      <c r="E66" s="379"/>
      <c r="F66" s="232"/>
      <c r="G66" s="361">
        <f t="shared" si="5"/>
        <v>202.56</v>
      </c>
      <c r="H66" s="361"/>
      <c r="I66" s="232"/>
      <c r="J66" s="361">
        <f t="shared" si="4"/>
        <v>202.56</v>
      </c>
      <c r="K66" s="71"/>
      <c r="L66" s="331"/>
    </row>
    <row r="67" spans="1:12" ht="15.75">
      <c r="A67" s="213">
        <v>47</v>
      </c>
      <c r="B67" s="43" t="s">
        <v>152</v>
      </c>
      <c r="C67" s="250">
        <f>+'Sch 4 - 12 Months'!O69</f>
        <v>850.34</v>
      </c>
      <c r="D67" s="232"/>
      <c r="E67" s="381"/>
      <c r="F67" s="232"/>
      <c r="G67" s="361">
        <f t="shared" si="5"/>
        <v>850.34</v>
      </c>
      <c r="H67" s="361"/>
      <c r="I67" s="232"/>
      <c r="J67" s="361">
        <f t="shared" si="4"/>
        <v>850.34</v>
      </c>
      <c r="K67" s="71"/>
      <c r="L67" s="331"/>
    </row>
    <row r="68" spans="1:12" ht="15.75">
      <c r="A68" s="213">
        <v>48</v>
      </c>
      <c r="B68" s="43" t="s">
        <v>548</v>
      </c>
      <c r="C68" s="250">
        <f>+'Sch 4 - 12 Months'!O70</f>
        <v>29472.800000000003</v>
      </c>
      <c r="D68" s="232"/>
      <c r="E68" s="361"/>
      <c r="F68" s="232"/>
      <c r="G68" s="361">
        <f t="shared" si="5"/>
        <v>29472.800000000003</v>
      </c>
      <c r="H68" s="361"/>
      <c r="I68" s="232"/>
      <c r="J68" s="361">
        <f t="shared" si="4"/>
        <v>29472.800000000003</v>
      </c>
      <c r="K68" s="71"/>
      <c r="L68" s="331"/>
    </row>
    <row r="69" spans="1:12" ht="15.75">
      <c r="A69" s="213">
        <v>49</v>
      </c>
      <c r="B69" s="43" t="s">
        <v>549</v>
      </c>
      <c r="C69" s="250">
        <f>+'Sch 4 - 12 Months'!O71</f>
        <v>6365.0199999999995</v>
      </c>
      <c r="D69" s="232"/>
      <c r="E69" s="361"/>
      <c r="F69" s="232"/>
      <c r="G69" s="361">
        <f t="shared" si="5"/>
        <v>6365.0199999999995</v>
      </c>
      <c r="H69" s="361"/>
      <c r="I69" s="232"/>
      <c r="J69" s="361">
        <f t="shared" si="4"/>
        <v>6365.0199999999995</v>
      </c>
      <c r="K69" s="71"/>
      <c r="L69" s="331"/>
    </row>
    <row r="70" spans="1:12" ht="15.75">
      <c r="A70" s="213">
        <v>50</v>
      </c>
      <c r="B70" s="43" t="s">
        <v>20</v>
      </c>
      <c r="C70" s="250">
        <f>+'Sch 4 - 12 Months'!O72</f>
        <v>25530.36</v>
      </c>
      <c r="D70" s="232"/>
      <c r="E70" s="361"/>
      <c r="F70" s="232"/>
      <c r="G70" s="361">
        <f t="shared" si="5"/>
        <v>25530.36</v>
      </c>
      <c r="H70" s="361"/>
      <c r="I70" s="232"/>
      <c r="J70" s="361">
        <f t="shared" si="4"/>
        <v>25530.36</v>
      </c>
      <c r="K70" s="71"/>
      <c r="L70" s="331"/>
    </row>
    <row r="71" spans="1:12" ht="15.75">
      <c r="A71" s="213">
        <v>51</v>
      </c>
      <c r="B71" s="43" t="s">
        <v>550</v>
      </c>
      <c r="C71" s="250">
        <f>+'Sch 4 - 12 Months'!O73</f>
        <v>-20.54000000000002</v>
      </c>
      <c r="D71" s="232"/>
      <c r="E71" s="361"/>
      <c r="F71" s="232"/>
      <c r="G71" s="361">
        <f t="shared" si="5"/>
        <v>-20.54000000000002</v>
      </c>
      <c r="H71" s="361"/>
      <c r="I71" s="232"/>
      <c r="J71" s="361">
        <f t="shared" si="4"/>
        <v>-20.54000000000002</v>
      </c>
      <c r="K71" s="71"/>
      <c r="L71" s="331"/>
    </row>
    <row r="72" spans="1:12" ht="15.75">
      <c r="A72" s="213">
        <v>52</v>
      </c>
      <c r="B72" s="43" t="s">
        <v>499</v>
      </c>
      <c r="C72" s="250">
        <f>+'Sch 4 - 12 Months'!O74</f>
        <v>126634.94</v>
      </c>
      <c r="D72" s="232"/>
      <c r="E72" s="361"/>
      <c r="F72" s="232"/>
      <c r="G72" s="361">
        <f t="shared" si="5"/>
        <v>126634.94</v>
      </c>
      <c r="H72" s="361"/>
      <c r="I72" s="232"/>
      <c r="J72" s="361">
        <f t="shared" si="4"/>
        <v>126634.94</v>
      </c>
      <c r="K72" s="71"/>
      <c r="L72" s="331"/>
    </row>
    <row r="73" spans="1:12" ht="15.75">
      <c r="A73" s="213">
        <v>53</v>
      </c>
      <c r="B73" s="43" t="s">
        <v>172</v>
      </c>
      <c r="C73" s="250">
        <f>+'Sch 4 - 12 Months'!O75</f>
        <v>724</v>
      </c>
      <c r="D73" s="232"/>
      <c r="E73" s="381"/>
      <c r="F73" s="232"/>
      <c r="G73" s="361">
        <f t="shared" si="5"/>
        <v>724</v>
      </c>
      <c r="H73" s="361"/>
      <c r="I73" s="232"/>
      <c r="J73" s="361">
        <f t="shared" si="4"/>
        <v>724</v>
      </c>
      <c r="K73" s="71"/>
      <c r="L73" s="331"/>
    </row>
    <row r="74" spans="1:12" ht="15.75">
      <c r="A74" s="213">
        <v>54</v>
      </c>
      <c r="B74" s="43" t="s">
        <v>501</v>
      </c>
      <c r="C74" s="250">
        <f>+'Sch 4 - 12 Months'!O76</f>
        <v>3048.4399999999996</v>
      </c>
      <c r="D74" s="232"/>
      <c r="E74" s="439"/>
      <c r="F74" s="232"/>
      <c r="G74" s="361">
        <f t="shared" si="5"/>
        <v>3048.4399999999996</v>
      </c>
      <c r="H74" s="361"/>
      <c r="I74" s="232"/>
      <c r="J74" s="361">
        <f t="shared" si="4"/>
        <v>3048.4399999999996</v>
      </c>
      <c r="K74" s="71"/>
      <c r="L74" s="331"/>
    </row>
    <row r="75" spans="1:12" ht="15.75">
      <c r="A75" s="213">
        <v>55</v>
      </c>
      <c r="B75" s="43" t="s">
        <v>502</v>
      </c>
      <c r="C75" s="250">
        <f>+'Sch 4 - 12 Months'!O77</f>
        <v>23001.300000000003</v>
      </c>
      <c r="D75" s="232"/>
      <c r="E75" s="361"/>
      <c r="F75" s="232"/>
      <c r="G75" s="361">
        <f t="shared" si="5"/>
        <v>23001.300000000003</v>
      </c>
      <c r="H75" s="361"/>
      <c r="I75" s="232"/>
      <c r="J75" s="361">
        <f t="shared" si="4"/>
        <v>23001.300000000003</v>
      </c>
      <c r="K75" s="71"/>
      <c r="L75" s="331"/>
    </row>
    <row r="76" spans="1:12" ht="15.75">
      <c r="A76" s="213">
        <v>56</v>
      </c>
      <c r="B76" s="43" t="s">
        <v>505</v>
      </c>
      <c r="C76" s="250">
        <f>+'Sch 4 - 12 Months'!O78</f>
        <v>41834.9</v>
      </c>
      <c r="D76" s="232"/>
      <c r="E76" s="361"/>
      <c r="F76" s="232"/>
      <c r="G76" s="361">
        <f t="shared" si="5"/>
        <v>41834.9</v>
      </c>
      <c r="H76" s="361"/>
      <c r="I76" s="232"/>
      <c r="J76" s="361">
        <f t="shared" si="4"/>
        <v>41834.9</v>
      </c>
      <c r="K76" s="71"/>
      <c r="L76" s="331"/>
    </row>
    <row r="77" spans="1:12" ht="15.75">
      <c r="A77" s="213">
        <v>57</v>
      </c>
      <c r="B77" s="43" t="s">
        <v>506</v>
      </c>
      <c r="C77" s="250">
        <f>+'Sch 4 - 12 Months'!O79</f>
        <v>1460.45</v>
      </c>
      <c r="D77" s="232"/>
      <c r="E77" s="361"/>
      <c r="F77" s="232"/>
      <c r="G77" s="361">
        <f t="shared" si="5"/>
        <v>1460.45</v>
      </c>
      <c r="H77" s="361"/>
      <c r="I77" s="232"/>
      <c r="J77" s="361">
        <f t="shared" si="4"/>
        <v>1460.45</v>
      </c>
      <c r="K77" s="71"/>
      <c r="L77" s="331"/>
    </row>
    <row r="78" spans="1:12" ht="15.75">
      <c r="A78" s="213">
        <v>58</v>
      </c>
      <c r="B78" s="43" t="s">
        <v>552</v>
      </c>
      <c r="C78" s="250">
        <f>+'Sch 4 - 12 Months'!O80</f>
        <v>774.8</v>
      </c>
      <c r="D78" s="232"/>
      <c r="E78" s="361"/>
      <c r="F78" s="232"/>
      <c r="G78" s="361">
        <f t="shared" si="5"/>
        <v>774.8</v>
      </c>
      <c r="H78" s="361"/>
      <c r="I78" s="232"/>
      <c r="J78" s="361">
        <f t="shared" si="4"/>
        <v>774.8</v>
      </c>
      <c r="K78" s="71"/>
      <c r="L78" s="331"/>
    </row>
    <row r="79" spans="1:12" ht="15.75">
      <c r="A79" s="213">
        <v>59</v>
      </c>
      <c r="B79" s="43" t="s">
        <v>554</v>
      </c>
      <c r="C79" s="250">
        <f>+'Sch 4 - 12 Months'!O81</f>
        <v>6610.22</v>
      </c>
      <c r="D79" s="232"/>
      <c r="E79" s="361"/>
      <c r="F79" s="232"/>
      <c r="G79" s="361">
        <f t="shared" si="5"/>
        <v>6610.22</v>
      </c>
      <c r="H79" s="361"/>
      <c r="I79" s="232"/>
      <c r="J79" s="361">
        <f t="shared" si="4"/>
        <v>6610.22</v>
      </c>
      <c r="K79" s="71"/>
      <c r="L79" s="331"/>
    </row>
    <row r="80" spans="1:12" ht="15.75">
      <c r="A80" s="213">
        <v>60</v>
      </c>
      <c r="B80" s="43" t="s">
        <v>553</v>
      </c>
      <c r="C80" s="250">
        <f>+'Sch 4 - 12 Months'!O82</f>
        <v>128400</v>
      </c>
      <c r="D80" s="232"/>
      <c r="E80" s="361"/>
      <c r="F80" s="232"/>
      <c r="G80" s="361">
        <f t="shared" si="5"/>
        <v>128400</v>
      </c>
      <c r="H80" s="361"/>
      <c r="I80" s="232"/>
      <c r="J80" s="361">
        <f t="shared" si="4"/>
        <v>128400</v>
      </c>
      <c r="K80" s="71"/>
      <c r="L80" s="331"/>
    </row>
    <row r="81" spans="1:13" ht="15.75">
      <c r="A81" s="213">
        <v>61</v>
      </c>
      <c r="B81" s="43" t="s">
        <v>555</v>
      </c>
      <c r="C81" s="250">
        <f>+'Sch 4 - 12 Months'!O83</f>
        <v>69963.939999999973</v>
      </c>
      <c r="D81" s="232"/>
      <c r="E81" s="380"/>
      <c r="F81" s="232"/>
      <c r="G81" s="361">
        <f t="shared" si="5"/>
        <v>69963.939999999973</v>
      </c>
      <c r="H81" s="361"/>
      <c r="I81" s="232"/>
      <c r="J81" s="361">
        <f t="shared" si="4"/>
        <v>69963.939999999973</v>
      </c>
      <c r="K81" s="71"/>
      <c r="L81" s="331"/>
    </row>
    <row r="82" spans="1:13" ht="15.75">
      <c r="A82" s="213">
        <v>62</v>
      </c>
      <c r="B82" s="48" t="s">
        <v>556</v>
      </c>
      <c r="C82" s="250">
        <f>+'Sch 4 - 12 Months'!O84</f>
        <v>28014.32</v>
      </c>
      <c r="D82" s="232"/>
      <c r="E82" s="361"/>
      <c r="F82" s="232"/>
      <c r="G82" s="361">
        <f t="shared" si="5"/>
        <v>28014.32</v>
      </c>
      <c r="H82" s="361"/>
      <c r="I82" s="232"/>
      <c r="J82" s="361">
        <f t="shared" si="4"/>
        <v>28014.32</v>
      </c>
      <c r="K82" s="71"/>
      <c r="L82" s="331"/>
    </row>
    <row r="83" spans="1:13" ht="15.75">
      <c r="A83" s="213">
        <v>63</v>
      </c>
      <c r="B83" s="43" t="s">
        <v>557</v>
      </c>
      <c r="C83" s="250">
        <f>+'Sch 4 - 12 Months'!O85</f>
        <v>1314.4</v>
      </c>
      <c r="D83" s="232"/>
      <c r="E83" s="361"/>
      <c r="F83" s="232"/>
      <c r="G83" s="361">
        <f t="shared" si="5"/>
        <v>1314.4</v>
      </c>
      <c r="H83" s="361"/>
      <c r="I83" s="232"/>
      <c r="J83" s="361">
        <f t="shared" si="4"/>
        <v>1314.4</v>
      </c>
      <c r="K83" s="71"/>
      <c r="L83" s="331"/>
    </row>
    <row r="84" spans="1:13" ht="15.75">
      <c r="A84" s="213">
        <v>64</v>
      </c>
      <c r="B84" s="43" t="s">
        <v>513</v>
      </c>
      <c r="C84" s="250">
        <f>+'Sch 4 - 12 Months'!O86</f>
        <v>1044</v>
      </c>
      <c r="D84" s="232"/>
      <c r="E84" s="361"/>
      <c r="F84" s="232"/>
      <c r="G84" s="361">
        <f t="shared" si="5"/>
        <v>1044</v>
      </c>
      <c r="H84" s="361"/>
      <c r="I84" s="232"/>
      <c r="J84" s="361">
        <f t="shared" si="4"/>
        <v>1044</v>
      </c>
      <c r="K84" s="71"/>
      <c r="L84" s="331"/>
    </row>
    <row r="85" spans="1:13" ht="15.75">
      <c r="A85" s="213">
        <v>65</v>
      </c>
      <c r="B85" s="43" t="s">
        <v>514</v>
      </c>
      <c r="C85" s="250">
        <f>+'Sch 4 - 12 Months'!O87</f>
        <v>7848.8700000000008</v>
      </c>
      <c r="D85" s="232"/>
      <c r="E85" s="361"/>
      <c r="F85" s="232"/>
      <c r="G85" s="361">
        <f t="shared" si="5"/>
        <v>7848.8700000000008</v>
      </c>
      <c r="H85" s="361"/>
      <c r="I85" s="232"/>
      <c r="J85" s="361">
        <f t="shared" si="4"/>
        <v>7848.8700000000008</v>
      </c>
      <c r="K85" s="71"/>
      <c r="L85" s="331"/>
    </row>
    <row r="86" spans="1:13" ht="15.75">
      <c r="A86" s="213">
        <v>66</v>
      </c>
      <c r="B86" s="43" t="s">
        <v>515</v>
      </c>
      <c r="C86" s="250">
        <f>+'Sch 4 - 12 Months'!O88</f>
        <v>764.4</v>
      </c>
      <c r="D86" s="232"/>
      <c r="E86" s="361"/>
      <c r="F86" s="232"/>
      <c r="G86" s="361">
        <f t="shared" si="5"/>
        <v>764.4</v>
      </c>
      <c r="H86" s="361"/>
      <c r="I86" s="232"/>
      <c r="J86" s="361">
        <f t="shared" si="4"/>
        <v>764.4</v>
      </c>
      <c r="K86" s="71"/>
      <c r="L86" s="331"/>
    </row>
    <row r="87" spans="1:13" ht="15.75">
      <c r="A87" s="213">
        <v>67</v>
      </c>
      <c r="B87" s="43" t="s">
        <v>16</v>
      </c>
      <c r="C87" s="250">
        <f>+'Sch 4 - 12 Months'!O89</f>
        <v>43527.81</v>
      </c>
      <c r="D87" s="232"/>
      <c r="E87" s="361"/>
      <c r="F87" s="232"/>
      <c r="G87" s="361">
        <f t="shared" si="5"/>
        <v>43527.81</v>
      </c>
      <c r="H87" s="361"/>
      <c r="I87" s="232"/>
      <c r="J87" s="361">
        <f t="shared" si="4"/>
        <v>43527.81</v>
      </c>
      <c r="K87" s="71"/>
      <c r="L87" s="331"/>
    </row>
    <row r="88" spans="1:13" ht="15.75">
      <c r="A88" s="213">
        <v>68</v>
      </c>
      <c r="B88" s="43" t="s">
        <v>516</v>
      </c>
      <c r="C88" s="250">
        <f>+'Sch 4 - 12 Months'!O90</f>
        <v>7121.7800000000007</v>
      </c>
      <c r="D88" s="232"/>
      <c r="E88" s="361"/>
      <c r="F88" s="232"/>
      <c r="G88" s="361">
        <f t="shared" si="5"/>
        <v>7121.7800000000007</v>
      </c>
      <c r="H88" s="361"/>
      <c r="I88" s="232"/>
      <c r="J88" s="361">
        <f t="shared" si="4"/>
        <v>7121.7800000000007</v>
      </c>
      <c r="K88" s="71"/>
      <c r="L88" s="331"/>
    </row>
    <row r="89" spans="1:13" ht="15.75">
      <c r="A89" s="213">
        <v>69</v>
      </c>
      <c r="B89" s="43" t="s">
        <v>517</v>
      </c>
      <c r="C89" s="250">
        <f>+'Sch 4 - 12 Months'!O91</f>
        <v>125</v>
      </c>
      <c r="D89" s="232"/>
      <c r="E89" s="361"/>
      <c r="F89" s="232"/>
      <c r="G89" s="361">
        <f t="shared" ref="G89:G94" si="6">C89+E89+D89</f>
        <v>125</v>
      </c>
      <c r="H89" s="361"/>
      <c r="I89" s="232"/>
      <c r="J89" s="361">
        <f t="shared" si="4"/>
        <v>125</v>
      </c>
      <c r="K89" s="71"/>
      <c r="L89" s="331"/>
    </row>
    <row r="90" spans="1:13" ht="15.75">
      <c r="A90" s="213">
        <v>70</v>
      </c>
      <c r="B90" s="43" t="s">
        <v>22</v>
      </c>
      <c r="C90" s="250">
        <f>+'Sch 4 - 12 Months'!O92</f>
        <v>283.62</v>
      </c>
      <c r="D90" s="232"/>
      <c r="E90" s="361"/>
      <c r="F90" s="232"/>
      <c r="G90" s="361">
        <f t="shared" si="6"/>
        <v>283.62</v>
      </c>
      <c r="H90" s="361"/>
      <c r="I90" s="232"/>
      <c r="J90" s="361">
        <f t="shared" ref="J90:J94" si="7">G90+H90</f>
        <v>283.62</v>
      </c>
      <c r="K90" s="71"/>
      <c r="L90" s="331"/>
    </row>
    <row r="91" spans="1:13" ht="15.75">
      <c r="A91" s="213">
        <v>71</v>
      </c>
      <c r="B91" s="43" t="s">
        <v>57</v>
      </c>
      <c r="C91" s="250">
        <f>+'Sch 4 - 12 Months'!O95</f>
        <v>286105</v>
      </c>
      <c r="D91" s="232"/>
      <c r="E91" s="361">
        <f>+'Sch 1, pg 2 - Restated'!B89</f>
        <v>-29412.775952380878</v>
      </c>
      <c r="F91" s="232" t="s">
        <v>60</v>
      </c>
      <c r="G91" s="361">
        <f t="shared" si="6"/>
        <v>256692.22404761912</v>
      </c>
      <c r="H91" s="361"/>
      <c r="I91" s="232"/>
      <c r="J91" s="361">
        <f t="shared" si="7"/>
        <v>256692.22404761912</v>
      </c>
      <c r="K91" s="71"/>
      <c r="L91" s="331"/>
    </row>
    <row r="92" spans="1:13" ht="15.75">
      <c r="A92" s="213">
        <v>72</v>
      </c>
      <c r="B92" s="48" t="s">
        <v>894</v>
      </c>
      <c r="C92" s="214">
        <f>'Sch 4 - 12 Months'!O93</f>
        <v>360</v>
      </c>
      <c r="D92" s="232"/>
      <c r="E92" s="361"/>
      <c r="F92" s="232"/>
      <c r="G92" s="361"/>
      <c r="H92" s="361"/>
      <c r="I92" s="232"/>
      <c r="J92" s="361">
        <f t="shared" si="7"/>
        <v>0</v>
      </c>
      <c r="K92" s="71"/>
      <c r="L92" s="331"/>
    </row>
    <row r="93" spans="1:13" ht="15.75">
      <c r="A93" s="213">
        <v>73</v>
      </c>
      <c r="B93" s="48" t="s">
        <v>1015</v>
      </c>
      <c r="C93" s="250"/>
      <c r="D93" s="232"/>
      <c r="E93" s="361"/>
      <c r="F93" s="232"/>
      <c r="G93" s="361">
        <f t="shared" si="6"/>
        <v>0</v>
      </c>
      <c r="H93" s="361">
        <f>+'Sch 2, pg 2 - Forecast'!L92</f>
        <v>1927.6500000000003</v>
      </c>
      <c r="I93" s="232" t="s">
        <v>67</v>
      </c>
      <c r="J93" s="361">
        <f t="shared" si="7"/>
        <v>1927.6500000000003</v>
      </c>
      <c r="K93" s="71"/>
      <c r="L93" s="331"/>
    </row>
    <row r="94" spans="1:13" ht="15.75">
      <c r="B94" s="48"/>
      <c r="C94" s="250"/>
      <c r="D94" s="232"/>
      <c r="E94" s="361"/>
      <c r="F94" s="232"/>
      <c r="G94" s="361">
        <f t="shared" si="6"/>
        <v>0</v>
      </c>
      <c r="H94" s="361"/>
      <c r="I94" s="232"/>
      <c r="J94" s="361">
        <f t="shared" si="7"/>
        <v>0</v>
      </c>
      <c r="K94" s="71"/>
    </row>
    <row r="95" spans="1:13" ht="15.75">
      <c r="B95" s="217" t="s">
        <v>26</v>
      </c>
      <c r="C95" s="216">
        <f>SUM(C31:C94)</f>
        <v>4826329.2300000023</v>
      </c>
      <c r="D95" s="251">
        <f>SUM(D31:D94)</f>
        <v>0</v>
      </c>
      <c r="E95" s="251">
        <f>SUM(E31:E94)</f>
        <v>-423886.96595238091</v>
      </c>
      <c r="F95" s="251"/>
      <c r="G95" s="251">
        <f>SUM(G31:G94)</f>
        <v>4402082.264047619</v>
      </c>
      <c r="H95" s="251">
        <f>SUM(H31:H94)</f>
        <v>280170.93462394894</v>
      </c>
      <c r="I95" s="251"/>
      <c r="J95" s="251">
        <f>SUM(J31:J94)</f>
        <v>4682253.19867157</v>
      </c>
      <c r="K95" s="251">
        <f>SUM(K31:K94)</f>
        <v>0</v>
      </c>
      <c r="M95" s="342"/>
    </row>
    <row r="96" spans="1:13" ht="15.75">
      <c r="B96" s="42"/>
      <c r="C96" s="214"/>
      <c r="D96" s="232"/>
      <c r="E96" s="361"/>
      <c r="F96" s="232"/>
      <c r="G96" s="361"/>
      <c r="H96" s="361"/>
      <c r="I96" s="232"/>
      <c r="J96" s="361"/>
    </row>
    <row r="97" spans="2:12" ht="15.75">
      <c r="B97" s="42"/>
      <c r="C97" s="214"/>
      <c r="D97" s="232"/>
      <c r="E97" s="361"/>
      <c r="F97" s="232"/>
      <c r="G97" s="361"/>
      <c r="H97" s="361"/>
      <c r="I97" s="232"/>
      <c r="J97" s="361"/>
    </row>
    <row r="98" spans="2:12">
      <c r="B98" s="52" t="s">
        <v>28</v>
      </c>
      <c r="C98" s="250">
        <f>C27-C95</f>
        <v>170786.76999999862</v>
      </c>
      <c r="D98" s="361">
        <f>D27-D95</f>
        <v>0</v>
      </c>
      <c r="E98" s="361">
        <f>E27-E95</f>
        <v>-8659.874047619116</v>
      </c>
      <c r="F98" s="232"/>
      <c r="G98" s="361">
        <f>G27-G95</f>
        <v>162486.89595238119</v>
      </c>
      <c r="H98" s="361"/>
      <c r="I98" s="232"/>
      <c r="J98" s="361">
        <f>J27-J95</f>
        <v>-61680.89621873945</v>
      </c>
    </row>
    <row r="99" spans="2:12">
      <c r="B99" s="52" t="s">
        <v>559</v>
      </c>
      <c r="C99" s="214"/>
      <c r="D99" s="232"/>
      <c r="E99" s="361"/>
      <c r="F99" s="232"/>
      <c r="G99" s="361"/>
      <c r="H99" s="361"/>
      <c r="I99" s="232"/>
      <c r="J99" s="361"/>
    </row>
    <row r="100" spans="2:12">
      <c r="B100" s="52" t="s">
        <v>527</v>
      </c>
      <c r="C100" s="250">
        <v>0</v>
      </c>
      <c r="D100" s="232"/>
      <c r="E100" s="380"/>
      <c r="F100" s="232"/>
      <c r="G100" s="361">
        <f>C100+E100+D100</f>
        <v>0</v>
      </c>
      <c r="H100" s="361"/>
      <c r="I100" s="232"/>
      <c r="J100" s="361">
        <f>G100+H100</f>
        <v>0</v>
      </c>
      <c r="K100" s="71"/>
      <c r="L100" s="331"/>
    </row>
    <row r="101" spans="2:12">
      <c r="B101" s="52" t="s">
        <v>371</v>
      </c>
      <c r="C101" s="250">
        <f>-'Sch 4 - 12 Months'!O62</f>
        <v>-80059</v>
      </c>
      <c r="D101" s="232"/>
      <c r="E101" s="361"/>
      <c r="F101" s="232"/>
      <c r="G101" s="361">
        <f>C101+E101+D101</f>
        <v>-80059</v>
      </c>
      <c r="H101" s="361"/>
      <c r="I101" s="232"/>
      <c r="J101" s="361">
        <f>G101+H101</f>
        <v>-80059</v>
      </c>
      <c r="K101" s="71"/>
      <c r="L101" s="331"/>
    </row>
    <row r="102" spans="2:12">
      <c r="B102" s="52" t="s">
        <v>529</v>
      </c>
      <c r="C102" s="250">
        <f>-'Sch 4 - 12 Months'!O63</f>
        <v>-17125</v>
      </c>
      <c r="D102" s="214"/>
      <c r="E102" s="361"/>
      <c r="F102" s="232"/>
      <c r="G102" s="361">
        <f>C102+E102+D102</f>
        <v>-17125</v>
      </c>
      <c r="H102" s="361"/>
      <c r="I102" s="232"/>
      <c r="J102" s="361">
        <f>G102+H102</f>
        <v>-17125</v>
      </c>
      <c r="K102" s="71"/>
      <c r="L102" s="331"/>
    </row>
    <row r="103" spans="2:12">
      <c r="B103" s="52" t="s">
        <v>530</v>
      </c>
      <c r="C103" s="250">
        <f>-'Sch 4 - 12 Months'!O64</f>
        <v>51834</v>
      </c>
      <c r="D103" s="214"/>
      <c r="E103" s="361"/>
      <c r="F103" s="232"/>
      <c r="G103" s="361">
        <f>C103+E103+D103</f>
        <v>51834</v>
      </c>
      <c r="H103" s="361"/>
      <c r="I103" s="232"/>
      <c r="J103" s="361">
        <f>G103+H103</f>
        <v>51834</v>
      </c>
      <c r="K103" s="71"/>
      <c r="L103" s="331"/>
    </row>
    <row r="104" spans="2:12">
      <c r="B104" s="52" t="s">
        <v>125</v>
      </c>
      <c r="C104" s="214">
        <f>-'Sch 4 - 12 Months'!O94</f>
        <v>-31179.31</v>
      </c>
      <c r="D104" s="214">
        <v>1194.1300000000001</v>
      </c>
      <c r="E104" s="361"/>
      <c r="F104" s="232" t="s">
        <v>76</v>
      </c>
      <c r="G104" s="361">
        <f t="shared" ref="G104:G107" si="8">C104+E104+D104</f>
        <v>-29985.18</v>
      </c>
      <c r="H104" s="361"/>
      <c r="I104" s="232"/>
      <c r="J104" s="361">
        <f t="shared" ref="J104:J107" si="9">G104+H104</f>
        <v>-29985.18</v>
      </c>
    </row>
    <row r="105" spans="2:12">
      <c r="B105" s="52" t="s">
        <v>312</v>
      </c>
      <c r="C105" s="214">
        <f>-'Sch 4 - 12 Months'!O96</f>
        <v>500</v>
      </c>
      <c r="D105" s="214"/>
      <c r="E105" s="361"/>
      <c r="F105" s="232"/>
      <c r="G105" s="361">
        <f t="shared" si="8"/>
        <v>500</v>
      </c>
      <c r="H105" s="361"/>
      <c r="I105" s="232"/>
      <c r="J105" s="361">
        <f t="shared" si="9"/>
        <v>500</v>
      </c>
    </row>
    <row r="106" spans="2:12">
      <c r="B106" s="52" t="s">
        <v>535</v>
      </c>
      <c r="C106" s="214">
        <f>+'Sch 4 - 12 Months'!Q104</f>
        <v>15330.94</v>
      </c>
      <c r="D106" s="214"/>
      <c r="E106" s="361"/>
      <c r="F106" s="232"/>
      <c r="G106" s="361">
        <f t="shared" si="8"/>
        <v>15330.94</v>
      </c>
      <c r="H106" s="361"/>
      <c r="I106" s="232"/>
      <c r="J106" s="361">
        <f t="shared" si="9"/>
        <v>15330.94</v>
      </c>
    </row>
    <row r="107" spans="2:12">
      <c r="B107" s="52" t="s">
        <v>313</v>
      </c>
      <c r="C107" s="499">
        <f>+'Sch 4 - 12 Months'!Q105</f>
        <v>12705.84</v>
      </c>
      <c r="D107" s="214">
        <v>-1194.1300000000001</v>
      </c>
      <c r="E107" s="361"/>
      <c r="F107" s="232" t="s">
        <v>76</v>
      </c>
      <c r="G107" s="776">
        <f t="shared" si="8"/>
        <v>11511.71</v>
      </c>
      <c r="H107" s="361"/>
      <c r="I107" s="232"/>
      <c r="J107" s="776">
        <f t="shared" si="9"/>
        <v>11511.71</v>
      </c>
    </row>
    <row r="108" spans="2:12">
      <c r="B108" s="52" t="s">
        <v>314</v>
      </c>
      <c r="C108" s="214">
        <f>SUM(C98:C107)</f>
        <v>122794.23999999862</v>
      </c>
      <c r="D108" s="214"/>
      <c r="E108" s="361"/>
      <c r="F108" s="232"/>
      <c r="G108" s="214">
        <f>SUM(G98:G107)</f>
        <v>114494.36595238119</v>
      </c>
      <c r="H108" s="361"/>
      <c r="I108" s="232"/>
      <c r="J108" s="214">
        <f>SUM(J98:J107)</f>
        <v>-109673.42621873945</v>
      </c>
    </row>
    <row r="109" spans="2:12">
      <c r="B109" s="52" t="s">
        <v>46</v>
      </c>
      <c r="C109" s="218">
        <f>C95/C27</f>
        <v>0.96582293266756292</v>
      </c>
      <c r="D109" s="375"/>
      <c r="E109" s="362"/>
      <c r="F109" s="375"/>
      <c r="G109" s="362">
        <f>G95/G27</f>
        <v>0.96440257771176341</v>
      </c>
      <c r="H109" s="362"/>
      <c r="I109" s="375"/>
      <c r="J109" s="362">
        <f>J95/J27</f>
        <v>1.0133491897066509</v>
      </c>
    </row>
    <row r="110" spans="2:12">
      <c r="B110" s="52"/>
      <c r="C110" s="214"/>
      <c r="D110" s="222"/>
      <c r="E110" s="250"/>
      <c r="F110" s="222"/>
      <c r="G110" s="214"/>
      <c r="H110" s="214"/>
      <c r="I110" s="222"/>
      <c r="J110" s="214"/>
    </row>
    <row r="111" spans="2:12">
      <c r="B111" s="52" t="s">
        <v>1027</v>
      </c>
      <c r="C111" s="214"/>
      <c r="D111" s="222"/>
      <c r="E111" s="250"/>
      <c r="F111" s="222"/>
      <c r="G111" s="214"/>
      <c r="H111" s="214"/>
      <c r="I111" s="222"/>
      <c r="J111" s="214"/>
    </row>
    <row r="112" spans="2:12">
      <c r="B112" s="52"/>
      <c r="C112" s="214"/>
      <c r="D112" s="222"/>
      <c r="E112" s="250"/>
      <c r="F112" s="222"/>
      <c r="G112" s="214"/>
      <c r="H112" s="214"/>
      <c r="I112" s="222"/>
      <c r="J112" s="214"/>
    </row>
    <row r="113" spans="2:10" ht="15.75">
      <c r="B113" s="42" t="s">
        <v>285</v>
      </c>
      <c r="C113" s="214"/>
      <c r="D113" s="222"/>
      <c r="E113" s="250"/>
      <c r="F113" s="222"/>
      <c r="G113" s="214"/>
      <c r="H113" s="214"/>
      <c r="I113" s="222"/>
      <c r="J113" s="214"/>
    </row>
    <row r="114" spans="2:10" ht="15.75">
      <c r="B114" s="42" t="s">
        <v>286</v>
      </c>
      <c r="C114" s="214"/>
      <c r="D114" s="222"/>
      <c r="E114" s="250"/>
      <c r="F114" s="222"/>
      <c r="G114" s="214"/>
      <c r="H114" s="214"/>
      <c r="I114" s="222"/>
      <c r="J114" s="214"/>
    </row>
    <row r="115" spans="2:10" ht="15.75">
      <c r="B115" s="42" t="s">
        <v>315</v>
      </c>
    </row>
  </sheetData>
  <mergeCells count="4">
    <mergeCell ref="B1:J1"/>
    <mergeCell ref="B3:J3"/>
    <mergeCell ref="B5:J5"/>
    <mergeCell ref="B6:J6"/>
  </mergeCells>
  <phoneticPr fontId="176" type="noConversion"/>
  <printOptions horizontalCentered="1"/>
  <pageMargins left="0.7" right="0.7" top="0.75" bottom="0.75" header="0.3" footer="0.3"/>
  <pageSetup scale="69" fitToHeight="0" orientation="landscape" horizontalDpi="300" verticalDpi="300" r:id="rId1"/>
  <rowBreaks count="2" manualBreakCount="2">
    <brk id="45" max="9" man="1"/>
    <brk id="8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0"/>
  <sheetViews>
    <sheetView zoomScaleNormal="100" workbookViewId="0">
      <selection activeCell="L9" sqref="L9"/>
    </sheetView>
  </sheetViews>
  <sheetFormatPr defaultRowHeight="15.75"/>
  <cols>
    <col min="1" max="1" width="5.77734375" style="1" customWidth="1"/>
    <col min="2" max="8" width="7.77734375" style="1" customWidth="1"/>
    <col min="9" max="9" width="16.109375" style="1" customWidth="1"/>
    <col min="10" max="11" width="8.88671875" style="1"/>
    <col min="12" max="12" width="9.88671875" style="1" customWidth="1"/>
    <col min="13" max="16384" width="8.88671875" style="1"/>
  </cols>
  <sheetData>
    <row r="1" spans="1:14" ht="16.5">
      <c r="A1" s="993" t="s">
        <v>434</v>
      </c>
      <c r="B1" s="993"/>
      <c r="C1" s="993"/>
      <c r="D1" s="993"/>
      <c r="E1" s="993"/>
      <c r="F1" s="993"/>
      <c r="G1" s="993"/>
      <c r="H1" s="993"/>
      <c r="I1" s="993"/>
    </row>
    <row r="2" spans="1:14">
      <c r="A2" s="6"/>
      <c r="B2" s="6"/>
      <c r="C2" s="6"/>
      <c r="D2" s="6"/>
      <c r="E2" s="6"/>
      <c r="F2" s="6"/>
      <c r="G2" s="6"/>
      <c r="H2" s="6"/>
      <c r="I2" s="6"/>
    </row>
    <row r="3" spans="1:14" ht="16.5">
      <c r="A3" s="993" t="s">
        <v>158</v>
      </c>
      <c r="B3" s="993"/>
      <c r="C3" s="993"/>
      <c r="D3" s="993"/>
      <c r="E3" s="993"/>
      <c r="F3" s="993"/>
      <c r="G3" s="993"/>
      <c r="H3" s="993"/>
      <c r="I3" s="993"/>
    </row>
    <row r="4" spans="1:14">
      <c r="A4" s="6"/>
      <c r="B4" s="6"/>
      <c r="C4" s="6"/>
      <c r="D4" s="6"/>
      <c r="E4" s="6"/>
      <c r="F4" s="6"/>
      <c r="G4" s="6"/>
      <c r="H4" s="6"/>
      <c r="I4" s="6"/>
    </row>
    <row r="5" spans="1:14" ht="16.5">
      <c r="A5" s="993" t="s">
        <v>832</v>
      </c>
      <c r="B5" s="993"/>
      <c r="C5" s="993"/>
      <c r="D5" s="993"/>
      <c r="E5" s="993"/>
      <c r="F5" s="993"/>
      <c r="G5" s="993"/>
      <c r="H5" s="993"/>
      <c r="I5" s="993"/>
    </row>
    <row r="6" spans="1:14">
      <c r="A6" s="6"/>
      <c r="B6" s="6"/>
      <c r="C6" s="6"/>
      <c r="D6" s="862"/>
      <c r="E6" s="6"/>
      <c r="F6" s="6"/>
      <c r="G6" s="6"/>
      <c r="H6" s="6"/>
      <c r="I6" s="6"/>
    </row>
    <row r="7" spans="1:14" ht="109.5" customHeight="1">
      <c r="A7" s="996" t="s">
        <v>965</v>
      </c>
      <c r="B7" s="996"/>
      <c r="C7" s="996"/>
      <c r="D7" s="996"/>
      <c r="E7" s="996"/>
      <c r="F7" s="996"/>
      <c r="G7" s="996"/>
      <c r="H7" s="996"/>
      <c r="I7" s="996"/>
      <c r="K7" s="163"/>
      <c r="L7" s="164"/>
      <c r="M7" s="163"/>
    </row>
    <row r="8" spans="1:14" ht="12.95" customHeight="1">
      <c r="A8" s="6"/>
      <c r="B8" s="6"/>
      <c r="C8" s="6"/>
      <c r="D8" s="863"/>
      <c r="E8" s="6"/>
      <c r="F8" s="6"/>
      <c r="G8" s="6"/>
      <c r="H8" s="6"/>
      <c r="I8" s="6"/>
    </row>
    <row r="9" spans="1:14" ht="86.25" customHeight="1">
      <c r="A9" s="997" t="s">
        <v>964</v>
      </c>
      <c r="B9" s="997"/>
      <c r="C9" s="997"/>
      <c r="D9" s="997"/>
      <c r="E9" s="997"/>
      <c r="F9" s="997"/>
      <c r="G9" s="997"/>
      <c r="H9" s="997"/>
      <c r="I9" s="997"/>
      <c r="K9" s="163"/>
      <c r="L9" s="165"/>
      <c r="M9" s="163"/>
      <c r="N9" s="165"/>
    </row>
    <row r="10" spans="1:14" ht="18.75">
      <c r="A10" s="6"/>
      <c r="D10" s="57"/>
    </row>
  </sheetData>
  <mergeCells count="5">
    <mergeCell ref="A7:I7"/>
    <mergeCell ref="A9:I9"/>
    <mergeCell ref="A1:I1"/>
    <mergeCell ref="A3:I3"/>
    <mergeCell ref="A5:I5"/>
  </mergeCells>
  <printOptions horizontalCentered="1"/>
  <pageMargins left="0.9" right="0.7" top="0.75" bottom="0.5" header="0" footer="0.25"/>
  <pageSetup scale="86" orientation="portrait"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51"/>
  <sheetViews>
    <sheetView topLeftCell="A26" zoomScaleNormal="100" workbookViewId="0">
      <selection activeCell="G52" sqref="G52"/>
    </sheetView>
  </sheetViews>
  <sheetFormatPr defaultColWidth="8" defaultRowHeight="15.75"/>
  <cols>
    <col min="1" max="1" width="5.77734375" style="17" customWidth="1"/>
    <col min="2" max="2" width="26.21875" style="7" bestFit="1" customWidth="1"/>
    <col min="3" max="3" width="18.44140625" style="7" customWidth="1"/>
    <col min="4" max="4" width="10.6640625" style="7" bestFit="1" customWidth="1"/>
    <col min="5" max="5" width="11.5546875" style="7" bestFit="1" customWidth="1"/>
    <col min="6" max="6" width="9.44140625" style="7" customWidth="1"/>
    <col min="7" max="7" width="6.5546875" style="7" customWidth="1"/>
    <col min="8" max="8" width="3.109375" style="7" customWidth="1"/>
    <col min="9" max="9" width="2.109375" style="7" customWidth="1"/>
    <col min="10" max="10" width="9.6640625" style="225" customWidth="1"/>
    <col min="11" max="11" width="8" style="7"/>
    <col min="12" max="12" width="9" style="7" bestFit="1" customWidth="1"/>
    <col min="13" max="16384" width="8" style="7"/>
  </cols>
  <sheetData>
    <row r="1" spans="1:10" ht="16.5" customHeight="1">
      <c r="A1" s="1003" t="str">
        <f>+Assumptions!A1</f>
        <v>Pullman Disposal Services, Inc.</v>
      </c>
      <c r="B1" s="1004"/>
      <c r="C1" s="1004"/>
      <c r="D1" s="1004"/>
      <c r="E1" s="1004"/>
      <c r="F1" s="1004"/>
      <c r="G1" s="1004"/>
      <c r="H1" s="1004"/>
      <c r="I1" s="1004"/>
    </row>
    <row r="2" spans="1:10" ht="13.5" customHeight="1">
      <c r="A2" s="1004"/>
      <c r="B2" s="1004"/>
      <c r="C2" s="1004"/>
      <c r="D2" s="1004"/>
      <c r="E2" s="1004"/>
      <c r="F2" s="1004"/>
      <c r="G2" s="1004"/>
      <c r="H2" s="1004"/>
      <c r="I2" s="1004"/>
    </row>
    <row r="3" spans="1:10" ht="16.5">
      <c r="A3" s="1004" t="s">
        <v>130</v>
      </c>
      <c r="B3" s="1004"/>
      <c r="C3" s="1004"/>
      <c r="D3" s="1004"/>
      <c r="E3" s="1004"/>
      <c r="F3" s="1004"/>
      <c r="G3" s="1004"/>
      <c r="H3" s="1004"/>
      <c r="I3" s="1004"/>
    </row>
    <row r="4" spans="1:10" ht="15.75" customHeight="1">
      <c r="A4" s="75"/>
      <c r="B4" s="75"/>
      <c r="C4" s="75"/>
      <c r="D4" s="75"/>
      <c r="E4" s="75"/>
      <c r="F4" s="75"/>
      <c r="G4" s="75"/>
      <c r="H4" s="75"/>
      <c r="I4" s="75"/>
    </row>
    <row r="5" spans="1:10" ht="15.75" customHeight="1">
      <c r="A5" s="1005" t="str">
        <f>'Fly Sheet'!$A$20</f>
        <v>For the Twelve Months Ended December 31, 2018 Historical and December 31, 2020 Forecasted</v>
      </c>
      <c r="B5" s="1006"/>
      <c r="C5" s="1006"/>
      <c r="D5" s="1006"/>
      <c r="E5" s="1006"/>
      <c r="F5" s="1006"/>
      <c r="G5" s="1006"/>
      <c r="H5" s="1006"/>
      <c r="I5" s="1006"/>
    </row>
    <row r="6" spans="1:10" ht="15.75" customHeight="1">
      <c r="A6" s="1005"/>
      <c r="B6" s="1006"/>
      <c r="C6" s="1006"/>
      <c r="D6" s="1006"/>
      <c r="E6" s="1006"/>
      <c r="F6" s="1006"/>
      <c r="G6" s="1006"/>
      <c r="H6" s="1006"/>
      <c r="I6" s="1006"/>
    </row>
    <row r="7" spans="1:10" s="16" customFormat="1" ht="15.75" customHeight="1">
      <c r="B7" s="76"/>
      <c r="C7" s="76"/>
      <c r="D7" s="76"/>
      <c r="E7" s="76"/>
      <c r="F7" s="76"/>
      <c r="G7" s="76"/>
      <c r="H7" s="76"/>
      <c r="I7" s="76"/>
      <c r="J7" s="225"/>
    </row>
    <row r="8" spans="1:10" s="16" customFormat="1" ht="39.75" customHeight="1">
      <c r="A8" s="354" t="s">
        <v>60</v>
      </c>
      <c r="B8" s="1001" t="s">
        <v>287</v>
      </c>
      <c r="C8" s="1002"/>
      <c r="D8" s="1002"/>
      <c r="E8" s="1002"/>
      <c r="F8" s="1002"/>
      <c r="G8" s="1002"/>
      <c r="H8" s="1002"/>
      <c r="I8" s="1002"/>
      <c r="J8" s="226"/>
    </row>
    <row r="9" spans="1:10" s="16" customFormat="1" ht="33" customHeight="1">
      <c r="A9" s="354" t="s">
        <v>61</v>
      </c>
      <c r="B9" s="1001" t="s">
        <v>847</v>
      </c>
      <c r="C9" s="1002"/>
      <c r="D9" s="1002"/>
      <c r="E9" s="1002"/>
      <c r="F9" s="1002"/>
      <c r="G9" s="1002"/>
      <c r="H9" s="1002"/>
      <c r="I9" s="1002"/>
      <c r="J9" s="225"/>
    </row>
    <row r="10" spans="1:10" s="16" customFormat="1" ht="27.75" customHeight="1">
      <c r="A10" s="363" t="s">
        <v>62</v>
      </c>
      <c r="B10" s="1001"/>
      <c r="C10" s="1002"/>
      <c r="D10" s="1002"/>
      <c r="E10" s="1002"/>
      <c r="F10" s="1002"/>
      <c r="G10" s="1002"/>
      <c r="H10" s="1002"/>
      <c r="I10" s="1002"/>
      <c r="J10" s="225"/>
    </row>
    <row r="11" spans="1:10" s="16" customFormat="1" ht="24.75" customHeight="1">
      <c r="A11" s="354" t="s">
        <v>63</v>
      </c>
      <c r="B11" s="1001" t="s">
        <v>907</v>
      </c>
      <c r="C11" s="1002"/>
      <c r="D11" s="1002"/>
      <c r="E11" s="1002"/>
      <c r="F11" s="1002"/>
      <c r="G11" s="1002"/>
      <c r="H11" s="1002"/>
      <c r="I11" s="1002"/>
      <c r="J11" s="225"/>
    </row>
    <row r="12" spans="1:10" s="16" customFormat="1" ht="38.25" customHeight="1">
      <c r="A12" s="377" t="s">
        <v>64</v>
      </c>
      <c r="B12" s="1007" t="s">
        <v>865</v>
      </c>
      <c r="C12" s="1007"/>
      <c r="D12" s="1007"/>
      <c r="E12" s="1007"/>
      <c r="F12" s="1007"/>
      <c r="G12" s="1007"/>
      <c r="H12" s="1007"/>
      <c r="I12" s="1007"/>
      <c r="J12" s="225"/>
    </row>
    <row r="13" spans="1:10" s="16" customFormat="1" ht="73.5" customHeight="1">
      <c r="A13" s="354" t="s">
        <v>65</v>
      </c>
      <c r="B13" s="1001" t="s">
        <v>896</v>
      </c>
      <c r="C13" s="1002"/>
      <c r="D13" s="1002"/>
      <c r="E13" s="1002"/>
      <c r="F13" s="1002"/>
      <c r="G13" s="1002"/>
      <c r="H13" s="1002"/>
      <c r="I13" s="1002"/>
      <c r="J13" s="475"/>
    </row>
    <row r="14" spans="1:10" ht="21" customHeight="1">
      <c r="A14" s="354" t="s">
        <v>66</v>
      </c>
      <c r="B14" s="999" t="s">
        <v>940</v>
      </c>
      <c r="C14" s="1000"/>
      <c r="D14" s="1000"/>
      <c r="E14" s="1000"/>
      <c r="F14" s="1000"/>
      <c r="G14" s="1000"/>
      <c r="H14" s="1000"/>
      <c r="I14" s="1000"/>
      <c r="J14" s="226"/>
    </row>
    <row r="15" spans="1:10" ht="39" customHeight="1">
      <c r="A15" s="354" t="s">
        <v>292</v>
      </c>
      <c r="B15" s="998" t="s">
        <v>944</v>
      </c>
      <c r="C15" s="998"/>
      <c r="D15" s="998"/>
      <c r="E15" s="998"/>
      <c r="F15" s="998"/>
      <c r="G15" s="998"/>
      <c r="H15" s="998"/>
      <c r="I15" s="998"/>
      <c r="J15" s="226"/>
    </row>
    <row r="16" spans="1:10" ht="21" customHeight="1">
      <c r="A16" s="354" t="s">
        <v>293</v>
      </c>
      <c r="B16" s="999" t="s">
        <v>1016</v>
      </c>
      <c r="C16" s="1000"/>
      <c r="D16" s="1000"/>
      <c r="E16" s="1000"/>
      <c r="F16" s="1000"/>
      <c r="G16" s="1000"/>
      <c r="H16" s="1000"/>
      <c r="I16" s="1000"/>
      <c r="J16" s="226"/>
    </row>
    <row r="17" spans="1:12" ht="9.75" customHeight="1">
      <c r="A17" s="354"/>
      <c r="B17" s="471"/>
      <c r="C17" s="472"/>
      <c r="D17" s="472"/>
      <c r="E17" s="472"/>
      <c r="F17" s="472"/>
      <c r="G17" s="472"/>
      <c r="H17" s="472"/>
      <c r="I17" s="472"/>
      <c r="J17" s="226"/>
    </row>
    <row r="18" spans="1:12">
      <c r="A18" s="469" t="s">
        <v>291</v>
      </c>
      <c r="H18" s="230"/>
      <c r="I18" s="228"/>
    </row>
    <row r="19" spans="1:12">
      <c r="A19" s="455" t="s">
        <v>64</v>
      </c>
      <c r="B19" s="470" t="s">
        <v>15</v>
      </c>
      <c r="C19" s="228"/>
      <c r="D19" s="228"/>
      <c r="E19" s="230"/>
      <c r="F19" s="230"/>
      <c r="G19" s="230"/>
      <c r="H19" s="230"/>
      <c r="I19" s="228"/>
    </row>
    <row r="20" spans="1:12">
      <c r="B20" s="377" t="s">
        <v>866</v>
      </c>
      <c r="C20" s="376">
        <v>10936.5</v>
      </c>
      <c r="D20" s="377"/>
      <c r="G20" s="228"/>
      <c r="H20" s="228"/>
      <c r="I20" s="228"/>
      <c r="L20" s="482"/>
    </row>
    <row r="21" spans="1:12">
      <c r="B21" s="377" t="s">
        <v>867</v>
      </c>
      <c r="C21" s="376">
        <f>+C20*11</f>
        <v>120301.5</v>
      </c>
      <c r="D21" s="229"/>
      <c r="L21" s="482"/>
    </row>
    <row r="22" spans="1:12">
      <c r="B22" s="377" t="s">
        <v>868</v>
      </c>
      <c r="C22" s="376">
        <f>+C20</f>
        <v>10936.5</v>
      </c>
      <c r="D22" s="229"/>
      <c r="E22" s="377"/>
      <c r="L22" s="482"/>
    </row>
    <row r="23" spans="1:12">
      <c r="B23" s="482" t="s">
        <v>0</v>
      </c>
      <c r="C23" s="438">
        <f>+C22+C21</f>
        <v>131238</v>
      </c>
      <c r="D23" s="377" t="s">
        <v>869</v>
      </c>
      <c r="L23" s="482"/>
    </row>
    <row r="24" spans="1:12" ht="16.5" thickBot="1">
      <c r="B24" s="484" t="s">
        <v>129</v>
      </c>
      <c r="C24" s="485">
        <f>+C23-C21</f>
        <v>10936.5</v>
      </c>
      <c r="L24" s="483"/>
    </row>
    <row r="25" spans="1:12" ht="16.5" thickTop="1">
      <c r="B25" s="483"/>
      <c r="C25" s="500"/>
      <c r="L25" s="483"/>
    </row>
    <row r="26" spans="1:12">
      <c r="A26" s="769" t="s">
        <v>66</v>
      </c>
      <c r="B26" s="482" t="s">
        <v>917</v>
      </c>
      <c r="C26" s="501">
        <v>10874.61</v>
      </c>
      <c r="D26" s="466"/>
      <c r="E26" s="466"/>
      <c r="F26" s="466"/>
      <c r="L26" s="483"/>
    </row>
    <row r="27" spans="1:12">
      <c r="A27" s="770"/>
      <c r="B27" s="482" t="s">
        <v>914</v>
      </c>
      <c r="C27" s="501">
        <v>45</v>
      </c>
      <c r="D27" s="482"/>
      <c r="E27" s="466"/>
      <c r="F27" s="466"/>
      <c r="L27" s="483"/>
    </row>
    <row r="28" spans="1:12">
      <c r="A28" s="770"/>
      <c r="B28" s="482" t="s">
        <v>914</v>
      </c>
      <c r="C28" s="501">
        <v>12672.19</v>
      </c>
      <c r="D28" s="466"/>
      <c r="E28" s="466"/>
      <c r="F28" s="466"/>
      <c r="L28" s="483"/>
    </row>
    <row r="29" spans="1:12">
      <c r="A29" s="770"/>
      <c r="B29" s="482" t="s">
        <v>915</v>
      </c>
      <c r="C29" s="501">
        <v>11791.06</v>
      </c>
      <c r="D29" s="466"/>
      <c r="E29" s="771"/>
      <c r="F29" s="772"/>
      <c r="G29" s="378"/>
    </row>
    <row r="30" spans="1:12">
      <c r="A30" s="770"/>
      <c r="B30" s="482" t="s">
        <v>916</v>
      </c>
      <c r="C30" s="788">
        <v>14208.19</v>
      </c>
      <c r="D30" s="466"/>
      <c r="E30" s="771"/>
      <c r="F30" s="772"/>
      <c r="G30" s="378"/>
    </row>
    <row r="31" spans="1:12">
      <c r="A31" s="769"/>
      <c r="B31" s="482" t="s">
        <v>1020</v>
      </c>
      <c r="C31" s="501">
        <f>SUM(C26:C30)</f>
        <v>49591.05</v>
      </c>
      <c r="D31" s="466"/>
      <c r="E31" s="466"/>
      <c r="F31" s="466"/>
    </row>
    <row r="32" spans="1:12">
      <c r="A32" s="770"/>
      <c r="B32" s="482" t="s">
        <v>910</v>
      </c>
      <c r="C32" s="789">
        <v>-9076.56</v>
      </c>
      <c r="D32" s="486"/>
      <c r="E32" s="465"/>
      <c r="F32" s="466"/>
    </row>
    <row r="33" spans="1:7">
      <c r="A33" s="770"/>
      <c r="B33" s="482" t="s">
        <v>911</v>
      </c>
      <c r="C33" s="790">
        <f>+C31+C32</f>
        <v>40514.490000000005</v>
      </c>
      <c r="D33" s="465"/>
      <c r="E33" s="465"/>
      <c r="F33" s="466"/>
    </row>
    <row r="34" spans="1:7">
      <c r="A34" s="770"/>
      <c r="B34" s="791" t="s">
        <v>919</v>
      </c>
      <c r="C34" s="792">
        <f>+'IS-PBC'!O121</f>
        <v>29678.21</v>
      </c>
      <c r="D34" s="468"/>
      <c r="E34" s="465"/>
      <c r="F34" s="466"/>
    </row>
    <row r="35" spans="1:7">
      <c r="A35" s="770"/>
      <c r="B35" s="482" t="s">
        <v>912</v>
      </c>
      <c r="C35" s="501">
        <f>+C33-C34</f>
        <v>10836.280000000006</v>
      </c>
      <c r="D35" s="466"/>
      <c r="E35" s="466"/>
      <c r="F35" s="466"/>
    </row>
    <row r="36" spans="1:7">
      <c r="A36" s="769"/>
      <c r="B36" s="483"/>
      <c r="C36" s="466"/>
      <c r="D36" s="466"/>
      <c r="E36" s="466"/>
      <c r="F36" s="466"/>
    </row>
    <row r="37" spans="1:7" ht="15.75" customHeight="1">
      <c r="A37" s="770"/>
      <c r="B37" s="773"/>
      <c r="C37" s="478"/>
      <c r="D37" s="478"/>
      <c r="E37" s="466"/>
      <c r="F37" s="466"/>
    </row>
    <row r="38" spans="1:7">
      <c r="A38" s="770"/>
      <c r="B38" s="482" t="s">
        <v>913</v>
      </c>
      <c r="C38" s="501">
        <v>191.57</v>
      </c>
      <c r="D38" s="466"/>
      <c r="E38" s="466"/>
      <c r="F38" s="466"/>
    </row>
    <row r="39" spans="1:7">
      <c r="A39" s="769"/>
      <c r="B39" s="482" t="s">
        <v>914</v>
      </c>
      <c r="C39" s="501">
        <v>231.58</v>
      </c>
      <c r="D39" s="466"/>
      <c r="E39" s="466"/>
      <c r="F39" s="466"/>
    </row>
    <row r="40" spans="1:7">
      <c r="A40" s="770"/>
      <c r="B40" s="482" t="s">
        <v>915</v>
      </c>
      <c r="C40" s="501">
        <v>193.32</v>
      </c>
      <c r="D40" s="486"/>
      <c r="E40" s="466"/>
      <c r="F40" s="466"/>
    </row>
    <row r="41" spans="1:7">
      <c r="A41" s="770"/>
      <c r="B41" s="482" t="s">
        <v>916</v>
      </c>
      <c r="C41" s="788">
        <v>175.16</v>
      </c>
      <c r="D41" s="465"/>
      <c r="E41" s="466"/>
      <c r="F41" s="466"/>
    </row>
    <row r="42" spans="1:7">
      <c r="A42" s="770"/>
      <c r="B42" s="482" t="s">
        <v>1019</v>
      </c>
      <c r="C42" s="501">
        <f>SUM(C38:C41)</f>
        <v>791.63</v>
      </c>
      <c r="D42" s="468"/>
      <c r="E42" s="467"/>
      <c r="F42" s="466"/>
    </row>
    <row r="43" spans="1:7">
      <c r="A43" s="770"/>
      <c r="B43" s="482" t="s">
        <v>919</v>
      </c>
      <c r="C43" s="788">
        <f>+'IS-PBC'!O82</f>
        <v>646.07000000000005</v>
      </c>
      <c r="D43" s="466"/>
      <c r="E43" s="466"/>
      <c r="F43" s="466"/>
    </row>
    <row r="44" spans="1:7">
      <c r="A44" s="468"/>
      <c r="B44" s="482" t="s">
        <v>912</v>
      </c>
      <c r="C44" s="501">
        <f>+C42-C43</f>
        <v>145.55999999999995</v>
      </c>
    </row>
    <row r="45" spans="1:7">
      <c r="C45" s="501"/>
    </row>
    <row r="46" spans="1:7">
      <c r="B46" s="377" t="s">
        <v>918</v>
      </c>
      <c r="C46" s="7">
        <v>1034.79</v>
      </c>
    </row>
    <row r="47" spans="1:7">
      <c r="B47" s="377" t="s">
        <v>919</v>
      </c>
      <c r="C47" s="787">
        <f>+'IS-PBC'!O123</f>
        <v>809.27999999999986</v>
      </c>
      <c r="F47" s="234"/>
      <c r="G47" s="234"/>
    </row>
    <row r="48" spans="1:7">
      <c r="B48" s="377" t="s">
        <v>912</v>
      </c>
      <c r="C48" s="376">
        <f>+C46-C47</f>
        <v>225.5100000000001</v>
      </c>
    </row>
    <row r="50" spans="2:3" ht="16.5" thickBot="1">
      <c r="B50" s="377" t="s">
        <v>920</v>
      </c>
      <c r="C50" s="793">
        <f>+C48+C44+C35</f>
        <v>11207.350000000006</v>
      </c>
    </row>
    <row r="51" spans="2:3" ht="16.5" thickTop="1"/>
  </sheetData>
  <mergeCells count="14">
    <mergeCell ref="B15:I15"/>
    <mergeCell ref="B16:I16"/>
    <mergeCell ref="B8:I8"/>
    <mergeCell ref="B14:I14"/>
    <mergeCell ref="A1:I1"/>
    <mergeCell ref="A2:I2"/>
    <mergeCell ref="A3:I3"/>
    <mergeCell ref="A5:I5"/>
    <mergeCell ref="A6:I6"/>
    <mergeCell ref="B9:I9"/>
    <mergeCell ref="B13:I13"/>
    <mergeCell ref="B11:I11"/>
    <mergeCell ref="B10:I10"/>
    <mergeCell ref="B12:I12"/>
  </mergeCells>
  <phoneticPr fontId="8" type="noConversion"/>
  <printOptions horizontalCentered="1"/>
  <pageMargins left="0.9" right="0.7" top="0.75" bottom="0.5" header="0" footer="0.25"/>
  <pageSetup scale="71" orientation="portrait" horizontalDpi="300" verticalDpi="300" r:id="rId1"/>
  <headerFooter scaleWithDoc="0" alignWithMargins="0">
    <oddFooter xml:space="preserve">&amp;C&amp;"Times New Roman,Regular"&amp;10See accompanying summary of significant forecast assumptions.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104"/>
  <sheetViews>
    <sheetView zoomScale="85" zoomScaleNormal="85" workbookViewId="0">
      <selection activeCell="F11" sqref="F11"/>
    </sheetView>
  </sheetViews>
  <sheetFormatPr defaultColWidth="8" defaultRowHeight="15.75"/>
  <cols>
    <col min="1" max="1" width="25.21875" style="279" customWidth="1"/>
    <col min="2" max="2" width="10.77734375" style="279" customWidth="1"/>
    <col min="3" max="3" width="2.77734375" style="280" customWidth="1"/>
    <col min="4" max="4" width="10.77734375" style="281" customWidth="1"/>
    <col min="5" max="5" width="2.77734375" style="282" customWidth="1"/>
    <col min="6" max="6" width="10.77734375" style="279" customWidth="1"/>
    <col min="7" max="7" width="2.77734375" style="280" customWidth="1"/>
    <col min="8" max="8" width="10.77734375" style="279" customWidth="1"/>
    <col min="9" max="9" width="2.77734375" style="280" customWidth="1"/>
    <col min="10" max="10" width="12" style="279" customWidth="1"/>
    <col min="11" max="11" width="2.77734375" style="280" customWidth="1"/>
    <col min="12" max="12" width="10.77734375" style="279" customWidth="1"/>
    <col min="13" max="13" width="2.77734375" style="280" customWidth="1"/>
    <col min="14" max="14" width="10.77734375" style="279" customWidth="1"/>
    <col min="15" max="15" width="2.77734375" style="279" customWidth="1"/>
    <col min="16" max="16" width="10.77734375" style="279" customWidth="1"/>
    <col min="17" max="17" width="2.77734375" style="279" customWidth="1"/>
    <col min="18" max="18" width="15.6640625" style="279" bestFit="1" customWidth="1"/>
    <col min="19" max="19" width="2.77734375" style="279" customWidth="1"/>
    <col min="20" max="20" width="10.77734375" style="279" customWidth="1"/>
    <col min="21" max="21" width="1.44140625" style="277" customWidth="1"/>
    <col min="22" max="22" width="4.88671875" style="277" customWidth="1"/>
    <col min="23" max="16384" width="8" style="277"/>
  </cols>
  <sheetData>
    <row r="1" spans="1:23">
      <c r="A1" s="1008" t="str">
        <f>+Operations!B1</f>
        <v>Pullman Disposal Services, Inc.</v>
      </c>
      <c r="B1" s="1008"/>
      <c r="C1" s="1008"/>
      <c r="D1" s="1008"/>
      <c r="E1" s="1008"/>
      <c r="F1" s="1008"/>
      <c r="G1" s="1008"/>
      <c r="H1" s="1008"/>
      <c r="I1" s="1008"/>
      <c r="J1" s="1008"/>
      <c r="K1" s="1008"/>
      <c r="L1" s="1008"/>
      <c r="M1" s="1008"/>
      <c r="N1" s="1008"/>
      <c r="O1" s="1008"/>
      <c r="P1" s="1008"/>
      <c r="Q1" s="1008"/>
      <c r="R1" s="1008"/>
      <c r="S1" s="1008"/>
      <c r="T1" s="1008"/>
    </row>
    <row r="2" spans="1:23" ht="13.5" customHeight="1">
      <c r="A2" s="278"/>
      <c r="V2" s="283" t="s">
        <v>237</v>
      </c>
      <c r="W2" s="284" t="s">
        <v>295</v>
      </c>
    </row>
    <row r="3" spans="1:23">
      <c r="A3" s="1008" t="s">
        <v>146</v>
      </c>
      <c r="B3" s="1008"/>
      <c r="C3" s="1008"/>
      <c r="D3" s="1008"/>
      <c r="E3" s="1008"/>
      <c r="F3" s="1008"/>
      <c r="G3" s="1008"/>
      <c r="H3" s="1008"/>
      <c r="I3" s="1008"/>
      <c r="J3" s="1008"/>
      <c r="K3" s="1008"/>
      <c r="L3" s="1008"/>
      <c r="M3" s="1008"/>
      <c r="N3" s="1008"/>
      <c r="O3" s="1008"/>
      <c r="P3" s="1008"/>
      <c r="Q3" s="1008"/>
      <c r="R3" s="1008"/>
      <c r="S3" s="1008"/>
      <c r="T3" s="1008"/>
      <c r="V3" s="283" t="s">
        <v>238</v>
      </c>
      <c r="W3" s="284" t="s">
        <v>242</v>
      </c>
    </row>
    <row r="4" spans="1:23">
      <c r="A4" s="285"/>
      <c r="B4" s="285"/>
      <c r="C4" s="285"/>
      <c r="D4" s="285"/>
      <c r="E4" s="285"/>
      <c r="F4" s="285"/>
      <c r="G4" s="285"/>
      <c r="H4" s="285"/>
      <c r="I4" s="285"/>
      <c r="J4" s="285"/>
      <c r="K4" s="285"/>
      <c r="L4" s="285"/>
      <c r="M4" s="285"/>
      <c r="N4" s="285"/>
      <c r="O4" s="285"/>
      <c r="P4" s="473"/>
      <c r="Q4" s="473"/>
      <c r="R4" s="473"/>
      <c r="S4" s="473"/>
      <c r="T4" s="285"/>
      <c r="V4" s="283" t="s">
        <v>239</v>
      </c>
      <c r="W4" s="284" t="s">
        <v>296</v>
      </c>
    </row>
    <row r="5" spans="1:23">
      <c r="A5" s="1008" t="str">
        <f>'Fly Sheet'!$A$20</f>
        <v>For the Twelve Months Ended December 31, 2018 Historical and December 31, 2020 Forecasted</v>
      </c>
      <c r="B5" s="1008"/>
      <c r="C5" s="1008"/>
      <c r="D5" s="1008"/>
      <c r="E5" s="1008"/>
      <c r="F5" s="1008"/>
      <c r="G5" s="1008"/>
      <c r="H5" s="1008"/>
      <c r="I5" s="1008"/>
      <c r="J5" s="1008"/>
      <c r="K5" s="1008"/>
      <c r="L5" s="1008"/>
      <c r="M5" s="1008"/>
      <c r="N5" s="1008"/>
      <c r="O5" s="1008"/>
      <c r="P5" s="1008"/>
      <c r="Q5" s="1008"/>
      <c r="R5" s="1008"/>
      <c r="S5" s="1008"/>
      <c r="T5" s="1008"/>
      <c r="V5" s="283" t="s">
        <v>240</v>
      </c>
      <c r="W5" s="284" t="s">
        <v>241</v>
      </c>
    </row>
    <row r="6" spans="1:23">
      <c r="A6" s="1008"/>
      <c r="B6" s="1008"/>
      <c r="C6" s="1008"/>
      <c r="D6" s="1008"/>
      <c r="E6" s="1008"/>
      <c r="F6" s="1008"/>
      <c r="G6" s="1008"/>
      <c r="H6" s="1008"/>
      <c r="I6" s="1008"/>
      <c r="J6" s="1008"/>
      <c r="K6" s="1008"/>
      <c r="L6" s="1008"/>
      <c r="M6" s="1008"/>
      <c r="N6" s="1008"/>
      <c r="O6" s="1008"/>
      <c r="P6" s="1008"/>
      <c r="Q6" s="1008"/>
      <c r="R6" s="1008"/>
      <c r="S6" s="1008"/>
      <c r="T6" s="1008"/>
    </row>
    <row r="7" spans="1:23">
      <c r="A7" s="285"/>
      <c r="B7" s="285"/>
      <c r="C7" s="286"/>
      <c r="D7" s="285"/>
      <c r="E7" s="286"/>
      <c r="F7" s="285"/>
      <c r="G7" s="286"/>
      <c r="H7" s="285"/>
      <c r="I7" s="286"/>
      <c r="J7" s="285"/>
      <c r="K7" s="286"/>
      <c r="L7" s="285"/>
      <c r="M7" s="286"/>
      <c r="N7" s="285"/>
      <c r="O7" s="285"/>
      <c r="P7" s="473"/>
      <c r="Q7" s="473"/>
      <c r="R7" s="473"/>
      <c r="S7" s="473"/>
      <c r="T7" s="285"/>
    </row>
    <row r="8" spans="1:23" ht="12.95" customHeight="1">
      <c r="A8" s="287"/>
      <c r="B8" s="288" t="s">
        <v>60</v>
      </c>
      <c r="C8" s="289"/>
      <c r="D8" s="288" t="s">
        <v>61</v>
      </c>
      <c r="E8" s="289"/>
      <c r="F8" s="288" t="s">
        <v>62</v>
      </c>
      <c r="G8" s="289"/>
      <c r="H8" s="288" t="s">
        <v>63</v>
      </c>
      <c r="I8" s="289"/>
      <c r="J8" s="288" t="s">
        <v>64</v>
      </c>
      <c r="K8" s="289"/>
      <c r="L8" s="288" t="s">
        <v>65</v>
      </c>
      <c r="M8" s="289"/>
      <c r="N8" s="288" t="s">
        <v>66</v>
      </c>
      <c r="O8" s="288"/>
      <c r="P8" s="288" t="s">
        <v>292</v>
      </c>
      <c r="Q8" s="288"/>
      <c r="R8" s="288" t="s">
        <v>293</v>
      </c>
      <c r="S8" s="288"/>
      <c r="T8" s="290"/>
    </row>
    <row r="9" spans="1:23" ht="12.95" customHeight="1">
      <c r="A9" s="287"/>
      <c r="B9" s="288" t="s">
        <v>31</v>
      </c>
      <c r="C9" s="289"/>
      <c r="D9" s="293" t="s">
        <v>836</v>
      </c>
      <c r="E9" s="291"/>
      <c r="F9" s="288"/>
      <c r="G9" s="289"/>
      <c r="H9" s="288" t="s">
        <v>29</v>
      </c>
      <c r="I9" s="289"/>
      <c r="J9" s="288" t="s">
        <v>882</v>
      </c>
      <c r="K9" s="292"/>
      <c r="L9" s="288" t="s">
        <v>30</v>
      </c>
      <c r="M9" s="289"/>
      <c r="N9" s="288" t="s">
        <v>29</v>
      </c>
      <c r="O9" s="288"/>
      <c r="P9" s="288" t="s">
        <v>30</v>
      </c>
      <c r="Q9" s="288"/>
      <c r="R9" s="288" t="s">
        <v>30</v>
      </c>
      <c r="S9" s="288"/>
      <c r="T9" s="288" t="s">
        <v>0</v>
      </c>
    </row>
    <row r="10" spans="1:23" ht="12.95" customHeight="1">
      <c r="A10" s="287"/>
      <c r="B10" s="288" t="s">
        <v>34</v>
      </c>
      <c r="C10" s="289"/>
      <c r="D10" s="294" t="s">
        <v>848</v>
      </c>
      <c r="E10" s="294"/>
      <c r="F10" s="288"/>
      <c r="G10" s="289"/>
      <c r="H10" s="288" t="s">
        <v>294</v>
      </c>
      <c r="I10" s="289"/>
      <c r="J10" s="288" t="s">
        <v>883</v>
      </c>
      <c r="K10" s="289"/>
      <c r="L10" s="288" t="s">
        <v>862</v>
      </c>
      <c r="M10" s="289"/>
      <c r="N10" s="288" t="s">
        <v>55</v>
      </c>
      <c r="O10" s="288"/>
      <c r="P10" s="288" t="s">
        <v>945</v>
      </c>
      <c r="Q10" s="288"/>
      <c r="R10" s="288" t="s">
        <v>1017</v>
      </c>
      <c r="S10" s="288"/>
      <c r="T10" s="288" t="s">
        <v>36</v>
      </c>
    </row>
    <row r="11" spans="1:23" ht="12.95" customHeight="1">
      <c r="A11" s="287"/>
      <c r="B11" s="295" t="s">
        <v>39</v>
      </c>
      <c r="C11" s="289"/>
      <c r="D11" s="296" t="s">
        <v>43</v>
      </c>
      <c r="E11" s="294"/>
      <c r="F11" s="295"/>
      <c r="G11" s="289"/>
      <c r="H11" s="295" t="s">
        <v>244</v>
      </c>
      <c r="I11" s="289"/>
      <c r="J11" s="295" t="s">
        <v>884</v>
      </c>
      <c r="K11" s="289"/>
      <c r="L11" s="295" t="s">
        <v>43</v>
      </c>
      <c r="M11" s="289"/>
      <c r="N11" s="295" t="s">
        <v>93</v>
      </c>
      <c r="O11" s="295"/>
      <c r="P11" s="295" t="s">
        <v>10</v>
      </c>
      <c r="Q11" s="295"/>
      <c r="R11" s="295" t="s">
        <v>1018</v>
      </c>
      <c r="S11" s="295"/>
      <c r="T11" s="295" t="s">
        <v>40</v>
      </c>
    </row>
    <row r="12" spans="1:23" ht="15" customHeight="1">
      <c r="A12" s="297" t="str">
        <f>+Operations!B11</f>
        <v>REVENUES</v>
      </c>
      <c r="B12" s="287"/>
      <c r="C12" s="298"/>
      <c r="D12" s="299"/>
      <c r="E12" s="300"/>
      <c r="F12" s="287"/>
      <c r="G12" s="298"/>
      <c r="H12" s="287"/>
      <c r="I12" s="298"/>
      <c r="J12" s="287"/>
      <c r="K12" s="298"/>
      <c r="L12" s="287"/>
      <c r="M12" s="298"/>
      <c r="N12" s="287"/>
      <c r="O12" s="287"/>
      <c r="P12" s="287"/>
      <c r="Q12" s="287"/>
      <c r="R12" s="287"/>
      <c r="S12" s="287"/>
      <c r="T12" s="287"/>
    </row>
    <row r="13" spans="1:23" ht="15" customHeight="1">
      <c r="A13" s="48" t="s">
        <v>603</v>
      </c>
      <c r="B13" s="355">
        <v>0</v>
      </c>
      <c r="C13" s="356"/>
      <c r="D13" s="355">
        <v>0</v>
      </c>
      <c r="E13" s="356"/>
      <c r="F13" s="355">
        <v>0</v>
      </c>
      <c r="G13" s="356"/>
      <c r="H13" s="355">
        <v>0</v>
      </c>
      <c r="I13" s="356"/>
      <c r="J13" s="355">
        <v>0</v>
      </c>
      <c r="K13" s="356"/>
      <c r="L13" s="355">
        <v>0</v>
      </c>
      <c r="M13" s="356"/>
      <c r="N13" s="355">
        <v>0</v>
      </c>
      <c r="O13" s="357"/>
      <c r="P13" s="355">
        <v>0</v>
      </c>
      <c r="Q13" s="357"/>
      <c r="R13" s="355">
        <v>-137492.62</v>
      </c>
      <c r="S13" s="357"/>
      <c r="T13" s="355">
        <f>SUM(B13:R13)</f>
        <v>-137492.62</v>
      </c>
    </row>
    <row r="14" spans="1:23" ht="15" customHeight="1">
      <c r="A14" s="48" t="s">
        <v>885</v>
      </c>
      <c r="B14" s="357">
        <v>0</v>
      </c>
      <c r="C14" s="356"/>
      <c r="D14" s="357">
        <v>0</v>
      </c>
      <c r="E14" s="356"/>
      <c r="F14" s="357">
        <v>0</v>
      </c>
      <c r="G14" s="356"/>
      <c r="H14" s="357">
        <v>0</v>
      </c>
      <c r="I14" s="356"/>
      <c r="J14" s="357">
        <v>0</v>
      </c>
      <c r="K14" s="356"/>
      <c r="L14" s="357">
        <v>0</v>
      </c>
      <c r="M14" s="356"/>
      <c r="N14" s="357">
        <v>0</v>
      </c>
      <c r="O14" s="357"/>
      <c r="P14" s="357">
        <v>0</v>
      </c>
      <c r="Q14" s="357"/>
      <c r="R14" s="357">
        <v>-206204.39</v>
      </c>
      <c r="S14" s="357"/>
      <c r="T14" s="357">
        <f>SUM(B14:R14)</f>
        <v>-206204.39</v>
      </c>
    </row>
    <row r="15" spans="1:23" ht="15" customHeight="1">
      <c r="A15" s="48" t="s">
        <v>7</v>
      </c>
      <c r="B15" s="357">
        <v>0</v>
      </c>
      <c r="C15" s="356"/>
      <c r="D15" s="357">
        <v>0</v>
      </c>
      <c r="E15" s="356"/>
      <c r="F15" s="357">
        <v>0</v>
      </c>
      <c r="G15" s="356"/>
      <c r="H15" s="357">
        <v>0</v>
      </c>
      <c r="I15" s="356"/>
      <c r="J15" s="357">
        <v>0</v>
      </c>
      <c r="K15" s="356"/>
      <c r="L15" s="357">
        <v>0</v>
      </c>
      <c r="M15" s="356"/>
      <c r="N15" s="357">
        <v>0</v>
      </c>
      <c r="O15" s="357"/>
      <c r="P15" s="357">
        <v>0</v>
      </c>
      <c r="Q15" s="357"/>
      <c r="R15" s="357">
        <v>-37073.160000000003</v>
      </c>
      <c r="S15" s="357"/>
      <c r="T15" s="357">
        <f t="shared" ref="T15:T24" si="0">SUM(B15:R15)</f>
        <v>-37073.160000000003</v>
      </c>
    </row>
    <row r="16" spans="1:23" ht="15" customHeight="1">
      <c r="A16" s="48" t="s">
        <v>886</v>
      </c>
      <c r="B16" s="302">
        <v>0</v>
      </c>
      <c r="C16" s="356"/>
      <c r="D16" s="302">
        <v>0</v>
      </c>
      <c r="E16" s="356"/>
      <c r="F16" s="302">
        <v>0</v>
      </c>
      <c r="G16" s="356"/>
      <c r="H16" s="302">
        <v>0</v>
      </c>
      <c r="I16" s="356"/>
      <c r="J16" s="302">
        <v>0</v>
      </c>
      <c r="K16" s="356"/>
      <c r="L16" s="302">
        <v>0</v>
      </c>
      <c r="M16" s="356"/>
      <c r="N16" s="302">
        <f>-Operations!C22</f>
        <v>0</v>
      </c>
      <c r="O16" s="357"/>
      <c r="P16" s="357">
        <v>0</v>
      </c>
      <c r="Q16" s="357"/>
      <c r="S16" s="357"/>
      <c r="T16" s="357">
        <f t="shared" si="0"/>
        <v>0</v>
      </c>
    </row>
    <row r="17" spans="1:20" ht="15" customHeight="1">
      <c r="A17" s="48" t="s">
        <v>887</v>
      </c>
      <c r="B17" s="302">
        <v>0</v>
      </c>
      <c r="C17" s="356"/>
      <c r="D17" s="302">
        <v>0</v>
      </c>
      <c r="E17" s="356"/>
      <c r="F17" s="302">
        <v>0</v>
      </c>
      <c r="G17" s="356"/>
      <c r="H17" s="302">
        <v>0</v>
      </c>
      <c r="I17" s="356"/>
      <c r="J17" s="302">
        <v>0</v>
      </c>
      <c r="K17" s="356"/>
      <c r="L17" s="302">
        <v>0</v>
      </c>
      <c r="M17" s="356"/>
      <c r="N17" s="302">
        <v>0</v>
      </c>
      <c r="O17" s="357"/>
      <c r="P17" s="357">
        <v>0</v>
      </c>
      <c r="Q17" s="357"/>
      <c r="R17" s="357">
        <v>-30766.77</v>
      </c>
      <c r="S17" s="357"/>
      <c r="T17" s="357">
        <f>SUM(B17:R17)</f>
        <v>-30766.77</v>
      </c>
    </row>
    <row r="18" spans="1:20" ht="15" customHeight="1">
      <c r="A18" s="48" t="s">
        <v>888</v>
      </c>
      <c r="B18" s="357">
        <v>0</v>
      </c>
      <c r="C18" s="356"/>
      <c r="D18" s="357">
        <v>0</v>
      </c>
      <c r="E18" s="356"/>
      <c r="F18" s="357">
        <v>0</v>
      </c>
      <c r="G18" s="356"/>
      <c r="H18" s="357">
        <v>0</v>
      </c>
      <c r="I18" s="356"/>
      <c r="J18" s="357">
        <v>0</v>
      </c>
      <c r="K18" s="356"/>
      <c r="L18" s="357">
        <v>0</v>
      </c>
      <c r="M18" s="356"/>
      <c r="N18" s="357">
        <v>0</v>
      </c>
      <c r="O18" s="302"/>
      <c r="P18" s="302">
        <v>0</v>
      </c>
      <c r="Q18" s="302"/>
      <c r="R18" s="357">
        <v>-12696.98</v>
      </c>
      <c r="S18" s="302"/>
      <c r="T18" s="357">
        <f>SUM(B18:R18)</f>
        <v>-12696.98</v>
      </c>
    </row>
    <row r="19" spans="1:20" ht="15" customHeight="1">
      <c r="A19" s="48" t="s">
        <v>889</v>
      </c>
      <c r="B19" s="357">
        <v>0</v>
      </c>
      <c r="C19" s="356"/>
      <c r="D19" s="357">
        <v>0</v>
      </c>
      <c r="E19" s="356"/>
      <c r="F19" s="357">
        <v>0</v>
      </c>
      <c r="G19" s="356"/>
      <c r="H19" s="357">
        <v>0</v>
      </c>
      <c r="I19" s="356"/>
      <c r="J19" s="357">
        <v>0</v>
      </c>
      <c r="K19" s="356"/>
      <c r="L19" s="357">
        <v>0</v>
      </c>
      <c r="M19" s="356"/>
      <c r="N19" s="357">
        <v>0</v>
      </c>
      <c r="O19" s="302"/>
      <c r="P19" s="302">
        <v>0</v>
      </c>
      <c r="Q19" s="302"/>
      <c r="R19" s="302">
        <v>0</v>
      </c>
      <c r="S19" s="302"/>
      <c r="T19" s="357">
        <f t="shared" ref="T19:T23" si="1">SUM(B19:R19)</f>
        <v>0</v>
      </c>
    </row>
    <row r="20" spans="1:20" ht="15" customHeight="1">
      <c r="A20" s="48" t="s">
        <v>534</v>
      </c>
      <c r="B20" s="357">
        <v>0</v>
      </c>
      <c r="C20" s="356"/>
      <c r="D20" s="357">
        <v>0</v>
      </c>
      <c r="E20" s="356"/>
      <c r="F20" s="357">
        <v>0</v>
      </c>
      <c r="G20" s="356"/>
      <c r="H20" s="357">
        <v>0</v>
      </c>
      <c r="I20" s="356"/>
      <c r="J20" s="357">
        <v>0</v>
      </c>
      <c r="K20" s="356"/>
      <c r="L20" s="357">
        <v>0</v>
      </c>
      <c r="M20" s="356"/>
      <c r="N20" s="357">
        <v>0</v>
      </c>
      <c r="O20" s="302"/>
      <c r="P20" s="302">
        <v>0</v>
      </c>
      <c r="Q20" s="302"/>
      <c r="R20" s="302">
        <v>0</v>
      </c>
      <c r="S20" s="302"/>
      <c r="T20" s="357">
        <f t="shared" si="1"/>
        <v>0</v>
      </c>
    </row>
    <row r="21" spans="1:20" ht="15" customHeight="1">
      <c r="A21" s="48" t="s">
        <v>890</v>
      </c>
      <c r="B21" s="357">
        <v>0</v>
      </c>
      <c r="C21" s="356"/>
      <c r="D21" s="357">
        <v>0</v>
      </c>
      <c r="E21" s="356"/>
      <c r="F21" s="357">
        <v>0</v>
      </c>
      <c r="G21" s="356"/>
      <c r="H21" s="357">
        <v>0</v>
      </c>
      <c r="I21" s="356"/>
      <c r="J21" s="357">
        <v>0</v>
      </c>
      <c r="K21" s="356"/>
      <c r="L21" s="357">
        <v>0</v>
      </c>
      <c r="M21" s="356"/>
      <c r="N21" s="357">
        <v>0</v>
      </c>
      <c r="O21" s="302"/>
      <c r="P21" s="302">
        <v>0</v>
      </c>
      <c r="Q21" s="302"/>
      <c r="R21" s="302">
        <v>-8312.92</v>
      </c>
      <c r="S21" s="302"/>
      <c r="T21" s="357">
        <f>SUM(B21:R21)</f>
        <v>-8312.92</v>
      </c>
    </row>
    <row r="22" spans="1:20" ht="15" customHeight="1">
      <c r="A22" s="48" t="s">
        <v>59</v>
      </c>
      <c r="B22" s="357">
        <v>0</v>
      </c>
      <c r="C22" s="356"/>
      <c r="D22" s="357">
        <v>0</v>
      </c>
      <c r="E22" s="356"/>
      <c r="F22" s="357">
        <v>0</v>
      </c>
      <c r="G22" s="356"/>
      <c r="H22" s="357">
        <v>0</v>
      </c>
      <c r="I22" s="356"/>
      <c r="J22" s="357">
        <v>0</v>
      </c>
      <c r="K22" s="356"/>
      <c r="L22" s="357">
        <v>0</v>
      </c>
      <c r="M22" s="356"/>
      <c r="N22" s="357">
        <v>0</v>
      </c>
      <c r="O22" s="302"/>
      <c r="P22" s="302">
        <v>0</v>
      </c>
      <c r="Q22" s="302"/>
      <c r="R22" s="302">
        <v>0</v>
      </c>
      <c r="S22" s="302"/>
      <c r="T22" s="357">
        <f t="shared" si="1"/>
        <v>0</v>
      </c>
    </row>
    <row r="23" spans="1:20" ht="15" customHeight="1">
      <c r="A23" s="301"/>
      <c r="B23" s="357">
        <v>0</v>
      </c>
      <c r="C23" s="356"/>
      <c r="D23" s="357">
        <v>0</v>
      </c>
      <c r="E23" s="356"/>
      <c r="F23" s="357">
        <v>0</v>
      </c>
      <c r="G23" s="356"/>
      <c r="H23" s="357">
        <v>0</v>
      </c>
      <c r="I23" s="356"/>
      <c r="J23" s="357">
        <v>0</v>
      </c>
      <c r="K23" s="356"/>
      <c r="L23" s="357">
        <v>0</v>
      </c>
      <c r="M23" s="356"/>
      <c r="N23" s="357">
        <v>0</v>
      </c>
      <c r="O23" s="302"/>
      <c r="P23" s="302">
        <v>0</v>
      </c>
      <c r="Q23" s="302"/>
      <c r="R23" s="302">
        <v>0</v>
      </c>
      <c r="S23" s="302"/>
      <c r="T23" s="357">
        <f t="shared" si="1"/>
        <v>0</v>
      </c>
    </row>
    <row r="24" spans="1:20" ht="15" customHeight="1">
      <c r="A24" s="301"/>
      <c r="B24" s="358">
        <v>0</v>
      </c>
      <c r="C24" s="356"/>
      <c r="D24" s="357">
        <f>-Operations!C26</f>
        <v>0</v>
      </c>
      <c r="E24" s="356"/>
      <c r="F24" s="358">
        <v>0</v>
      </c>
      <c r="G24" s="356"/>
      <c r="H24" s="358">
        <v>0</v>
      </c>
      <c r="I24" s="356"/>
      <c r="J24" s="358">
        <v>0</v>
      </c>
      <c r="K24" s="356"/>
      <c r="L24" s="358">
        <v>0</v>
      </c>
      <c r="M24" s="356"/>
      <c r="N24" s="358">
        <v>0</v>
      </c>
      <c r="O24" s="356"/>
      <c r="P24" s="373">
        <v>0</v>
      </c>
      <c r="Q24" s="356"/>
      <c r="R24" s="373">
        <v>0</v>
      </c>
      <c r="S24" s="356"/>
      <c r="T24" s="357">
        <f t="shared" si="0"/>
        <v>0</v>
      </c>
    </row>
    <row r="25" spans="1:20" ht="15" customHeight="1">
      <c r="A25" s="287"/>
      <c r="B25" s="358">
        <f>SUM(B13:B24)</f>
        <v>0</v>
      </c>
      <c r="C25" s="356"/>
      <c r="D25" s="364">
        <f>SUM(D13:D24)</f>
        <v>0</v>
      </c>
      <c r="E25" s="356"/>
      <c r="F25" s="358">
        <f>SUM(F13:F24)</f>
        <v>0</v>
      </c>
      <c r="G25" s="356"/>
      <c r="H25" s="358">
        <f>SUM(H13:H24)</f>
        <v>0</v>
      </c>
      <c r="I25" s="356"/>
      <c r="J25" s="358">
        <f>SUM(J13:J24)</f>
        <v>0</v>
      </c>
      <c r="K25" s="356"/>
      <c r="L25" s="358">
        <f>SUM(L13:L24)</f>
        <v>0</v>
      </c>
      <c r="M25" s="356"/>
      <c r="N25" s="358">
        <f>SUM(N13:N24)</f>
        <v>0</v>
      </c>
      <c r="O25" s="356"/>
      <c r="P25" s="358">
        <f>SUM(P13:P24)</f>
        <v>0</v>
      </c>
      <c r="Q25" s="356"/>
      <c r="R25" s="358">
        <f>SUM(R13:R24)</f>
        <v>-432546.84</v>
      </c>
      <c r="S25" s="356"/>
      <c r="T25" s="364">
        <f>SUM(T13:T24)</f>
        <v>-432546.84</v>
      </c>
    </row>
    <row r="26" spans="1:20" ht="15" customHeight="1">
      <c r="A26" s="287"/>
      <c r="B26" s="356"/>
      <c r="C26" s="356"/>
      <c r="D26" s="356"/>
      <c r="E26" s="356"/>
      <c r="F26" s="356"/>
      <c r="G26" s="356"/>
      <c r="H26" s="356"/>
      <c r="I26" s="356"/>
      <c r="J26" s="356"/>
      <c r="K26" s="356"/>
      <c r="L26" s="356"/>
      <c r="M26" s="356"/>
      <c r="N26" s="356"/>
      <c r="O26" s="356"/>
      <c r="P26" s="356"/>
      <c r="Q26" s="356"/>
      <c r="R26" s="356"/>
      <c r="S26" s="356"/>
      <c r="T26" s="356"/>
    </row>
    <row r="27" spans="1:20" ht="15" customHeight="1">
      <c r="A27" s="303" t="str">
        <f>+Operations!B30</f>
        <v>OPERATING EXPENSES</v>
      </c>
      <c r="B27" s="357"/>
      <c r="C27" s="356"/>
      <c r="D27" s="357"/>
      <c r="E27" s="356"/>
      <c r="F27" s="357"/>
      <c r="G27" s="356"/>
      <c r="H27" s="357"/>
      <c r="I27" s="356"/>
      <c r="J27" s="357"/>
      <c r="K27" s="356"/>
      <c r="L27" s="357"/>
      <c r="M27" s="356"/>
      <c r="N27" s="357"/>
      <c r="O27" s="357"/>
      <c r="P27" s="357"/>
      <c r="Q27" s="357"/>
      <c r="R27" s="357"/>
      <c r="S27" s="357"/>
      <c r="T27" s="357"/>
    </row>
    <row r="28" spans="1:20" ht="15" customHeight="1">
      <c r="A28" s="48" t="s">
        <v>173</v>
      </c>
      <c r="B28" s="357">
        <v>0</v>
      </c>
      <c r="C28" s="356"/>
      <c r="D28" s="357">
        <v>0</v>
      </c>
      <c r="E28" s="356"/>
      <c r="F28" s="357">
        <v>0</v>
      </c>
      <c r="G28" s="356"/>
      <c r="H28" s="357">
        <v>0</v>
      </c>
      <c r="I28" s="356"/>
      <c r="J28" s="357">
        <v>0</v>
      </c>
      <c r="K28" s="356"/>
      <c r="L28" s="357">
        <v>0</v>
      </c>
      <c r="M28" s="356"/>
      <c r="N28" s="357">
        <v>0</v>
      </c>
      <c r="O28" s="357"/>
      <c r="P28" s="357">
        <v>0</v>
      </c>
      <c r="Q28" s="357"/>
      <c r="R28" s="357">
        <v>0</v>
      </c>
      <c r="S28" s="357"/>
      <c r="T28" s="357">
        <f>SUM(B28:R28)</f>
        <v>0</v>
      </c>
    </row>
    <row r="29" spans="1:20" ht="15" customHeight="1">
      <c r="A29" s="48" t="s">
        <v>11</v>
      </c>
      <c r="B29" s="357">
        <v>0</v>
      </c>
      <c r="C29" s="356"/>
      <c r="D29" s="357">
        <v>0</v>
      </c>
      <c r="E29" s="356"/>
      <c r="F29" s="357">
        <v>0</v>
      </c>
      <c r="G29" s="356"/>
      <c r="H29" s="357">
        <v>0</v>
      </c>
      <c r="I29" s="356"/>
      <c r="J29" s="357">
        <v>0</v>
      </c>
      <c r="K29" s="356"/>
      <c r="L29" s="357">
        <v>0</v>
      </c>
      <c r="M29" s="356"/>
      <c r="N29" s="357">
        <v>0</v>
      </c>
      <c r="O29" s="357"/>
      <c r="P29" s="357">
        <v>0</v>
      </c>
      <c r="Q29" s="357"/>
      <c r="R29" s="357">
        <v>0</v>
      </c>
      <c r="S29" s="357"/>
      <c r="T29" s="357">
        <f t="shared" ref="T29:T91" si="2">SUM(B29:R29)</f>
        <v>0</v>
      </c>
    </row>
    <row r="30" spans="1:20" ht="15" customHeight="1">
      <c r="A30" s="48" t="s">
        <v>13</v>
      </c>
      <c r="B30" s="357">
        <v>0</v>
      </c>
      <c r="C30" s="356"/>
      <c r="D30" s="357">
        <v>0</v>
      </c>
      <c r="E30" s="356"/>
      <c r="F30" s="357">
        <v>0</v>
      </c>
      <c r="G30" s="356"/>
      <c r="H30" s="357">
        <v>0</v>
      </c>
      <c r="I30" s="356"/>
      <c r="J30" s="357">
        <v>0</v>
      </c>
      <c r="K30" s="356"/>
      <c r="L30" s="357">
        <v>0</v>
      </c>
      <c r="M30" s="356"/>
      <c r="N30" s="357">
        <v>0</v>
      </c>
      <c r="O30" s="357"/>
      <c r="P30" s="357">
        <v>0</v>
      </c>
      <c r="Q30" s="357"/>
      <c r="R30" s="357">
        <v>0</v>
      </c>
      <c r="S30" s="357"/>
      <c r="T30" s="357">
        <f t="shared" si="2"/>
        <v>0</v>
      </c>
    </row>
    <row r="31" spans="1:20" ht="15" customHeight="1">
      <c r="A31" s="48" t="s">
        <v>835</v>
      </c>
      <c r="B31" s="357">
        <v>0</v>
      </c>
      <c r="C31" s="356"/>
      <c r="D31" s="357">
        <v>0</v>
      </c>
      <c r="E31" s="356"/>
      <c r="F31" s="357">
        <v>0</v>
      </c>
      <c r="G31" s="356"/>
      <c r="H31" s="357">
        <v>0</v>
      </c>
      <c r="I31" s="356"/>
      <c r="J31" s="357">
        <v>0</v>
      </c>
      <c r="K31" s="356"/>
      <c r="L31" s="357">
        <v>0</v>
      </c>
      <c r="M31" s="356"/>
      <c r="N31" s="357">
        <v>0</v>
      </c>
      <c r="O31" s="357"/>
      <c r="P31" s="357">
        <v>0</v>
      </c>
      <c r="Q31" s="357"/>
      <c r="R31" s="357">
        <v>0</v>
      </c>
      <c r="S31" s="357"/>
      <c r="T31" s="357">
        <f t="shared" si="2"/>
        <v>0</v>
      </c>
    </row>
    <row r="32" spans="1:20" ht="15" customHeight="1">
      <c r="A32" s="48" t="s">
        <v>18</v>
      </c>
      <c r="B32" s="357">
        <v>0</v>
      </c>
      <c r="C32" s="356"/>
      <c r="D32" s="357">
        <v>0</v>
      </c>
      <c r="E32" s="356"/>
      <c r="F32" s="357">
        <v>0</v>
      </c>
      <c r="G32" s="356"/>
      <c r="H32" s="357">
        <v>0</v>
      </c>
      <c r="I32" s="356"/>
      <c r="J32" s="357">
        <v>0</v>
      </c>
      <c r="K32" s="356"/>
      <c r="L32" s="357">
        <v>0</v>
      </c>
      <c r="M32" s="356"/>
      <c r="N32" s="357">
        <v>0</v>
      </c>
      <c r="O32" s="357"/>
      <c r="P32" s="357">
        <v>0</v>
      </c>
      <c r="Q32" s="357"/>
      <c r="R32" s="357">
        <v>0</v>
      </c>
      <c r="S32" s="357"/>
      <c r="T32" s="357">
        <f t="shared" si="2"/>
        <v>0</v>
      </c>
    </row>
    <row r="33" spans="1:20" ht="15" customHeight="1">
      <c r="A33" s="48" t="s">
        <v>15</v>
      </c>
      <c r="B33" s="357">
        <v>0</v>
      </c>
      <c r="C33" s="356"/>
      <c r="D33" s="357">
        <v>0</v>
      </c>
      <c r="E33" s="356"/>
      <c r="F33" s="357">
        <v>0</v>
      </c>
      <c r="G33" s="356"/>
      <c r="H33" s="357">
        <v>0</v>
      </c>
      <c r="I33" s="356"/>
      <c r="J33" s="357">
        <f>+'Sch 1 - Restated Exp'!C24</f>
        <v>10936.5</v>
      </c>
      <c r="K33" s="356" t="s">
        <v>435</v>
      </c>
      <c r="L33" s="357">
        <v>-1225.18</v>
      </c>
      <c r="M33" s="356" t="s">
        <v>435</v>
      </c>
      <c r="N33" s="357">
        <f>+'Sch 1 - Restated Exp'!C50</f>
        <v>11207.350000000006</v>
      </c>
      <c r="O33" s="357" t="s">
        <v>435</v>
      </c>
      <c r="P33" s="357">
        <v>0</v>
      </c>
      <c r="Q33" s="357"/>
      <c r="R33" s="357">
        <v>0</v>
      </c>
      <c r="S33" s="357"/>
      <c r="T33" s="357">
        <f t="shared" si="2"/>
        <v>20918.670000000006</v>
      </c>
    </row>
    <row r="34" spans="1:20" ht="15" customHeight="1">
      <c r="A34" s="48" t="s">
        <v>536</v>
      </c>
      <c r="B34" s="302">
        <v>0</v>
      </c>
      <c r="C34" s="356"/>
      <c r="D34" s="302">
        <v>0</v>
      </c>
      <c r="E34" s="356"/>
      <c r="F34" s="302">
        <v>0</v>
      </c>
      <c r="G34" s="356"/>
      <c r="H34" s="302">
        <v>0</v>
      </c>
      <c r="I34" s="356"/>
      <c r="J34" s="302">
        <v>0</v>
      </c>
      <c r="K34" s="356"/>
      <c r="L34" s="302">
        <v>0</v>
      </c>
      <c r="M34" s="356"/>
      <c r="N34" s="357">
        <v>0</v>
      </c>
      <c r="O34" s="357"/>
      <c r="P34" s="357">
        <f>-'Sch 4 - 12 Months'!O35</f>
        <v>24043</v>
      </c>
      <c r="Q34" s="357"/>
      <c r="R34" s="357">
        <v>0</v>
      </c>
      <c r="S34" s="357"/>
      <c r="T34" s="357">
        <f t="shared" si="2"/>
        <v>24043</v>
      </c>
    </row>
    <row r="35" spans="1:20" ht="15" customHeight="1">
      <c r="A35" s="43" t="s">
        <v>500</v>
      </c>
      <c r="B35" s="357">
        <v>0</v>
      </c>
      <c r="C35" s="356"/>
      <c r="D35" s="357">
        <v>0</v>
      </c>
      <c r="E35" s="356"/>
      <c r="F35" s="357">
        <v>0</v>
      </c>
      <c r="G35" s="356"/>
      <c r="H35" s="357">
        <v>0</v>
      </c>
      <c r="I35" s="356"/>
      <c r="J35" s="357">
        <v>0</v>
      </c>
      <c r="K35" s="356"/>
      <c r="L35" s="357">
        <v>0</v>
      </c>
      <c r="M35" s="356"/>
      <c r="N35" s="357">
        <v>0</v>
      </c>
      <c r="O35" s="357"/>
      <c r="P35" s="357">
        <v>0</v>
      </c>
      <c r="Q35" s="357"/>
      <c r="R35" s="357">
        <v>0</v>
      </c>
      <c r="S35" s="357"/>
      <c r="T35" s="357">
        <f t="shared" si="2"/>
        <v>0</v>
      </c>
    </row>
    <row r="36" spans="1:20" ht="15" customHeight="1">
      <c r="A36" s="48" t="s">
        <v>458</v>
      </c>
      <c r="B36" s="357">
        <v>0</v>
      </c>
      <c r="C36" s="356"/>
      <c r="D36" s="357">
        <v>0</v>
      </c>
      <c r="E36" s="356"/>
      <c r="F36" s="357">
        <v>0</v>
      </c>
      <c r="G36" s="356"/>
      <c r="H36" s="357">
        <v>0</v>
      </c>
      <c r="I36" s="356"/>
      <c r="J36" s="357">
        <v>0</v>
      </c>
      <c r="K36" s="356"/>
      <c r="L36" s="357">
        <v>0</v>
      </c>
      <c r="M36" s="356"/>
      <c r="N36" s="357">
        <v>0</v>
      </c>
      <c r="O36" s="357"/>
      <c r="P36" s="357">
        <v>0</v>
      </c>
      <c r="Q36" s="357"/>
      <c r="R36" s="357">
        <v>0</v>
      </c>
      <c r="S36" s="357"/>
      <c r="T36" s="357">
        <f t="shared" si="2"/>
        <v>0</v>
      </c>
    </row>
    <row r="37" spans="1:20" ht="15" customHeight="1">
      <c r="A37" s="48" t="s">
        <v>537</v>
      </c>
      <c r="B37" s="357">
        <v>0</v>
      </c>
      <c r="C37" s="356"/>
      <c r="D37" s="357">
        <v>0</v>
      </c>
      <c r="E37" s="356"/>
      <c r="F37" s="357">
        <v>0</v>
      </c>
      <c r="G37" s="356"/>
      <c r="H37" s="357">
        <v>0</v>
      </c>
      <c r="I37" s="356"/>
      <c r="J37" s="357">
        <v>0</v>
      </c>
      <c r="K37" s="356"/>
      <c r="L37" s="357">
        <v>0</v>
      </c>
      <c r="M37" s="374"/>
      <c r="N37" s="357">
        <v>0</v>
      </c>
      <c r="O37" s="302"/>
      <c r="P37" s="302">
        <v>0</v>
      </c>
      <c r="Q37" s="302"/>
      <c r="R37" s="302">
        <v>0</v>
      </c>
      <c r="S37" s="302"/>
      <c r="T37" s="357">
        <f t="shared" si="2"/>
        <v>0</v>
      </c>
    </row>
    <row r="38" spans="1:20" ht="15" customHeight="1">
      <c r="A38" s="48" t="s">
        <v>91</v>
      </c>
      <c r="B38" s="357">
        <v>0</v>
      </c>
      <c r="C38" s="356"/>
      <c r="D38" s="357">
        <v>0</v>
      </c>
      <c r="E38" s="356"/>
      <c r="F38" s="357">
        <v>0</v>
      </c>
      <c r="G38" s="356"/>
      <c r="H38" s="357">
        <f>+'WP-8 Bad Debts'!B24:B24</f>
        <v>-142.44000000000005</v>
      </c>
      <c r="I38" s="356" t="s">
        <v>435</v>
      </c>
      <c r="J38" s="357">
        <v>0</v>
      </c>
      <c r="K38" s="356"/>
      <c r="L38" s="357">
        <v>0</v>
      </c>
      <c r="M38" s="356"/>
      <c r="N38" s="357">
        <v>0</v>
      </c>
      <c r="O38" s="302"/>
      <c r="P38" s="302">
        <v>0</v>
      </c>
      <c r="Q38" s="302"/>
      <c r="R38" s="302">
        <v>0</v>
      </c>
      <c r="S38" s="302"/>
      <c r="T38" s="357">
        <f t="shared" si="2"/>
        <v>-142.44000000000005</v>
      </c>
    </row>
    <row r="39" spans="1:20" ht="15" customHeight="1">
      <c r="A39" s="48" t="s">
        <v>461</v>
      </c>
      <c r="B39" s="357">
        <v>0</v>
      </c>
      <c r="C39" s="356"/>
      <c r="D39" s="357">
        <v>0</v>
      </c>
      <c r="E39" s="356"/>
      <c r="F39" s="357">
        <v>0</v>
      </c>
      <c r="G39" s="356"/>
      <c r="H39" s="357">
        <v>0</v>
      </c>
      <c r="I39" s="356"/>
      <c r="J39" s="357">
        <v>0</v>
      </c>
      <c r="K39" s="356"/>
      <c r="L39" s="357">
        <v>0</v>
      </c>
      <c r="M39" s="374"/>
      <c r="N39" s="357"/>
      <c r="O39" s="357"/>
      <c r="P39" s="357">
        <v>0</v>
      </c>
      <c r="Q39" s="357"/>
      <c r="R39" s="357">
        <v>0</v>
      </c>
      <c r="S39" s="357"/>
      <c r="T39" s="357">
        <f t="shared" si="2"/>
        <v>0</v>
      </c>
    </row>
    <row r="40" spans="1:20" ht="15" customHeight="1">
      <c r="A40" s="48" t="s">
        <v>538</v>
      </c>
      <c r="B40" s="357">
        <v>0</v>
      </c>
      <c r="C40" s="356"/>
      <c r="D40" s="357">
        <v>0</v>
      </c>
      <c r="E40" s="356"/>
      <c r="F40" s="357">
        <v>0</v>
      </c>
      <c r="G40" s="356"/>
      <c r="H40" s="357">
        <v>0</v>
      </c>
      <c r="I40" s="356"/>
      <c r="J40" s="357">
        <v>0</v>
      </c>
      <c r="K40" s="356"/>
      <c r="L40" s="357">
        <v>0</v>
      </c>
      <c r="M40" s="356"/>
      <c r="N40" s="357">
        <v>0</v>
      </c>
      <c r="O40" s="357"/>
      <c r="P40" s="357">
        <v>0</v>
      </c>
      <c r="Q40" s="357"/>
      <c r="R40" s="357">
        <v>0</v>
      </c>
      <c r="S40" s="357"/>
      <c r="T40" s="357">
        <f t="shared" si="2"/>
        <v>0</v>
      </c>
    </row>
    <row r="41" spans="1:20" ht="15" customHeight="1">
      <c r="A41" s="48" t="s">
        <v>539</v>
      </c>
      <c r="B41" s="357">
        <v>0</v>
      </c>
      <c r="C41" s="356"/>
      <c r="D41" s="357">
        <v>0</v>
      </c>
      <c r="E41" s="356"/>
      <c r="F41" s="357">
        <v>0</v>
      </c>
      <c r="G41" s="356"/>
      <c r="H41" s="357">
        <v>0</v>
      </c>
      <c r="I41" s="356"/>
      <c r="J41" s="357">
        <v>0</v>
      </c>
      <c r="K41" s="356"/>
      <c r="L41" s="357">
        <v>0</v>
      </c>
      <c r="M41" s="356"/>
      <c r="N41" s="357">
        <v>0</v>
      </c>
      <c r="O41" s="302"/>
      <c r="P41" s="302">
        <v>0</v>
      </c>
      <c r="Q41" s="302"/>
      <c r="R41" s="302">
        <v>0</v>
      </c>
      <c r="S41" s="302"/>
      <c r="T41" s="357">
        <f t="shared" si="2"/>
        <v>0</v>
      </c>
    </row>
    <row r="42" spans="1:20" ht="15" customHeight="1">
      <c r="A42" s="48" t="s">
        <v>465</v>
      </c>
      <c r="B42" s="357">
        <v>0</v>
      </c>
      <c r="C42" s="356"/>
      <c r="D42" s="357">
        <f>-'Sch 4 - 12 Months'!O43</f>
        <v>-5099.58</v>
      </c>
      <c r="E42" s="356" t="s">
        <v>435</v>
      </c>
      <c r="F42" s="357">
        <v>0</v>
      </c>
      <c r="G42" s="356"/>
      <c r="H42" s="357">
        <v>0</v>
      </c>
      <c r="I42" s="356"/>
      <c r="J42" s="357">
        <v>0</v>
      </c>
      <c r="K42" s="356"/>
      <c r="L42" s="357">
        <v>0</v>
      </c>
      <c r="M42" s="356"/>
      <c r="N42" s="357">
        <v>0</v>
      </c>
      <c r="O42" s="357"/>
      <c r="P42" s="357">
        <v>0</v>
      </c>
      <c r="Q42" s="357"/>
      <c r="R42" s="357">
        <v>0</v>
      </c>
      <c r="S42" s="357"/>
      <c r="T42" s="357">
        <f t="shared" si="2"/>
        <v>-5099.58</v>
      </c>
    </row>
    <row r="43" spans="1:20" ht="15" customHeight="1">
      <c r="A43" s="48" t="s">
        <v>316</v>
      </c>
      <c r="B43" s="302">
        <v>0</v>
      </c>
      <c r="C43" s="356"/>
      <c r="D43" s="302">
        <f>+'WP-4 - Dues &amp; Sub'!K28</f>
        <v>-1647</v>
      </c>
      <c r="E43" s="356" t="s">
        <v>435</v>
      </c>
      <c r="F43" s="302">
        <v>0</v>
      </c>
      <c r="G43" s="356"/>
      <c r="H43" s="302">
        <v>0</v>
      </c>
      <c r="I43" s="356"/>
      <c r="J43" s="302">
        <v>0</v>
      </c>
      <c r="K43" s="356"/>
      <c r="L43" s="302">
        <v>0</v>
      </c>
      <c r="M43" s="356"/>
      <c r="N43" s="357">
        <v>0</v>
      </c>
      <c r="O43" s="357"/>
      <c r="P43" s="357">
        <v>0</v>
      </c>
      <c r="Q43" s="357"/>
      <c r="R43" s="357">
        <v>0</v>
      </c>
      <c r="S43" s="357"/>
      <c r="T43" s="357">
        <f t="shared" si="2"/>
        <v>-1647</v>
      </c>
    </row>
    <row r="44" spans="1:20" ht="15" customHeight="1">
      <c r="A44" s="48" t="s">
        <v>467</v>
      </c>
      <c r="B44" s="302">
        <v>0</v>
      </c>
      <c r="C44" s="356"/>
      <c r="D44" s="302">
        <v>0</v>
      </c>
      <c r="E44" s="356"/>
      <c r="F44" s="302">
        <v>0</v>
      </c>
      <c r="G44" s="356"/>
      <c r="H44" s="302">
        <v>0</v>
      </c>
      <c r="I44" s="356"/>
      <c r="J44" s="302">
        <v>0</v>
      </c>
      <c r="K44" s="356"/>
      <c r="L44" s="302">
        <v>0</v>
      </c>
      <c r="M44" s="356"/>
      <c r="N44" s="357">
        <v>0</v>
      </c>
      <c r="O44" s="357"/>
      <c r="P44" s="357">
        <v>0</v>
      </c>
      <c r="Q44" s="357"/>
      <c r="R44" s="357">
        <v>0</v>
      </c>
      <c r="S44" s="357"/>
      <c r="T44" s="357">
        <f t="shared" si="2"/>
        <v>0</v>
      </c>
    </row>
    <row r="45" spans="1:20" ht="15" customHeight="1">
      <c r="A45" s="48" t="s">
        <v>25</v>
      </c>
      <c r="B45" s="357">
        <v>0</v>
      </c>
      <c r="C45" s="356"/>
      <c r="D45" s="357">
        <v>0</v>
      </c>
      <c r="E45" s="356"/>
      <c r="F45" s="357">
        <v>0</v>
      </c>
      <c r="G45" s="356"/>
      <c r="H45" s="357">
        <v>0</v>
      </c>
      <c r="I45" s="356"/>
      <c r="J45" s="357">
        <v>0</v>
      </c>
      <c r="K45" s="356"/>
      <c r="L45" s="357">
        <v>0</v>
      </c>
      <c r="M45" s="356"/>
      <c r="N45" s="357">
        <v>0</v>
      </c>
      <c r="O45" s="357"/>
      <c r="P45" s="357">
        <v>0</v>
      </c>
      <c r="Q45" s="357"/>
      <c r="R45" s="357">
        <v>0</v>
      </c>
      <c r="S45" s="357"/>
      <c r="T45" s="357">
        <f t="shared" si="2"/>
        <v>0</v>
      </c>
    </row>
    <row r="46" spans="1:20" ht="15" customHeight="1">
      <c r="A46" s="48" t="s">
        <v>140</v>
      </c>
      <c r="B46" s="302">
        <v>0</v>
      </c>
      <c r="C46" s="356"/>
      <c r="D46" s="302">
        <v>0</v>
      </c>
      <c r="E46" s="356"/>
      <c r="F46" s="302">
        <v>0</v>
      </c>
      <c r="G46" s="356"/>
      <c r="H46" s="302">
        <v>0</v>
      </c>
      <c r="I46" s="356"/>
      <c r="J46" s="302">
        <v>0</v>
      </c>
      <c r="K46" s="356"/>
      <c r="L46" s="302">
        <v>0</v>
      </c>
      <c r="M46" s="356"/>
      <c r="N46" s="357">
        <v>0</v>
      </c>
      <c r="O46" s="357"/>
      <c r="P46" s="357">
        <v>0</v>
      </c>
      <c r="Q46" s="357"/>
      <c r="R46" s="357">
        <v>0</v>
      </c>
      <c r="S46" s="357"/>
      <c r="T46" s="357">
        <f t="shared" si="2"/>
        <v>0</v>
      </c>
    </row>
    <row r="47" spans="1:20" ht="15" customHeight="1">
      <c r="A47" s="48" t="s">
        <v>95</v>
      </c>
      <c r="B47" s="357">
        <v>0</v>
      </c>
      <c r="C47" s="356"/>
      <c r="D47" s="357">
        <v>0</v>
      </c>
      <c r="E47" s="356"/>
      <c r="F47" s="357">
        <v>0</v>
      </c>
      <c r="G47" s="356"/>
      <c r="H47" s="357">
        <v>0</v>
      </c>
      <c r="I47" s="356"/>
      <c r="J47" s="357">
        <v>0</v>
      </c>
      <c r="K47" s="356"/>
      <c r="L47" s="357">
        <v>0</v>
      </c>
      <c r="M47" s="356"/>
      <c r="N47" s="357">
        <v>0</v>
      </c>
      <c r="O47" s="357"/>
      <c r="P47" s="357">
        <v>0</v>
      </c>
      <c r="Q47" s="357"/>
      <c r="R47" s="357">
        <v>0</v>
      </c>
      <c r="S47" s="357"/>
      <c r="T47" s="357">
        <f t="shared" si="2"/>
        <v>0</v>
      </c>
    </row>
    <row r="48" spans="1:20" ht="15" customHeight="1">
      <c r="A48" s="48" t="s">
        <v>24</v>
      </c>
      <c r="B48" s="357">
        <v>0</v>
      </c>
      <c r="C48" s="356"/>
      <c r="D48" s="357">
        <v>0</v>
      </c>
      <c r="E48" s="356"/>
      <c r="F48" s="357">
        <v>0</v>
      </c>
      <c r="G48" s="356"/>
      <c r="H48" s="357">
        <v>0</v>
      </c>
      <c r="I48" s="356"/>
      <c r="J48" s="357">
        <v>0</v>
      </c>
      <c r="K48" s="356"/>
      <c r="L48" s="357">
        <v>0</v>
      </c>
      <c r="M48" s="356"/>
      <c r="N48" s="357">
        <v>0</v>
      </c>
      <c r="O48" s="357"/>
      <c r="P48" s="357">
        <v>0</v>
      </c>
      <c r="Q48" s="357"/>
      <c r="R48" s="357">
        <v>0</v>
      </c>
      <c r="S48" s="357"/>
      <c r="T48" s="357">
        <f t="shared" si="2"/>
        <v>0</v>
      </c>
    </row>
    <row r="49" spans="1:20" ht="15" customHeight="1">
      <c r="A49" s="48" t="s">
        <v>540</v>
      </c>
      <c r="B49" s="357">
        <v>0</v>
      </c>
      <c r="C49" s="356"/>
      <c r="D49" s="357">
        <v>0</v>
      </c>
      <c r="E49" s="356"/>
      <c r="F49" s="357">
        <v>0</v>
      </c>
      <c r="G49" s="356"/>
      <c r="H49" s="357">
        <v>0</v>
      </c>
      <c r="I49" s="356"/>
      <c r="J49" s="357">
        <v>0</v>
      </c>
      <c r="K49" s="356"/>
      <c r="L49" s="357">
        <v>0</v>
      </c>
      <c r="M49" s="356"/>
      <c r="N49" s="357">
        <v>0</v>
      </c>
      <c r="O49" s="357"/>
      <c r="P49" s="357">
        <v>0</v>
      </c>
      <c r="Q49" s="357"/>
      <c r="R49" s="357">
        <v>0</v>
      </c>
      <c r="S49" s="357"/>
      <c r="T49" s="357">
        <f t="shared" si="2"/>
        <v>0</v>
      </c>
    </row>
    <row r="50" spans="1:20" ht="15" customHeight="1">
      <c r="A50" s="48" t="s">
        <v>541</v>
      </c>
      <c r="B50" s="357">
        <v>0</v>
      </c>
      <c r="C50" s="356"/>
      <c r="D50" s="357">
        <v>0</v>
      </c>
      <c r="E50" s="356"/>
      <c r="F50" s="357">
        <v>0</v>
      </c>
      <c r="G50" s="356"/>
      <c r="H50" s="357">
        <v>0</v>
      </c>
      <c r="I50" s="356"/>
      <c r="J50" s="357">
        <v>0</v>
      </c>
      <c r="K50" s="356"/>
      <c r="L50" s="357">
        <v>0</v>
      </c>
      <c r="M50" s="356"/>
      <c r="N50" s="357">
        <v>0</v>
      </c>
      <c r="O50" s="357"/>
      <c r="P50" s="357">
        <v>0</v>
      </c>
      <c r="Q50" s="357"/>
      <c r="R50" s="357">
        <v>0</v>
      </c>
      <c r="S50" s="357"/>
      <c r="T50" s="357">
        <f t="shared" si="2"/>
        <v>0</v>
      </c>
    </row>
    <row r="51" spans="1:20" ht="15" customHeight="1">
      <c r="A51" s="48" t="s">
        <v>542</v>
      </c>
      <c r="B51" s="357">
        <v>0</v>
      </c>
      <c r="C51" s="356"/>
      <c r="D51" s="357">
        <v>0</v>
      </c>
      <c r="E51" s="356"/>
      <c r="F51" s="357">
        <v>0</v>
      </c>
      <c r="G51" s="356"/>
      <c r="H51" s="357">
        <v>0</v>
      </c>
      <c r="I51" s="356"/>
      <c r="J51" s="357">
        <v>0</v>
      </c>
      <c r="K51" s="356"/>
      <c r="L51" s="357">
        <v>0</v>
      </c>
      <c r="M51" s="374"/>
      <c r="N51" s="357">
        <v>0</v>
      </c>
      <c r="O51" s="357"/>
      <c r="P51" s="357">
        <v>0</v>
      </c>
      <c r="Q51" s="357"/>
      <c r="R51" s="357">
        <v>0</v>
      </c>
      <c r="S51" s="357"/>
      <c r="T51" s="357">
        <f t="shared" si="2"/>
        <v>0</v>
      </c>
    </row>
    <row r="52" spans="1:20" ht="15" customHeight="1">
      <c r="A52" s="48" t="s">
        <v>551</v>
      </c>
      <c r="B52" s="357">
        <v>0</v>
      </c>
      <c r="C52" s="356"/>
      <c r="D52" s="357">
        <v>0</v>
      </c>
      <c r="E52" s="356"/>
      <c r="F52" s="357">
        <v>0</v>
      </c>
      <c r="G52" s="356"/>
      <c r="H52" s="357">
        <v>0</v>
      </c>
      <c r="I52" s="356"/>
      <c r="J52" s="357">
        <v>0</v>
      </c>
      <c r="K52" s="356"/>
      <c r="L52" s="357">
        <v>0</v>
      </c>
      <c r="M52" s="374"/>
      <c r="N52" s="357">
        <v>0</v>
      </c>
      <c r="O52" s="357"/>
      <c r="P52" s="357">
        <v>0</v>
      </c>
      <c r="Q52" s="357"/>
      <c r="R52" s="357">
        <v>0</v>
      </c>
      <c r="S52" s="357"/>
      <c r="T52" s="357">
        <f t="shared" si="2"/>
        <v>0</v>
      </c>
    </row>
    <row r="53" spans="1:20" ht="15" customHeight="1">
      <c r="A53" s="43" t="s">
        <v>503</v>
      </c>
      <c r="B53" s="357">
        <v>0</v>
      </c>
      <c r="C53" s="356"/>
      <c r="D53" s="357">
        <v>0</v>
      </c>
      <c r="E53" s="356"/>
      <c r="F53" s="357">
        <v>0</v>
      </c>
      <c r="G53" s="356"/>
      <c r="H53" s="357">
        <v>0</v>
      </c>
      <c r="I53" s="356"/>
      <c r="J53" s="357">
        <v>0</v>
      </c>
      <c r="K53" s="356"/>
      <c r="L53" s="357">
        <v>0</v>
      </c>
      <c r="M53" s="356"/>
      <c r="N53" s="357">
        <v>0</v>
      </c>
      <c r="O53" s="357"/>
      <c r="P53" s="357">
        <v>0</v>
      </c>
      <c r="Q53" s="357"/>
      <c r="R53" s="357">
        <v>0</v>
      </c>
      <c r="S53" s="357"/>
      <c r="T53" s="357">
        <f t="shared" si="2"/>
        <v>0</v>
      </c>
    </row>
    <row r="54" spans="1:20" ht="15" customHeight="1">
      <c r="A54" s="43" t="s">
        <v>504</v>
      </c>
      <c r="B54" s="357">
        <v>0</v>
      </c>
      <c r="C54" s="356"/>
      <c r="D54" s="357">
        <v>0</v>
      </c>
      <c r="E54" s="356"/>
      <c r="F54" s="357">
        <v>0</v>
      </c>
      <c r="G54" s="356"/>
      <c r="H54" s="357">
        <v>0</v>
      </c>
      <c r="I54" s="356"/>
      <c r="J54" s="357">
        <v>0</v>
      </c>
      <c r="K54" s="356"/>
      <c r="L54" s="357">
        <v>0</v>
      </c>
      <c r="M54" s="356"/>
      <c r="N54" s="357">
        <v>0</v>
      </c>
      <c r="O54" s="357"/>
      <c r="P54" s="357">
        <v>0</v>
      </c>
      <c r="Q54" s="357"/>
      <c r="R54" s="357">
        <v>0</v>
      </c>
      <c r="S54" s="357"/>
      <c r="T54" s="357">
        <f t="shared" si="2"/>
        <v>0</v>
      </c>
    </row>
    <row r="55" spans="1:20" ht="15" customHeight="1">
      <c r="A55" s="48" t="s">
        <v>21</v>
      </c>
      <c r="B55" s="357">
        <v>0</v>
      </c>
      <c r="C55" s="356"/>
      <c r="D55" s="357">
        <v>0</v>
      </c>
      <c r="E55" s="356"/>
      <c r="F55" s="357">
        <v>0</v>
      </c>
      <c r="G55" s="356"/>
      <c r="H55" s="357">
        <v>0</v>
      </c>
      <c r="I55" s="356"/>
      <c r="J55" s="357">
        <v>0</v>
      </c>
      <c r="K55" s="356"/>
      <c r="L55" s="357">
        <v>0</v>
      </c>
      <c r="M55" s="356"/>
      <c r="N55" s="357">
        <v>0</v>
      </c>
      <c r="O55" s="302"/>
      <c r="P55" s="302">
        <v>0</v>
      </c>
      <c r="Q55" s="302"/>
      <c r="R55" s="302">
        <v>0</v>
      </c>
      <c r="S55" s="302"/>
      <c r="T55" s="357">
        <f t="shared" si="2"/>
        <v>0</v>
      </c>
    </row>
    <row r="56" spans="1:20" ht="15" customHeight="1">
      <c r="A56" s="48" t="s">
        <v>23</v>
      </c>
      <c r="B56" s="357">
        <v>0</v>
      </c>
      <c r="C56" s="356"/>
      <c r="D56" s="357">
        <v>0</v>
      </c>
      <c r="E56" s="356"/>
      <c r="F56" s="357">
        <v>0</v>
      </c>
      <c r="G56" s="356"/>
      <c r="H56" s="357">
        <v>0</v>
      </c>
      <c r="I56" s="356"/>
      <c r="J56" s="357">
        <v>0</v>
      </c>
      <c r="K56" s="356"/>
      <c r="L56" s="357">
        <v>0</v>
      </c>
      <c r="M56" s="356"/>
      <c r="N56" s="357">
        <v>0</v>
      </c>
      <c r="O56" s="357"/>
      <c r="P56" s="357">
        <v>0</v>
      </c>
      <c r="Q56" s="357"/>
      <c r="R56" s="357">
        <v>0</v>
      </c>
      <c r="S56" s="357"/>
      <c r="T56" s="357">
        <f t="shared" si="2"/>
        <v>0</v>
      </c>
    </row>
    <row r="57" spans="1:20" ht="15" customHeight="1">
      <c r="A57" s="43" t="s">
        <v>543</v>
      </c>
      <c r="B57" s="357">
        <v>0</v>
      </c>
      <c r="C57" s="356"/>
      <c r="D57" s="357">
        <v>0</v>
      </c>
      <c r="E57" s="356"/>
      <c r="F57" s="357">
        <v>0</v>
      </c>
      <c r="G57" s="356"/>
      <c r="H57" s="357">
        <v>0</v>
      </c>
      <c r="I57" s="356"/>
      <c r="J57" s="357">
        <v>0</v>
      </c>
      <c r="K57" s="356"/>
      <c r="L57" s="357">
        <v>0</v>
      </c>
      <c r="M57" s="356"/>
      <c r="N57" s="357">
        <v>0</v>
      </c>
      <c r="O57" s="357"/>
      <c r="P57" s="357">
        <v>0</v>
      </c>
      <c r="Q57" s="357"/>
      <c r="R57" s="357">
        <v>0</v>
      </c>
      <c r="S57" s="357"/>
      <c r="T57" s="357">
        <f t="shared" si="2"/>
        <v>0</v>
      </c>
    </row>
    <row r="58" spans="1:20" ht="15" customHeight="1">
      <c r="A58" s="43" t="s">
        <v>544</v>
      </c>
      <c r="B58" s="357">
        <v>0</v>
      </c>
      <c r="C58" s="356"/>
      <c r="D58" s="357">
        <v>0</v>
      </c>
      <c r="E58" s="356"/>
      <c r="F58" s="357">
        <v>0</v>
      </c>
      <c r="G58" s="356"/>
      <c r="H58" s="357">
        <v>0</v>
      </c>
      <c r="I58" s="356"/>
      <c r="J58" s="357">
        <v>0</v>
      </c>
      <c r="K58" s="356"/>
      <c r="L58" s="357"/>
      <c r="M58" s="374"/>
      <c r="N58" s="357">
        <v>0</v>
      </c>
      <c r="O58" s="357"/>
      <c r="P58" s="357">
        <v>0</v>
      </c>
      <c r="Q58" s="357"/>
      <c r="R58" s="357">
        <f>+R13+R14+R15+R17+R18+R21</f>
        <v>-432546.84</v>
      </c>
      <c r="S58" s="357"/>
      <c r="T58" s="357">
        <f t="shared" si="2"/>
        <v>-432546.84</v>
      </c>
    </row>
    <row r="59" spans="1:20" ht="15" customHeight="1">
      <c r="A59" s="43" t="s">
        <v>44</v>
      </c>
      <c r="B59" s="357">
        <v>0</v>
      </c>
      <c r="C59" s="356"/>
      <c r="D59" s="357">
        <v>0</v>
      </c>
      <c r="E59" s="356"/>
      <c r="F59" s="357">
        <v>0</v>
      </c>
      <c r="G59" s="356"/>
      <c r="H59" s="357">
        <v>0</v>
      </c>
      <c r="I59" s="356"/>
      <c r="J59" s="357">
        <v>0</v>
      </c>
      <c r="K59" s="356"/>
      <c r="L59" s="357">
        <v>0</v>
      </c>
      <c r="M59" s="356"/>
      <c r="N59" s="357">
        <v>0</v>
      </c>
      <c r="O59" s="357"/>
      <c r="P59" s="357">
        <v>0</v>
      </c>
      <c r="Q59" s="357"/>
      <c r="R59" s="357">
        <v>0</v>
      </c>
      <c r="S59" s="357"/>
      <c r="T59" s="357">
        <f t="shared" si="2"/>
        <v>0</v>
      </c>
    </row>
    <row r="60" spans="1:20" ht="15" customHeight="1">
      <c r="A60" s="43" t="s">
        <v>546</v>
      </c>
      <c r="B60" s="357">
        <v>0</v>
      </c>
      <c r="C60" s="356"/>
      <c r="D60" s="357">
        <v>0</v>
      </c>
      <c r="E60" s="356"/>
      <c r="F60" s="357">
        <v>0</v>
      </c>
      <c r="G60" s="356"/>
      <c r="H60" s="357">
        <v>0</v>
      </c>
      <c r="I60" s="356"/>
      <c r="J60" s="357">
        <v>0</v>
      </c>
      <c r="K60" s="356"/>
      <c r="L60" s="357">
        <v>0</v>
      </c>
      <c r="M60" s="374"/>
      <c r="N60" s="357">
        <v>0</v>
      </c>
      <c r="O60" s="357"/>
      <c r="P60" s="357">
        <v>0</v>
      </c>
      <c r="Q60" s="357"/>
      <c r="R60" s="357">
        <v>0</v>
      </c>
      <c r="S60" s="357"/>
      <c r="T60" s="357">
        <f t="shared" si="2"/>
        <v>0</v>
      </c>
    </row>
    <row r="61" spans="1:20" ht="15" customHeight="1">
      <c r="A61" s="43" t="s">
        <v>545</v>
      </c>
      <c r="B61" s="357">
        <v>0</v>
      </c>
      <c r="C61" s="356"/>
      <c r="D61" s="357">
        <v>0</v>
      </c>
      <c r="E61" s="356"/>
      <c r="F61" s="357">
        <v>0</v>
      </c>
      <c r="G61" s="356"/>
      <c r="H61" s="357">
        <v>0</v>
      </c>
      <c r="I61" s="356"/>
      <c r="J61" s="357">
        <v>0</v>
      </c>
      <c r="K61" s="356"/>
      <c r="L61" s="357">
        <v>0</v>
      </c>
      <c r="M61" s="356"/>
      <c r="N61" s="357">
        <v>0</v>
      </c>
      <c r="O61" s="357"/>
      <c r="P61" s="357">
        <v>0</v>
      </c>
      <c r="Q61" s="357"/>
      <c r="R61" s="357">
        <v>0</v>
      </c>
      <c r="S61" s="357"/>
      <c r="T61" s="357">
        <f t="shared" si="2"/>
        <v>0</v>
      </c>
    </row>
    <row r="62" spans="1:20" ht="15" customHeight="1">
      <c r="A62" s="43" t="s">
        <v>547</v>
      </c>
      <c r="B62" s="357">
        <v>0</v>
      </c>
      <c r="C62" s="356"/>
      <c r="D62" s="357">
        <v>0</v>
      </c>
      <c r="E62" s="356"/>
      <c r="F62" s="357">
        <v>0</v>
      </c>
      <c r="G62" s="356"/>
      <c r="H62" s="357">
        <v>0</v>
      </c>
      <c r="I62" s="356"/>
      <c r="J62" s="357">
        <v>0</v>
      </c>
      <c r="K62" s="356"/>
      <c r="L62" s="357">
        <v>0</v>
      </c>
      <c r="M62" s="374"/>
      <c r="N62" s="357">
        <v>0</v>
      </c>
      <c r="O62" s="357"/>
      <c r="P62" s="357">
        <v>0</v>
      </c>
      <c r="Q62" s="357"/>
      <c r="R62" s="357">
        <v>0</v>
      </c>
      <c r="S62" s="357"/>
      <c r="T62" s="357">
        <f t="shared" si="2"/>
        <v>0</v>
      </c>
    </row>
    <row r="63" spans="1:20" ht="15" customHeight="1">
      <c r="A63" s="43" t="s">
        <v>490</v>
      </c>
      <c r="B63" s="357">
        <v>0</v>
      </c>
      <c r="C63" s="356"/>
      <c r="D63" s="357">
        <v>0</v>
      </c>
      <c r="E63" s="356"/>
      <c r="F63" s="357">
        <v>0</v>
      </c>
      <c r="G63" s="356"/>
      <c r="H63" s="357">
        <v>0</v>
      </c>
      <c r="I63" s="356"/>
      <c r="J63" s="357">
        <v>0</v>
      </c>
      <c r="K63" s="356"/>
      <c r="L63" s="357">
        <v>0</v>
      </c>
      <c r="M63" s="356"/>
      <c r="N63" s="357">
        <v>0</v>
      </c>
      <c r="O63" s="357"/>
      <c r="P63" s="357">
        <v>0</v>
      </c>
      <c r="Q63" s="357"/>
      <c r="R63" s="357">
        <v>0</v>
      </c>
      <c r="S63" s="357"/>
      <c r="T63" s="357">
        <f t="shared" si="2"/>
        <v>0</v>
      </c>
    </row>
    <row r="64" spans="1:20" ht="15" customHeight="1">
      <c r="A64" s="43" t="s">
        <v>152</v>
      </c>
      <c r="B64" s="357">
        <v>0</v>
      </c>
      <c r="C64" s="356"/>
      <c r="D64" s="357">
        <v>0</v>
      </c>
      <c r="E64" s="356"/>
      <c r="F64" s="357">
        <v>0</v>
      </c>
      <c r="G64" s="356"/>
      <c r="H64" s="357">
        <v>0</v>
      </c>
      <c r="I64" s="356"/>
      <c r="J64" s="357">
        <v>0</v>
      </c>
      <c r="K64" s="356"/>
      <c r="L64" s="357">
        <v>0</v>
      </c>
      <c r="M64" s="356"/>
      <c r="N64" s="357">
        <v>0</v>
      </c>
      <c r="O64" s="357"/>
      <c r="P64" s="357">
        <v>0</v>
      </c>
      <c r="Q64" s="357"/>
      <c r="R64" s="357">
        <v>0</v>
      </c>
      <c r="S64" s="357"/>
      <c r="T64" s="357">
        <f t="shared" si="2"/>
        <v>0</v>
      </c>
    </row>
    <row r="65" spans="1:22" ht="15" customHeight="1">
      <c r="A65" s="43" t="s">
        <v>548</v>
      </c>
      <c r="B65" s="357">
        <v>0</v>
      </c>
      <c r="C65" s="356"/>
      <c r="D65" s="357">
        <v>0</v>
      </c>
      <c r="E65" s="356"/>
      <c r="F65" s="357">
        <v>0</v>
      </c>
      <c r="G65" s="356"/>
      <c r="H65" s="357">
        <v>0</v>
      </c>
      <c r="I65" s="356"/>
      <c r="J65" s="357">
        <v>0</v>
      </c>
      <c r="K65" s="356"/>
      <c r="L65" s="357">
        <v>0</v>
      </c>
      <c r="M65" s="374"/>
      <c r="N65" s="357">
        <v>0</v>
      </c>
      <c r="O65" s="357"/>
      <c r="P65" s="357">
        <v>0</v>
      </c>
      <c r="Q65" s="357"/>
      <c r="R65" s="357">
        <v>0</v>
      </c>
      <c r="S65" s="357"/>
      <c r="T65" s="357">
        <f t="shared" si="2"/>
        <v>0</v>
      </c>
    </row>
    <row r="66" spans="1:22" ht="15" customHeight="1">
      <c r="A66" s="43" t="s">
        <v>549</v>
      </c>
      <c r="B66" s="357">
        <v>0</v>
      </c>
      <c r="C66" s="356"/>
      <c r="D66" s="357">
        <v>0</v>
      </c>
      <c r="E66" s="356"/>
      <c r="F66" s="357">
        <v>0</v>
      </c>
      <c r="G66" s="356"/>
      <c r="H66" s="357">
        <v>0</v>
      </c>
      <c r="I66" s="356"/>
      <c r="J66" s="357">
        <v>0</v>
      </c>
      <c r="K66" s="356"/>
      <c r="L66" s="357">
        <f>'WP-4 - Dues &amp; Sub'!K32</f>
        <v>0</v>
      </c>
      <c r="M66" s="374"/>
      <c r="N66" s="357">
        <v>0</v>
      </c>
      <c r="O66" s="357"/>
      <c r="P66" s="357">
        <v>0</v>
      </c>
      <c r="Q66" s="357"/>
      <c r="R66" s="357">
        <v>0</v>
      </c>
      <c r="S66" s="357"/>
      <c r="T66" s="357">
        <f t="shared" si="2"/>
        <v>0</v>
      </c>
    </row>
    <row r="67" spans="1:22" ht="15" customHeight="1">
      <c r="A67" s="43" t="s">
        <v>20</v>
      </c>
      <c r="B67" s="357">
        <v>0</v>
      </c>
      <c r="C67" s="356"/>
      <c r="D67" s="357">
        <v>0</v>
      </c>
      <c r="E67" s="356"/>
      <c r="F67" s="357">
        <v>0</v>
      </c>
      <c r="G67" s="356"/>
      <c r="H67" s="357">
        <v>0</v>
      </c>
      <c r="I67" s="356"/>
      <c r="J67" s="357">
        <v>0</v>
      </c>
      <c r="K67" s="356"/>
      <c r="L67" s="357">
        <v>0</v>
      </c>
      <c r="M67" s="374"/>
      <c r="N67" s="357">
        <v>0</v>
      </c>
      <c r="O67" s="357"/>
      <c r="P67" s="357">
        <v>0</v>
      </c>
      <c r="Q67" s="357"/>
      <c r="R67" s="357">
        <v>0</v>
      </c>
      <c r="S67" s="357"/>
      <c r="T67" s="357">
        <f t="shared" si="2"/>
        <v>0</v>
      </c>
    </row>
    <row r="68" spans="1:22" ht="15" customHeight="1">
      <c r="A68" s="43" t="s">
        <v>550</v>
      </c>
      <c r="B68" s="357">
        <v>0</v>
      </c>
      <c r="C68" s="356"/>
      <c r="D68" s="357">
        <v>0</v>
      </c>
      <c r="E68" s="356"/>
      <c r="F68" s="357">
        <v>0</v>
      </c>
      <c r="G68" s="356"/>
      <c r="H68" s="357">
        <v>0</v>
      </c>
      <c r="I68" s="356"/>
      <c r="J68" s="357">
        <v>0</v>
      </c>
      <c r="K68" s="356"/>
      <c r="L68" s="357">
        <v>0</v>
      </c>
      <c r="M68" s="374"/>
      <c r="N68" s="357">
        <v>0</v>
      </c>
      <c r="O68" s="357"/>
      <c r="P68" s="357">
        <v>0</v>
      </c>
      <c r="Q68" s="357"/>
      <c r="R68" s="357">
        <v>0</v>
      </c>
      <c r="S68" s="357"/>
      <c r="T68" s="357">
        <f t="shared" si="2"/>
        <v>0</v>
      </c>
    </row>
    <row r="69" spans="1:22" ht="15" customHeight="1">
      <c r="A69" s="43" t="s">
        <v>499</v>
      </c>
      <c r="B69" s="357">
        <v>0</v>
      </c>
      <c r="C69" s="356"/>
      <c r="D69" s="357">
        <v>0</v>
      </c>
      <c r="E69" s="356"/>
      <c r="F69" s="357">
        <v>0</v>
      </c>
      <c r="G69" s="356"/>
      <c r="H69" s="357">
        <v>0</v>
      </c>
      <c r="I69" s="356"/>
      <c r="J69" s="357">
        <v>0</v>
      </c>
      <c r="K69" s="356"/>
      <c r="L69" s="357">
        <v>0</v>
      </c>
      <c r="M69" s="374"/>
      <c r="N69" s="357">
        <v>0</v>
      </c>
      <c r="O69" s="357"/>
      <c r="P69" s="357">
        <v>0</v>
      </c>
      <c r="Q69" s="357"/>
      <c r="R69" s="357">
        <v>0</v>
      </c>
      <c r="S69" s="357"/>
      <c r="T69" s="357">
        <f t="shared" si="2"/>
        <v>0</v>
      </c>
    </row>
    <row r="70" spans="1:22" ht="15" customHeight="1">
      <c r="A70" s="43" t="s">
        <v>172</v>
      </c>
      <c r="B70" s="357">
        <v>0</v>
      </c>
      <c r="C70" s="356"/>
      <c r="D70" s="357">
        <v>0</v>
      </c>
      <c r="E70" s="356"/>
      <c r="F70" s="357">
        <v>0</v>
      </c>
      <c r="G70" s="356"/>
      <c r="H70" s="357">
        <v>0</v>
      </c>
      <c r="I70" s="356"/>
      <c r="J70" s="357">
        <v>0</v>
      </c>
      <c r="K70" s="356"/>
      <c r="L70" s="357">
        <v>0</v>
      </c>
      <c r="M70" s="374"/>
      <c r="N70" s="357">
        <v>0</v>
      </c>
      <c r="O70" s="357"/>
      <c r="P70" s="357">
        <v>0</v>
      </c>
      <c r="Q70" s="357"/>
      <c r="R70" s="357">
        <v>0</v>
      </c>
      <c r="S70" s="357"/>
      <c r="T70" s="357">
        <f t="shared" si="2"/>
        <v>0</v>
      </c>
    </row>
    <row r="71" spans="1:22" ht="15" customHeight="1">
      <c r="A71" s="43" t="s">
        <v>501</v>
      </c>
      <c r="B71" s="357">
        <v>0</v>
      </c>
      <c r="C71" s="356"/>
      <c r="D71" s="357">
        <v>0</v>
      </c>
      <c r="E71" s="356"/>
      <c r="F71" s="357">
        <v>0</v>
      </c>
      <c r="G71" s="356"/>
      <c r="H71" s="357">
        <v>0</v>
      </c>
      <c r="I71" s="356"/>
      <c r="J71" s="357">
        <v>0</v>
      </c>
      <c r="K71" s="356"/>
      <c r="L71" s="357">
        <v>0</v>
      </c>
      <c r="M71" s="356"/>
      <c r="N71" s="357">
        <v>0</v>
      </c>
      <c r="O71" s="357"/>
      <c r="P71" s="357">
        <v>0</v>
      </c>
      <c r="Q71" s="357"/>
      <c r="R71" s="357">
        <v>0</v>
      </c>
      <c r="S71" s="357"/>
      <c r="T71" s="357">
        <f t="shared" si="2"/>
        <v>0</v>
      </c>
    </row>
    <row r="72" spans="1:22" ht="15" customHeight="1">
      <c r="A72" s="43" t="s">
        <v>502</v>
      </c>
      <c r="B72" s="357">
        <v>0</v>
      </c>
      <c r="C72" s="356"/>
      <c r="D72" s="357">
        <v>0</v>
      </c>
      <c r="E72" s="356"/>
      <c r="F72" s="357">
        <v>0</v>
      </c>
      <c r="G72" s="356"/>
      <c r="H72" s="357">
        <v>0</v>
      </c>
      <c r="I72" s="356"/>
      <c r="J72" s="357">
        <v>0</v>
      </c>
      <c r="K72" s="356"/>
      <c r="L72" s="357">
        <v>0</v>
      </c>
      <c r="M72" s="356"/>
      <c r="N72" s="357">
        <v>0</v>
      </c>
      <c r="O72" s="357"/>
      <c r="P72" s="357">
        <v>0</v>
      </c>
      <c r="Q72" s="357"/>
      <c r="R72" s="357">
        <v>0</v>
      </c>
      <c r="S72" s="357"/>
      <c r="T72" s="357">
        <f t="shared" si="2"/>
        <v>0</v>
      </c>
    </row>
    <row r="73" spans="1:22" ht="15" customHeight="1">
      <c r="A73" s="43" t="s">
        <v>505</v>
      </c>
      <c r="B73" s="357">
        <v>0</v>
      </c>
      <c r="C73" s="356"/>
      <c r="D73" s="357">
        <v>0</v>
      </c>
      <c r="E73" s="356"/>
      <c r="F73" s="357">
        <v>0</v>
      </c>
      <c r="G73" s="356"/>
      <c r="H73" s="357">
        <v>0</v>
      </c>
      <c r="I73" s="356"/>
      <c r="J73" s="357">
        <v>0</v>
      </c>
      <c r="K73" s="356"/>
      <c r="L73" s="357">
        <v>0</v>
      </c>
      <c r="M73" s="356"/>
      <c r="N73" s="357">
        <v>0</v>
      </c>
      <c r="O73" s="357"/>
      <c r="P73" s="357">
        <v>0</v>
      </c>
      <c r="Q73" s="357"/>
      <c r="R73" s="357">
        <v>0</v>
      </c>
      <c r="S73" s="357"/>
      <c r="T73" s="357">
        <f t="shared" si="2"/>
        <v>0</v>
      </c>
    </row>
    <row r="74" spans="1:22" ht="15" customHeight="1">
      <c r="A74" s="43" t="s">
        <v>506</v>
      </c>
      <c r="B74" s="357">
        <v>0</v>
      </c>
      <c r="C74" s="356"/>
      <c r="D74" s="357">
        <v>0</v>
      </c>
      <c r="E74" s="356"/>
      <c r="F74" s="357">
        <v>0</v>
      </c>
      <c r="G74" s="356"/>
      <c r="H74" s="357">
        <v>0</v>
      </c>
      <c r="I74" s="356"/>
      <c r="J74" s="357">
        <v>0</v>
      </c>
      <c r="K74" s="356"/>
      <c r="L74" s="302">
        <v>0</v>
      </c>
      <c r="M74" s="374"/>
      <c r="N74" s="357">
        <v>0</v>
      </c>
      <c r="O74" s="302"/>
      <c r="P74" s="302">
        <v>0</v>
      </c>
      <c r="Q74" s="302"/>
      <c r="R74" s="302">
        <v>0</v>
      </c>
      <c r="S74" s="302"/>
      <c r="T74" s="357">
        <f t="shared" si="2"/>
        <v>0</v>
      </c>
    </row>
    <row r="75" spans="1:22" ht="15" customHeight="1">
      <c r="A75" s="43" t="s">
        <v>552</v>
      </c>
      <c r="B75" s="357">
        <v>0</v>
      </c>
      <c r="C75" s="356"/>
      <c r="D75" s="357">
        <v>0</v>
      </c>
      <c r="E75" s="356"/>
      <c r="F75" s="357">
        <v>0</v>
      </c>
      <c r="G75" s="356"/>
      <c r="H75" s="357">
        <v>0</v>
      </c>
      <c r="I75" s="356"/>
      <c r="J75" s="357">
        <v>0</v>
      </c>
      <c r="K75" s="356"/>
      <c r="L75" s="357">
        <v>0</v>
      </c>
      <c r="M75" s="356"/>
      <c r="N75" s="357">
        <v>0</v>
      </c>
      <c r="O75" s="302"/>
      <c r="P75" s="302">
        <v>0</v>
      </c>
      <c r="Q75" s="302"/>
      <c r="R75" s="302">
        <v>0</v>
      </c>
      <c r="S75" s="302"/>
      <c r="T75" s="357">
        <f t="shared" si="2"/>
        <v>0</v>
      </c>
    </row>
    <row r="76" spans="1:22" ht="15" customHeight="1">
      <c r="A76" s="43" t="s">
        <v>554</v>
      </c>
      <c r="B76" s="357">
        <v>0</v>
      </c>
      <c r="C76" s="356"/>
      <c r="D76" s="357">
        <v>0</v>
      </c>
      <c r="E76" s="356"/>
      <c r="F76" s="357">
        <v>0</v>
      </c>
      <c r="G76" s="356"/>
      <c r="H76" s="357">
        <v>0</v>
      </c>
      <c r="I76" s="356"/>
      <c r="J76" s="357">
        <v>0</v>
      </c>
      <c r="K76" s="356"/>
      <c r="L76" s="357">
        <v>0</v>
      </c>
      <c r="M76" s="374"/>
      <c r="N76" s="357">
        <v>0</v>
      </c>
      <c r="O76" s="357"/>
      <c r="P76" s="357">
        <v>0</v>
      </c>
      <c r="Q76" s="357"/>
      <c r="R76" s="357">
        <v>0</v>
      </c>
      <c r="S76" s="357"/>
      <c r="T76" s="357">
        <f t="shared" si="2"/>
        <v>0</v>
      </c>
    </row>
    <row r="77" spans="1:22" ht="15" customHeight="1">
      <c r="A77" s="43" t="s">
        <v>553</v>
      </c>
      <c r="B77" s="357">
        <v>0</v>
      </c>
      <c r="C77" s="356"/>
      <c r="D77" s="357">
        <v>0</v>
      </c>
      <c r="E77" s="356"/>
      <c r="F77" s="357">
        <v>0</v>
      </c>
      <c r="G77" s="356"/>
      <c r="H77" s="357">
        <v>0</v>
      </c>
      <c r="I77" s="356"/>
      <c r="J77" s="357">
        <v>0</v>
      </c>
      <c r="K77" s="356"/>
      <c r="L77" s="357">
        <v>0</v>
      </c>
      <c r="M77" s="374"/>
      <c r="N77" s="357">
        <v>0</v>
      </c>
      <c r="O77" s="302"/>
      <c r="P77" s="302">
        <v>0</v>
      </c>
      <c r="Q77" s="302"/>
      <c r="R77" s="302">
        <v>0</v>
      </c>
      <c r="S77" s="302"/>
      <c r="T77" s="357">
        <f t="shared" si="2"/>
        <v>0</v>
      </c>
    </row>
    <row r="78" spans="1:22" ht="15" customHeight="1">
      <c r="A78" s="43" t="s">
        <v>555</v>
      </c>
      <c r="B78" s="357">
        <v>0</v>
      </c>
      <c r="C78" s="356"/>
      <c r="D78" s="357">
        <v>0</v>
      </c>
      <c r="E78" s="356"/>
      <c r="F78" s="302">
        <v>0</v>
      </c>
      <c r="G78" s="356"/>
      <c r="H78" s="357">
        <v>0</v>
      </c>
      <c r="I78" s="356"/>
      <c r="J78" s="357">
        <v>0</v>
      </c>
      <c r="K78" s="356"/>
      <c r="L78" s="357">
        <v>0</v>
      </c>
      <c r="M78" s="356"/>
      <c r="N78" s="357">
        <v>0</v>
      </c>
      <c r="O78" s="302"/>
      <c r="P78" s="302">
        <v>0</v>
      </c>
      <c r="Q78" s="302"/>
      <c r="R78" s="302">
        <v>0</v>
      </c>
      <c r="S78" s="302"/>
      <c r="T78" s="357">
        <f t="shared" si="2"/>
        <v>0</v>
      </c>
    </row>
    <row r="79" spans="1:22" ht="15" customHeight="1">
      <c r="A79" s="48" t="s">
        <v>556</v>
      </c>
      <c r="B79" s="357">
        <v>0</v>
      </c>
      <c r="C79" s="356"/>
      <c r="D79" s="357">
        <v>0</v>
      </c>
      <c r="E79" s="356"/>
      <c r="F79" s="302">
        <v>0</v>
      </c>
      <c r="G79" s="356"/>
      <c r="H79" s="357">
        <v>0</v>
      </c>
      <c r="I79" s="356"/>
      <c r="J79" s="357">
        <v>0</v>
      </c>
      <c r="K79" s="356"/>
      <c r="L79" s="357">
        <v>0</v>
      </c>
      <c r="M79" s="356"/>
      <c r="N79" s="357">
        <v>0</v>
      </c>
      <c r="O79" s="302"/>
      <c r="P79" s="302">
        <v>0</v>
      </c>
      <c r="Q79" s="302"/>
      <c r="R79" s="302">
        <v>0</v>
      </c>
      <c r="S79" s="302"/>
      <c r="T79" s="357">
        <f t="shared" si="2"/>
        <v>0</v>
      </c>
    </row>
    <row r="80" spans="1:22" ht="15" customHeight="1">
      <c r="A80" s="43" t="s">
        <v>557</v>
      </c>
      <c r="B80" s="357">
        <v>0</v>
      </c>
      <c r="C80" s="356"/>
      <c r="D80" s="357">
        <v>0</v>
      </c>
      <c r="E80" s="356"/>
      <c r="F80" s="357">
        <v>0</v>
      </c>
      <c r="G80" s="356"/>
      <c r="H80" s="357">
        <v>0</v>
      </c>
      <c r="I80" s="356"/>
      <c r="J80" s="357">
        <v>0</v>
      </c>
      <c r="K80" s="356"/>
      <c r="L80" s="357">
        <v>0</v>
      </c>
      <c r="M80" s="374"/>
      <c r="N80" s="357">
        <v>0</v>
      </c>
      <c r="O80" s="357"/>
      <c r="P80" s="357">
        <v>0</v>
      </c>
      <c r="Q80" s="357"/>
      <c r="R80" s="357">
        <v>0</v>
      </c>
      <c r="S80" s="357"/>
      <c r="T80" s="357">
        <f t="shared" si="2"/>
        <v>0</v>
      </c>
      <c r="U80" s="440"/>
      <c r="V80" s="440"/>
    </row>
    <row r="81" spans="1:20" ht="15" customHeight="1">
      <c r="A81" s="43" t="s">
        <v>513</v>
      </c>
      <c r="B81" s="357">
        <v>0</v>
      </c>
      <c r="C81" s="356"/>
      <c r="D81" s="357">
        <v>0</v>
      </c>
      <c r="E81" s="356"/>
      <c r="F81" s="357">
        <v>0</v>
      </c>
      <c r="G81" s="356"/>
      <c r="H81" s="357">
        <v>0</v>
      </c>
      <c r="I81" s="356"/>
      <c r="J81" s="357">
        <v>0</v>
      </c>
      <c r="K81" s="356"/>
      <c r="L81" s="357">
        <v>0</v>
      </c>
      <c r="M81" s="356"/>
      <c r="N81" s="357">
        <v>0</v>
      </c>
      <c r="O81" s="357"/>
      <c r="P81" s="357">
        <v>0</v>
      </c>
      <c r="Q81" s="357"/>
      <c r="R81" s="357">
        <v>0</v>
      </c>
      <c r="S81" s="357"/>
      <c r="T81" s="357">
        <f t="shared" si="2"/>
        <v>0</v>
      </c>
    </row>
    <row r="82" spans="1:20" ht="15" customHeight="1">
      <c r="A82" s="43" t="s">
        <v>514</v>
      </c>
      <c r="B82" s="357">
        <v>0</v>
      </c>
      <c r="C82" s="356"/>
      <c r="D82" s="357">
        <v>0</v>
      </c>
      <c r="E82" s="356"/>
      <c r="F82" s="357">
        <v>0</v>
      </c>
      <c r="G82" s="356"/>
      <c r="H82" s="357">
        <v>0</v>
      </c>
      <c r="I82" s="356"/>
      <c r="J82" s="357">
        <v>0</v>
      </c>
      <c r="K82" s="356"/>
      <c r="L82" s="357">
        <v>0</v>
      </c>
      <c r="M82" s="356"/>
      <c r="N82" s="357">
        <v>0</v>
      </c>
      <c r="O82" s="357"/>
      <c r="P82" s="357">
        <v>0</v>
      </c>
      <c r="Q82" s="357"/>
      <c r="R82" s="357">
        <v>0</v>
      </c>
      <c r="S82" s="357"/>
      <c r="T82" s="357">
        <f t="shared" si="2"/>
        <v>0</v>
      </c>
    </row>
    <row r="83" spans="1:20" ht="15" customHeight="1">
      <c r="A83" s="43" t="s">
        <v>515</v>
      </c>
      <c r="B83" s="357">
        <v>0</v>
      </c>
      <c r="C83" s="356"/>
      <c r="D83" s="357">
        <v>0</v>
      </c>
      <c r="E83" s="356"/>
      <c r="F83" s="302">
        <v>0</v>
      </c>
      <c r="G83" s="356"/>
      <c r="H83" s="357">
        <v>0</v>
      </c>
      <c r="I83" s="356"/>
      <c r="J83" s="357">
        <v>0</v>
      </c>
      <c r="K83" s="356"/>
      <c r="L83" s="357">
        <v>0</v>
      </c>
      <c r="M83" s="356"/>
      <c r="N83" s="357">
        <v>0</v>
      </c>
      <c r="O83" s="302"/>
      <c r="P83" s="302">
        <v>0</v>
      </c>
      <c r="Q83" s="302"/>
      <c r="R83" s="302">
        <v>0</v>
      </c>
      <c r="S83" s="302"/>
      <c r="T83" s="357">
        <f t="shared" si="2"/>
        <v>0</v>
      </c>
    </row>
    <row r="84" spans="1:20" ht="15" customHeight="1">
      <c r="A84" s="43" t="s">
        <v>16</v>
      </c>
      <c r="B84" s="357">
        <v>0</v>
      </c>
      <c r="C84" s="356"/>
      <c r="D84" s="357">
        <v>0</v>
      </c>
      <c r="E84" s="356"/>
      <c r="F84" s="357">
        <v>0</v>
      </c>
      <c r="G84" s="356"/>
      <c r="H84" s="357">
        <v>0</v>
      </c>
      <c r="I84" s="356"/>
      <c r="J84" s="357">
        <v>0</v>
      </c>
      <c r="K84" s="356"/>
      <c r="L84" s="357">
        <v>0</v>
      </c>
      <c r="M84" s="374"/>
      <c r="N84" s="357">
        <v>0</v>
      </c>
      <c r="O84" s="357"/>
      <c r="P84" s="357">
        <v>0</v>
      </c>
      <c r="Q84" s="357"/>
      <c r="R84" s="357">
        <v>0</v>
      </c>
      <c r="S84" s="357"/>
      <c r="T84" s="357">
        <f t="shared" si="2"/>
        <v>0</v>
      </c>
    </row>
    <row r="85" spans="1:20" ht="15" customHeight="1">
      <c r="A85" s="43" t="s">
        <v>516</v>
      </c>
      <c r="B85" s="357">
        <v>0</v>
      </c>
      <c r="C85" s="356"/>
      <c r="D85" s="357">
        <v>0</v>
      </c>
      <c r="E85" s="356"/>
      <c r="F85" s="357">
        <v>0</v>
      </c>
      <c r="G85" s="356"/>
      <c r="H85" s="357">
        <v>0</v>
      </c>
      <c r="I85" s="356"/>
      <c r="J85" s="357">
        <v>0</v>
      </c>
      <c r="K85" s="356"/>
      <c r="L85" s="357">
        <v>0</v>
      </c>
      <c r="M85" s="356"/>
      <c r="N85" s="357">
        <v>0</v>
      </c>
      <c r="O85" s="357"/>
      <c r="P85" s="357">
        <v>0</v>
      </c>
      <c r="Q85" s="357"/>
      <c r="R85" s="357">
        <v>0</v>
      </c>
      <c r="S85" s="357"/>
      <c r="T85" s="357">
        <f t="shared" si="2"/>
        <v>0</v>
      </c>
    </row>
    <row r="86" spans="1:20" ht="15" customHeight="1">
      <c r="A86" s="43" t="s">
        <v>517</v>
      </c>
      <c r="B86" s="357">
        <v>0</v>
      </c>
      <c r="C86" s="356"/>
      <c r="D86" s="357">
        <v>0</v>
      </c>
      <c r="E86" s="356"/>
      <c r="F86" s="357">
        <v>0</v>
      </c>
      <c r="G86" s="356"/>
      <c r="H86" s="357">
        <v>0</v>
      </c>
      <c r="I86" s="356"/>
      <c r="J86" s="357">
        <v>0</v>
      </c>
      <c r="K86" s="356"/>
      <c r="L86" s="357">
        <v>0</v>
      </c>
      <c r="M86" s="356"/>
      <c r="N86" s="357">
        <v>0</v>
      </c>
      <c r="O86" s="357"/>
      <c r="P86" s="357">
        <v>0</v>
      </c>
      <c r="Q86" s="357"/>
      <c r="R86" s="357">
        <v>0</v>
      </c>
      <c r="S86" s="357"/>
      <c r="T86" s="357">
        <f t="shared" si="2"/>
        <v>0</v>
      </c>
    </row>
    <row r="87" spans="1:20" ht="15" customHeight="1">
      <c r="A87" s="43" t="s">
        <v>22</v>
      </c>
      <c r="B87" s="357">
        <v>0</v>
      </c>
      <c r="C87" s="356"/>
      <c r="D87" s="357">
        <v>0</v>
      </c>
      <c r="E87" s="356"/>
      <c r="F87" s="357">
        <v>0</v>
      </c>
      <c r="G87" s="356"/>
      <c r="H87" s="357">
        <v>0</v>
      </c>
      <c r="I87" s="356"/>
      <c r="J87" s="357">
        <v>0</v>
      </c>
      <c r="K87" s="356"/>
      <c r="L87" s="357">
        <v>0</v>
      </c>
      <c r="M87" s="356"/>
      <c r="N87" s="357">
        <v>0</v>
      </c>
      <c r="O87" s="357"/>
      <c r="P87" s="357">
        <v>0</v>
      </c>
      <c r="Q87" s="357"/>
      <c r="R87" s="357">
        <v>0</v>
      </c>
      <c r="S87" s="357"/>
      <c r="T87" s="357">
        <f t="shared" si="2"/>
        <v>0</v>
      </c>
    </row>
    <row r="88" spans="1:20" ht="15" customHeight="1">
      <c r="A88" s="43" t="s">
        <v>558</v>
      </c>
      <c r="B88" s="357">
        <v>0</v>
      </c>
      <c r="C88" s="356"/>
      <c r="D88" s="357">
        <v>0</v>
      </c>
      <c r="E88" s="356"/>
      <c r="F88" s="357">
        <v>0</v>
      </c>
      <c r="G88" s="356"/>
      <c r="H88" s="357">
        <v>0</v>
      </c>
      <c r="I88" s="356"/>
      <c r="J88" s="357">
        <v>0</v>
      </c>
      <c r="K88" s="356"/>
      <c r="L88" s="357">
        <v>0</v>
      </c>
      <c r="M88" s="356"/>
      <c r="N88" s="357">
        <v>0</v>
      </c>
      <c r="O88" s="357"/>
      <c r="P88" s="357">
        <v>0</v>
      </c>
      <c r="Q88" s="357"/>
      <c r="R88" s="357">
        <v>0</v>
      </c>
      <c r="S88" s="357"/>
      <c r="T88" s="357">
        <f t="shared" si="2"/>
        <v>0</v>
      </c>
    </row>
    <row r="89" spans="1:20" ht="15" customHeight="1">
      <c r="A89" s="43" t="s">
        <v>57</v>
      </c>
      <c r="B89" s="357">
        <f>+'WP-1 - Summary Depr'!L24</f>
        <v>-29412.775952380878</v>
      </c>
      <c r="C89" s="356" t="s">
        <v>435</v>
      </c>
      <c r="D89" s="357">
        <v>0</v>
      </c>
      <c r="E89" s="356"/>
      <c r="F89" s="357">
        <v>0</v>
      </c>
      <c r="G89" s="356"/>
      <c r="H89" s="357">
        <v>0</v>
      </c>
      <c r="I89" s="356"/>
      <c r="J89" s="357">
        <v>0</v>
      </c>
      <c r="K89" s="356"/>
      <c r="L89" s="357">
        <v>0</v>
      </c>
      <c r="M89" s="356"/>
      <c r="N89" s="357">
        <v>0</v>
      </c>
      <c r="O89" s="357"/>
      <c r="P89" s="357">
        <v>0</v>
      </c>
      <c r="Q89" s="357"/>
      <c r="R89" s="357">
        <v>0</v>
      </c>
      <c r="S89" s="357"/>
      <c r="T89" s="357">
        <f t="shared" si="2"/>
        <v>-29412.775952380878</v>
      </c>
    </row>
    <row r="90" spans="1:20" ht="15" customHeight="1">
      <c r="A90" s="43" t="s">
        <v>558</v>
      </c>
      <c r="B90" s="357">
        <v>0</v>
      </c>
      <c r="C90" s="356"/>
      <c r="D90" s="357">
        <v>0</v>
      </c>
      <c r="E90" s="356"/>
      <c r="F90" s="357">
        <v>0</v>
      </c>
      <c r="G90" s="356"/>
      <c r="H90" s="357">
        <v>0</v>
      </c>
      <c r="I90" s="356"/>
      <c r="J90" s="357">
        <v>0</v>
      </c>
      <c r="K90" s="356"/>
      <c r="L90" s="357">
        <v>0</v>
      </c>
      <c r="M90" s="356"/>
      <c r="N90" s="357">
        <v>0</v>
      </c>
      <c r="O90" s="357"/>
      <c r="P90" s="357">
        <v>0</v>
      </c>
      <c r="Q90" s="357"/>
      <c r="R90" s="357">
        <v>0</v>
      </c>
      <c r="S90" s="357"/>
      <c r="T90" s="357">
        <f t="shared" si="2"/>
        <v>0</v>
      </c>
    </row>
    <row r="91" spans="1:20" ht="15" customHeight="1">
      <c r="A91" s="43" t="s">
        <v>57</v>
      </c>
      <c r="B91" s="357">
        <v>0</v>
      </c>
      <c r="C91" s="356"/>
      <c r="D91" s="357">
        <v>0</v>
      </c>
      <c r="E91" s="356"/>
      <c r="F91" s="357">
        <v>0</v>
      </c>
      <c r="G91" s="356"/>
      <c r="H91" s="357">
        <v>0</v>
      </c>
      <c r="I91" s="356"/>
      <c r="J91" s="357">
        <v>0</v>
      </c>
      <c r="K91" s="356"/>
      <c r="L91" s="357">
        <v>0</v>
      </c>
      <c r="M91" s="356"/>
      <c r="N91" s="357">
        <v>0</v>
      </c>
      <c r="O91" s="357"/>
      <c r="P91" s="357">
        <v>0</v>
      </c>
      <c r="Q91" s="357"/>
      <c r="R91" s="357">
        <v>0</v>
      </c>
      <c r="S91" s="357"/>
      <c r="T91" s="357">
        <f t="shared" si="2"/>
        <v>0</v>
      </c>
    </row>
    <row r="92" spans="1:20" ht="15" customHeight="1">
      <c r="A92" s="299"/>
      <c r="B92" s="359">
        <f>SUM(B28:B91)</f>
        <v>-29412.775952380878</v>
      </c>
      <c r="C92" s="356"/>
      <c r="D92" s="359">
        <f>SUM(D28:D91)</f>
        <v>-6746.58</v>
      </c>
      <c r="E92" s="356"/>
      <c r="F92" s="359">
        <f>SUM(F28:F91)</f>
        <v>0</v>
      </c>
      <c r="G92" s="356"/>
      <c r="H92" s="359">
        <f>SUM(H28:H91)</f>
        <v>-142.44000000000005</v>
      </c>
      <c r="I92" s="356"/>
      <c r="J92" s="359">
        <f>SUM(J28:J91)</f>
        <v>10936.5</v>
      </c>
      <c r="K92" s="356"/>
      <c r="L92" s="359">
        <f>SUM(L28:L91)</f>
        <v>-1225.18</v>
      </c>
      <c r="M92" s="356"/>
      <c r="N92" s="359">
        <f>SUM(N28:N91)</f>
        <v>11207.350000000006</v>
      </c>
      <c r="O92" s="356"/>
      <c r="P92" s="359">
        <f>SUM(P28:P91)</f>
        <v>24043</v>
      </c>
      <c r="Q92" s="356"/>
      <c r="R92" s="359">
        <f>SUM(R28:R91)</f>
        <v>-432546.84</v>
      </c>
      <c r="S92" s="356"/>
      <c r="T92" s="359">
        <f>SUM(T28:T91)</f>
        <v>-423886.96595238091</v>
      </c>
    </row>
    <row r="93" spans="1:20" ht="15" customHeight="1">
      <c r="A93" s="287"/>
      <c r="B93" s="302"/>
      <c r="C93" s="304"/>
      <c r="D93" s="302"/>
      <c r="E93" s="304"/>
      <c r="F93" s="302"/>
      <c r="G93" s="304"/>
      <c r="H93" s="302"/>
      <c r="I93" s="304"/>
      <c r="J93" s="302"/>
      <c r="K93" s="304"/>
      <c r="L93" s="302"/>
      <c r="M93" s="304"/>
      <c r="N93" s="302"/>
      <c r="O93" s="302"/>
      <c r="P93" s="304"/>
      <c r="Q93" s="302"/>
      <c r="R93" s="302"/>
      <c r="S93" s="302"/>
      <c r="T93" s="302"/>
    </row>
    <row r="94" spans="1:20" ht="15" customHeight="1" thickBot="1">
      <c r="A94" s="287" t="s">
        <v>54</v>
      </c>
      <c r="B94" s="360">
        <f>+B25-B92</f>
        <v>29412.775952380878</v>
      </c>
      <c r="C94" s="356"/>
      <c r="D94" s="360">
        <f>+D25-D92</f>
        <v>6746.58</v>
      </c>
      <c r="E94" s="356"/>
      <c r="F94" s="360">
        <f>+F25-F92</f>
        <v>0</v>
      </c>
      <c r="G94" s="356"/>
      <c r="H94" s="360">
        <f>+H25-H92</f>
        <v>142.44000000000005</v>
      </c>
      <c r="I94" s="356"/>
      <c r="J94" s="360">
        <f>+J25-J92</f>
        <v>-10936.5</v>
      </c>
      <c r="K94" s="356"/>
      <c r="L94" s="360">
        <f>+L25-L92</f>
        <v>1225.18</v>
      </c>
      <c r="M94" s="356"/>
      <c r="N94" s="360">
        <f>+N25-N92</f>
        <v>-11207.350000000006</v>
      </c>
      <c r="O94" s="357"/>
      <c r="P94" s="360">
        <f>+P25-P92</f>
        <v>-24043</v>
      </c>
      <c r="Q94" s="357"/>
      <c r="R94" s="360">
        <f>+R25-R92</f>
        <v>0</v>
      </c>
      <c r="S94" s="357"/>
      <c r="T94" s="360">
        <f>+T25-T92</f>
        <v>-8659.874047619116</v>
      </c>
    </row>
    <row r="95" spans="1:20" ht="15" customHeight="1" thickTop="1">
      <c r="A95" s="287"/>
      <c r="B95" s="302"/>
      <c r="C95" s="304"/>
      <c r="D95" s="302"/>
      <c r="E95" s="304"/>
      <c r="F95" s="302"/>
      <c r="G95" s="304"/>
      <c r="H95" s="302"/>
      <c r="I95" s="304"/>
      <c r="J95" s="302"/>
      <c r="K95" s="304"/>
      <c r="L95" s="302"/>
      <c r="M95" s="304"/>
      <c r="N95" s="302"/>
      <c r="O95" s="302"/>
      <c r="P95" s="302"/>
      <c r="Q95" s="302"/>
      <c r="R95" s="302"/>
      <c r="S95" s="302"/>
      <c r="T95" s="302"/>
    </row>
    <row r="96" spans="1:20" ht="15" customHeight="1">
      <c r="D96" s="279"/>
      <c r="E96" s="280"/>
      <c r="J96" s="413"/>
      <c r="N96" s="413"/>
    </row>
    <row r="97" spans="4:20" ht="15" customHeight="1">
      <c r="T97" s="357"/>
    </row>
    <row r="98" spans="4:20" ht="15" customHeight="1"/>
    <row r="99" spans="4:20" ht="15" customHeight="1"/>
    <row r="100" spans="4:20" ht="15" customHeight="1"/>
    <row r="101" spans="4:20" ht="15" customHeight="1"/>
    <row r="102" spans="4:20" ht="15" customHeight="1"/>
    <row r="103" spans="4:20" ht="15" customHeight="1">
      <c r="D103" s="279"/>
      <c r="E103" s="280"/>
    </row>
    <row r="104" spans="4:20" ht="15" customHeight="1"/>
  </sheetData>
  <mergeCells count="4">
    <mergeCell ref="A1:T1"/>
    <mergeCell ref="A5:T5"/>
    <mergeCell ref="A3:T3"/>
    <mergeCell ref="A6:T6"/>
  </mergeCells>
  <phoneticPr fontId="8" type="noConversion"/>
  <printOptions horizontalCentered="1"/>
  <pageMargins left="0.25" right="0.25" top="0.75" bottom="0.5" header="0" footer="0.25"/>
  <pageSetup scale="68" fitToHeight="0" orientation="landscape" horizontalDpi="300" verticalDpi="300" r:id="rId1"/>
  <headerFooter scaleWithDoc="0" alignWithMargins="0">
    <oddFooter xml:space="preserve">&amp;C&amp;"Times New Roman,Regular"&amp;10See accompanying summary of significant forecast assumptions. &amp;"Arial,Regular"&amp;9
</oddFooter>
  </headerFooter>
  <rowBreaks count="2" manualBreakCount="2">
    <brk id="39" max="15" man="1"/>
    <brk id="7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35"/>
  <sheetViews>
    <sheetView topLeftCell="A4" zoomScaleNormal="100" workbookViewId="0">
      <selection activeCell="B10" sqref="B10:I10"/>
    </sheetView>
  </sheetViews>
  <sheetFormatPr defaultColWidth="8" defaultRowHeight="15.75"/>
  <cols>
    <col min="1" max="1" width="5.77734375" style="277" customWidth="1"/>
    <col min="2" max="2" width="18.44140625" style="277" customWidth="1"/>
    <col min="3" max="4" width="10.33203125" style="277" customWidth="1"/>
    <col min="5" max="6" width="7.77734375" style="277" customWidth="1"/>
    <col min="7" max="7" width="4.21875" style="277" customWidth="1"/>
    <col min="8" max="8" width="3.5546875" style="277" customWidth="1"/>
    <col min="9" max="9" width="5.88671875" style="277" customWidth="1"/>
    <col min="10" max="16384" width="8" style="277"/>
  </cols>
  <sheetData>
    <row r="1" spans="1:10" ht="16.5" customHeight="1">
      <c r="A1" s="1010" t="s">
        <v>434</v>
      </c>
      <c r="B1" s="1011"/>
      <c r="C1" s="1011"/>
      <c r="D1" s="1011"/>
      <c r="E1" s="1011"/>
      <c r="F1" s="1011"/>
      <c r="G1" s="1011"/>
      <c r="H1" s="1011"/>
      <c r="I1" s="1011"/>
    </row>
    <row r="2" spans="1:10" ht="13.5" customHeight="1">
      <c r="A2" s="1011"/>
      <c r="B2" s="1011"/>
      <c r="C2" s="1011"/>
      <c r="D2" s="1011"/>
      <c r="E2" s="1011"/>
      <c r="F2" s="1011"/>
      <c r="G2" s="1011"/>
      <c r="H2" s="1011"/>
      <c r="I2" s="1011"/>
    </row>
    <row r="3" spans="1:10" ht="16.5">
      <c r="A3" s="1011" t="s">
        <v>132</v>
      </c>
      <c r="B3" s="1011"/>
      <c r="C3" s="1011"/>
      <c r="D3" s="1011"/>
      <c r="E3" s="1011"/>
      <c r="F3" s="1011"/>
      <c r="G3" s="1011"/>
      <c r="H3" s="1011"/>
      <c r="I3" s="1011"/>
    </row>
    <row r="4" spans="1:10" ht="15.75" customHeight="1">
      <c r="A4" s="305"/>
      <c r="B4" s="305"/>
      <c r="C4" s="305"/>
      <c r="D4" s="305"/>
      <c r="E4" s="305"/>
      <c r="F4" s="305"/>
      <c r="G4" s="305"/>
      <c r="H4" s="305"/>
      <c r="I4" s="305"/>
    </row>
    <row r="5" spans="1:10" ht="15.75" customHeight="1">
      <c r="A5" s="1012" t="str">
        <f>'Fly Sheet'!$A$20</f>
        <v>For the Twelve Months Ended December 31, 2018 Historical and December 31, 2020 Forecasted</v>
      </c>
      <c r="B5" s="1013"/>
      <c r="C5" s="1013"/>
      <c r="D5" s="1013"/>
      <c r="E5" s="1013"/>
      <c r="F5" s="1013"/>
      <c r="G5" s="1013"/>
      <c r="H5" s="1013"/>
      <c r="I5" s="1013"/>
    </row>
    <row r="6" spans="1:10" ht="15.75" customHeight="1">
      <c r="A6" s="1012"/>
      <c r="B6" s="1013"/>
      <c r="C6" s="1013"/>
      <c r="D6" s="1013"/>
      <c r="E6" s="1013"/>
      <c r="F6" s="1013"/>
      <c r="G6" s="1013"/>
      <c r="H6" s="1013"/>
      <c r="I6" s="1013"/>
    </row>
    <row r="7" spans="1:10" ht="15.75" customHeight="1">
      <c r="B7" s="306"/>
      <c r="C7" s="306"/>
      <c r="D7" s="306"/>
      <c r="E7" s="306"/>
      <c r="F7" s="306"/>
      <c r="G7" s="306"/>
      <c r="H7" s="306"/>
      <c r="I7" s="306"/>
    </row>
    <row r="8" spans="1:10" ht="45" customHeight="1">
      <c r="A8" s="430" t="s">
        <v>253</v>
      </c>
      <c r="B8" s="1014" t="s">
        <v>993</v>
      </c>
      <c r="C8" s="1014"/>
      <c r="D8" s="1014"/>
      <c r="E8" s="1014"/>
      <c r="F8" s="1014"/>
      <c r="G8" s="1014"/>
      <c r="H8" s="1014"/>
      <c r="I8" s="1014"/>
    </row>
    <row r="9" spans="1:10" ht="21" customHeight="1">
      <c r="A9" s="363" t="s">
        <v>67</v>
      </c>
      <c r="B9" s="1014" t="s">
        <v>1014</v>
      </c>
      <c r="C9" s="1015"/>
      <c r="D9" s="1015"/>
      <c r="E9" s="1015"/>
      <c r="F9" s="1015"/>
      <c r="G9" s="1015"/>
      <c r="H9" s="1015"/>
      <c r="I9" s="1015"/>
    </row>
    <row r="10" spans="1:10" ht="17.25" customHeight="1">
      <c r="A10" s="363" t="s">
        <v>68</v>
      </c>
      <c r="B10" s="1014" t="s">
        <v>1001</v>
      </c>
      <c r="C10" s="1015"/>
      <c r="D10" s="1015"/>
      <c r="E10" s="1015"/>
      <c r="F10" s="1015"/>
      <c r="G10" s="1015"/>
      <c r="H10" s="1015"/>
      <c r="I10" s="1015"/>
    </row>
    <row r="11" spans="1:10">
      <c r="A11" s="363" t="s">
        <v>69</v>
      </c>
      <c r="B11" s="1014" t="s">
        <v>252</v>
      </c>
      <c r="C11" s="1014"/>
      <c r="D11" s="1014"/>
      <c r="E11" s="1014"/>
      <c r="F11" s="1014"/>
      <c r="G11" s="1014"/>
      <c r="H11" s="1014"/>
      <c r="I11" s="1014"/>
      <c r="J11" s="440"/>
    </row>
    <row r="12" spans="1:10">
      <c r="A12" s="363" t="s">
        <v>70</v>
      </c>
      <c r="B12" s="1009" t="s">
        <v>963</v>
      </c>
      <c r="C12" s="1009"/>
      <c r="D12" s="1009"/>
      <c r="E12" s="1009"/>
      <c r="F12" s="1009"/>
      <c r="G12" s="1009"/>
      <c r="H12" s="1009"/>
      <c r="I12" s="1009"/>
    </row>
    <row r="13" spans="1:10">
      <c r="A13" s="363"/>
      <c r="B13" s="474"/>
      <c r="C13" s="474"/>
      <c r="D13" s="474"/>
      <c r="E13" s="474"/>
      <c r="F13" s="474"/>
      <c r="G13" s="474"/>
      <c r="H13" s="474"/>
      <c r="I13" s="474"/>
    </row>
    <row r="14" spans="1:10" ht="18" customHeight="1">
      <c r="A14" s="284" t="s">
        <v>291</v>
      </c>
      <c r="B14" s="436"/>
      <c r="C14" s="363"/>
      <c r="D14" s="363"/>
      <c r="E14" s="363"/>
      <c r="F14" s="363"/>
      <c r="G14" s="363"/>
      <c r="H14" s="363"/>
      <c r="I14" s="363"/>
    </row>
    <row r="15" spans="1:10">
      <c r="A15" s="284" t="s">
        <v>69</v>
      </c>
      <c r="B15" s="284" t="s">
        <v>284</v>
      </c>
      <c r="C15" s="307">
        <f>+'WP-7 - Fuel'!E40</f>
        <v>-7490.3710242575617</v>
      </c>
      <c r="J15" s="440"/>
    </row>
    <row r="16" spans="1:10" ht="16.5" thickBot="1">
      <c r="C16" s="513">
        <f>C15</f>
        <v>-7490.3710242575617</v>
      </c>
      <c r="D16" s="307"/>
      <c r="E16" s="377"/>
    </row>
    <row r="17" spans="1:5" ht="16.5" thickTop="1">
      <c r="A17" s="308"/>
    </row>
    <row r="18" spans="1:5">
      <c r="A18" s="856"/>
      <c r="B18" s="857"/>
      <c r="C18" s="858"/>
    </row>
    <row r="19" spans="1:5">
      <c r="A19" s="856"/>
      <c r="B19" s="858"/>
      <c r="C19" s="859"/>
      <c r="D19" s="431"/>
      <c r="E19" s="431"/>
    </row>
    <row r="20" spans="1:5">
      <c r="A20" s="856"/>
      <c r="B20" s="858"/>
      <c r="C20" s="502"/>
      <c r="D20" s="502"/>
      <c r="E20" s="307"/>
    </row>
    <row r="21" spans="1:5">
      <c r="A21" s="856"/>
      <c r="B21" s="858"/>
      <c r="C21" s="503"/>
      <c r="D21" s="503"/>
      <c r="E21" s="307"/>
    </row>
    <row r="22" spans="1:5">
      <c r="A22" s="856"/>
      <c r="B22" s="857"/>
      <c r="C22" s="860"/>
      <c r="D22" s="504"/>
      <c r="E22" s="377"/>
    </row>
    <row r="23" spans="1:5">
      <c r="A23" s="856"/>
      <c r="B23" s="858"/>
      <c r="C23" s="858"/>
    </row>
    <row r="24" spans="1:5">
      <c r="A24" s="856"/>
      <c r="B24" s="857"/>
      <c r="C24" s="858"/>
    </row>
    <row r="25" spans="1:5">
      <c r="A25" s="856"/>
      <c r="B25" s="858"/>
      <c r="C25" s="502"/>
    </row>
    <row r="26" spans="1:5">
      <c r="A26" s="856"/>
      <c r="B26" s="858"/>
      <c r="C26" s="502"/>
    </row>
    <row r="27" spans="1:5">
      <c r="A27" s="856"/>
      <c r="B27" s="858"/>
      <c r="C27" s="502"/>
    </row>
    <row r="28" spans="1:5">
      <c r="A28" s="856"/>
      <c r="B28" s="858"/>
      <c r="C28" s="502"/>
    </row>
    <row r="29" spans="1:5">
      <c r="A29" s="856"/>
      <c r="B29" s="857"/>
      <c r="C29" s="861"/>
      <c r="D29" s="440"/>
    </row>
    <row r="30" spans="1:5">
      <c r="A30" s="308"/>
    </row>
    <row r="31" spans="1:5">
      <c r="A31" s="308"/>
    </row>
    <row r="35" spans="3:3">
      <c r="C35" s="307"/>
    </row>
  </sheetData>
  <mergeCells count="10">
    <mergeCell ref="B12:I12"/>
    <mergeCell ref="A1:I1"/>
    <mergeCell ref="A3:I3"/>
    <mergeCell ref="A5:I5"/>
    <mergeCell ref="A6:I6"/>
    <mergeCell ref="B11:I11"/>
    <mergeCell ref="B9:I9"/>
    <mergeCell ref="B10:I10"/>
    <mergeCell ref="A2:I2"/>
    <mergeCell ref="B8:I8"/>
  </mergeCells>
  <phoneticPr fontId="8" type="noConversion"/>
  <printOptions horizontalCentered="1"/>
  <pageMargins left="0.9" right="0.7" top="0.75" bottom="0.5" header="0" footer="0.25"/>
  <pageSetup scale="98" fitToHeight="0" orientation="portrait" horizontalDpi="300" verticalDpi="300" r:id="rId1"/>
  <headerFooter scaleWithDoc="0" alignWithMargins="0">
    <oddFooter xml:space="preserve">&amp;C&amp;"Times New Roman,Regular"&amp;10See accompanying summary of significant forecast assumptions.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170"/>
  <sheetViews>
    <sheetView topLeftCell="A25" zoomScale="85" zoomScaleNormal="85" workbookViewId="0">
      <selection activeCell="S36" sqref="S36"/>
    </sheetView>
  </sheetViews>
  <sheetFormatPr defaultColWidth="8" defaultRowHeight="15.75"/>
  <cols>
    <col min="1" max="1" width="27.77734375" style="279" customWidth="1"/>
    <col min="2" max="2" width="10.77734375" style="279" customWidth="1"/>
    <col min="3" max="3" width="3.77734375" style="280" customWidth="1"/>
    <col min="4" max="4" width="10.77734375" style="279" customWidth="1"/>
    <col min="5" max="5" width="3.77734375" style="280" customWidth="1"/>
    <col min="6" max="6" width="10.77734375" style="279" customWidth="1"/>
    <col min="7" max="7" width="3.77734375" style="279" customWidth="1"/>
    <col min="8" max="8" width="10.77734375" style="279" customWidth="1"/>
    <col min="9" max="9" width="3.77734375" style="280" customWidth="1"/>
    <col min="10" max="10" width="10.77734375" style="279" customWidth="1"/>
    <col min="11" max="11" width="3.77734375" style="279" customWidth="1"/>
    <col min="12" max="12" width="10.77734375" style="279" customWidth="1"/>
    <col min="13" max="13" width="4.33203125" style="277" customWidth="1"/>
    <col min="14" max="14" width="8" style="277" customWidth="1"/>
    <col min="15" max="15" width="2.88671875" style="277" customWidth="1"/>
    <col min="16" max="16" width="12.44140625" style="277" customWidth="1"/>
    <col min="17" max="16384" width="8" style="277"/>
  </cols>
  <sheetData>
    <row r="1" spans="1:14" ht="16.5" customHeight="1">
      <c r="A1" s="1008" t="s">
        <v>434</v>
      </c>
      <c r="B1" s="1008"/>
      <c r="C1" s="1008"/>
      <c r="D1" s="1008"/>
      <c r="E1" s="1008"/>
      <c r="F1" s="1008"/>
      <c r="G1" s="1008"/>
      <c r="H1" s="1008"/>
      <c r="I1" s="1008"/>
      <c r="J1" s="1008"/>
      <c r="K1" s="1008"/>
      <c r="L1" s="1008"/>
      <c r="M1" s="283" t="s">
        <v>237</v>
      </c>
      <c r="N1" s="284" t="s">
        <v>295</v>
      </c>
    </row>
    <row r="2" spans="1:14" ht="13.5" customHeight="1">
      <c r="A2" s="278"/>
      <c r="M2" s="283" t="s">
        <v>238</v>
      </c>
      <c r="N2" s="284" t="s">
        <v>242</v>
      </c>
    </row>
    <row r="3" spans="1:14" ht="16.5" customHeight="1">
      <c r="A3" s="1008" t="s">
        <v>147</v>
      </c>
      <c r="B3" s="1008"/>
      <c r="C3" s="1008"/>
      <c r="D3" s="1008"/>
      <c r="E3" s="1008"/>
      <c r="F3" s="1008"/>
      <c r="G3" s="1008"/>
      <c r="H3" s="1008"/>
      <c r="I3" s="1008"/>
      <c r="J3" s="1008"/>
      <c r="K3" s="1008"/>
      <c r="L3" s="1008"/>
      <c r="M3" s="283" t="s">
        <v>239</v>
      </c>
      <c r="N3" s="284" t="s">
        <v>296</v>
      </c>
    </row>
    <row r="4" spans="1:14">
      <c r="A4" s="285"/>
      <c r="B4" s="285"/>
      <c r="C4" s="286"/>
      <c r="D4" s="285"/>
      <c r="E4" s="286"/>
      <c r="F4" s="285"/>
      <c r="G4" s="285"/>
      <c r="H4" s="285"/>
      <c r="I4" s="286"/>
      <c r="J4" s="285"/>
      <c r="K4" s="285"/>
      <c r="L4" s="285"/>
      <c r="M4" s="283" t="s">
        <v>240</v>
      </c>
      <c r="N4" s="284" t="s">
        <v>241</v>
      </c>
    </row>
    <row r="5" spans="1:14">
      <c r="A5" s="1008" t="str">
        <f>'Fly Sheet'!$A$20</f>
        <v>For the Twelve Months Ended December 31, 2018 Historical and December 31, 2020 Forecasted</v>
      </c>
      <c r="B5" s="1008"/>
      <c r="C5" s="1008"/>
      <c r="D5" s="1008"/>
      <c r="E5" s="1008"/>
      <c r="F5" s="1008"/>
      <c r="G5" s="1008"/>
      <c r="H5" s="1008"/>
      <c r="I5" s="1008"/>
      <c r="J5" s="1008"/>
      <c r="K5" s="1008"/>
      <c r="L5" s="1008"/>
    </row>
    <row r="6" spans="1:14">
      <c r="A6" s="1008"/>
      <c r="B6" s="1008"/>
      <c r="C6" s="1008"/>
      <c r="D6" s="1008"/>
      <c r="E6" s="1008"/>
      <c r="F6" s="1008"/>
      <c r="G6" s="1008"/>
      <c r="H6" s="1008"/>
      <c r="I6" s="1008"/>
      <c r="J6" s="1008"/>
      <c r="K6" s="1008"/>
      <c r="L6" s="1008"/>
    </row>
    <row r="7" spans="1:14">
      <c r="A7" s="278"/>
    </row>
    <row r="8" spans="1:14" ht="12.95" customHeight="1">
      <c r="A8" s="287"/>
      <c r="B8" s="288" t="s">
        <v>94</v>
      </c>
      <c r="C8" s="289"/>
      <c r="D8" s="288" t="s">
        <v>67</v>
      </c>
      <c r="E8" s="289"/>
      <c r="F8" s="288" t="s">
        <v>68</v>
      </c>
      <c r="G8" s="288"/>
      <c r="H8" s="288" t="s">
        <v>69</v>
      </c>
      <c r="I8" s="289"/>
      <c r="J8" s="288" t="s">
        <v>70</v>
      </c>
      <c r="K8" s="288"/>
      <c r="L8" s="290" t="s">
        <v>5</v>
      </c>
    </row>
    <row r="9" spans="1:14" ht="12.95" customHeight="1">
      <c r="A9" s="287"/>
      <c r="B9" s="309"/>
      <c r="C9" s="310"/>
      <c r="D9" s="288"/>
      <c r="E9" s="289"/>
      <c r="F9" s="887" t="s">
        <v>231</v>
      </c>
      <c r="G9" s="309"/>
      <c r="H9" s="288"/>
      <c r="I9" s="310"/>
      <c r="J9" s="288" t="s">
        <v>4</v>
      </c>
      <c r="K9" s="288"/>
      <c r="L9" s="288" t="s">
        <v>0</v>
      </c>
    </row>
    <row r="10" spans="1:14" ht="12.95" customHeight="1">
      <c r="A10" s="287"/>
      <c r="B10" s="290"/>
      <c r="C10" s="292"/>
      <c r="D10" s="288" t="s">
        <v>153</v>
      </c>
      <c r="E10" s="289"/>
      <c r="F10" s="288" t="s">
        <v>1002</v>
      </c>
      <c r="G10" s="288"/>
      <c r="H10" s="288" t="s">
        <v>29</v>
      </c>
      <c r="I10" s="289"/>
      <c r="J10" s="311" t="s">
        <v>77</v>
      </c>
      <c r="K10" s="311"/>
      <c r="L10" s="288" t="s">
        <v>37</v>
      </c>
    </row>
    <row r="11" spans="1:14" ht="12.95" customHeight="1">
      <c r="A11" s="287"/>
      <c r="B11" s="295" t="s">
        <v>8</v>
      </c>
      <c r="C11" s="289"/>
      <c r="D11" s="295" t="s">
        <v>41</v>
      </c>
      <c r="E11" s="289"/>
      <c r="F11" s="295" t="s">
        <v>1003</v>
      </c>
      <c r="G11" s="289"/>
      <c r="H11" s="312" t="s">
        <v>17</v>
      </c>
      <c r="I11" s="289"/>
      <c r="J11" s="295" t="s">
        <v>78</v>
      </c>
      <c r="K11" s="289"/>
      <c r="L11" s="295" t="s">
        <v>40</v>
      </c>
    </row>
    <row r="12" spans="1:14" ht="15" customHeight="1">
      <c r="A12" s="297" t="str">
        <f>+'Sch 1, pg 2 - Restated'!A12</f>
        <v>REVENUES</v>
      </c>
      <c r="B12" s="287"/>
      <c r="C12" s="298"/>
      <c r="D12" s="287"/>
      <c r="E12" s="298"/>
      <c r="F12" s="287"/>
      <c r="G12" s="287"/>
      <c r="H12" s="287"/>
      <c r="I12" s="298"/>
      <c r="J12" s="287"/>
      <c r="K12" s="287"/>
      <c r="L12" s="287"/>
    </row>
    <row r="13" spans="1:14" ht="15" customHeight="1">
      <c r="A13" s="48" t="s">
        <v>603</v>
      </c>
      <c r="B13" s="355">
        <v>0</v>
      </c>
      <c r="C13" s="372"/>
      <c r="D13" s="355">
        <v>0</v>
      </c>
      <c r="E13" s="372"/>
      <c r="F13" s="355">
        <f>+'WP-9 Disposal'!C56</f>
        <v>17125.061030208315</v>
      </c>
      <c r="G13" s="355"/>
      <c r="H13" s="355">
        <v>0</v>
      </c>
      <c r="I13" s="372"/>
      <c r="J13" s="355">
        <v>0</v>
      </c>
      <c r="K13" s="355"/>
      <c r="L13" s="355">
        <f t="shared" ref="L13:L23" si="0">SUM(B13:K13)</f>
        <v>17125.061030208315</v>
      </c>
    </row>
    <row r="14" spans="1:14" ht="15" customHeight="1">
      <c r="A14" s="48" t="s">
        <v>885</v>
      </c>
      <c r="B14" s="357">
        <v>0</v>
      </c>
      <c r="C14" s="356"/>
      <c r="D14" s="357">
        <v>0</v>
      </c>
      <c r="E14" s="356"/>
      <c r="F14" s="357">
        <f>+'WP-9 Disposal'!C57</f>
        <v>25683.288969791683</v>
      </c>
      <c r="G14" s="357"/>
      <c r="H14" s="357">
        <v>0</v>
      </c>
      <c r="I14" s="356"/>
      <c r="J14" s="357">
        <v>0</v>
      </c>
      <c r="K14" s="357"/>
      <c r="L14" s="357">
        <f t="shared" si="0"/>
        <v>25683.288969791683</v>
      </c>
    </row>
    <row r="15" spans="1:14" ht="15" customHeight="1">
      <c r="A15" s="48" t="s">
        <v>7</v>
      </c>
      <c r="B15" s="357">
        <v>0</v>
      </c>
      <c r="C15" s="356"/>
      <c r="D15" s="357">
        <v>0</v>
      </c>
      <c r="E15" s="356"/>
      <c r="F15" s="357">
        <v>0</v>
      </c>
      <c r="G15" s="357"/>
      <c r="H15" s="357">
        <v>0</v>
      </c>
      <c r="I15" s="356"/>
      <c r="J15" s="357">
        <v>0</v>
      </c>
      <c r="K15" s="357"/>
      <c r="L15" s="357">
        <f t="shared" si="0"/>
        <v>0</v>
      </c>
    </row>
    <row r="16" spans="1:14" ht="15" customHeight="1">
      <c r="A16" s="48" t="s">
        <v>886</v>
      </c>
      <c r="B16" s="357">
        <v>0</v>
      </c>
      <c r="C16" s="356"/>
      <c r="D16" s="357">
        <v>0</v>
      </c>
      <c r="E16" s="356"/>
      <c r="F16" s="357">
        <v>0</v>
      </c>
      <c r="G16" s="357"/>
      <c r="H16" s="357">
        <v>0</v>
      </c>
      <c r="I16" s="356"/>
      <c r="J16" s="357">
        <f>+'WP-9 Disposal'!C45</f>
        <v>13194.792452830188</v>
      </c>
      <c r="K16" s="357"/>
      <c r="L16" s="357">
        <f t="shared" si="0"/>
        <v>13194.792452830188</v>
      </c>
    </row>
    <row r="17" spans="1:17" ht="15" customHeight="1">
      <c r="A17" s="48" t="s">
        <v>887</v>
      </c>
      <c r="B17" s="357">
        <v>0</v>
      </c>
      <c r="C17" s="356"/>
      <c r="D17" s="357">
        <v>0</v>
      </c>
      <c r="E17" s="356"/>
      <c r="F17" s="357">
        <v>0</v>
      </c>
      <c r="G17" s="357"/>
      <c r="H17" s="357">
        <v>0</v>
      </c>
      <c r="I17" s="356"/>
      <c r="J17" s="357">
        <v>0</v>
      </c>
      <c r="K17" s="357"/>
      <c r="L17" s="357">
        <f t="shared" si="0"/>
        <v>0</v>
      </c>
    </row>
    <row r="18" spans="1:17" ht="15" customHeight="1">
      <c r="A18" s="48" t="s">
        <v>888</v>
      </c>
      <c r="B18" s="302">
        <v>0</v>
      </c>
      <c r="C18" s="304"/>
      <c r="D18" s="302">
        <v>0</v>
      </c>
      <c r="E18" s="304"/>
      <c r="F18" s="302">
        <v>0</v>
      </c>
      <c r="G18" s="302"/>
      <c r="H18" s="302">
        <v>0</v>
      </c>
      <c r="I18" s="304"/>
      <c r="J18" s="302">
        <v>0</v>
      </c>
      <c r="K18" s="432"/>
      <c r="L18" s="357">
        <f t="shared" si="0"/>
        <v>0</v>
      </c>
    </row>
    <row r="19" spans="1:17" ht="15" customHeight="1">
      <c r="A19" s="48" t="s">
        <v>889</v>
      </c>
      <c r="B19" s="302">
        <v>0</v>
      </c>
      <c r="C19" s="304"/>
      <c r="D19" s="302">
        <v>0</v>
      </c>
      <c r="E19" s="304"/>
      <c r="F19" s="302">
        <v>0</v>
      </c>
      <c r="G19" s="302"/>
      <c r="H19" s="302"/>
      <c r="I19" s="304"/>
      <c r="J19" s="302">
        <v>0</v>
      </c>
      <c r="K19" s="302"/>
      <c r="L19" s="357">
        <f t="shared" si="0"/>
        <v>0</v>
      </c>
    </row>
    <row r="20" spans="1:17" ht="15" customHeight="1">
      <c r="A20" s="48" t="s">
        <v>534</v>
      </c>
      <c r="B20" s="302">
        <v>0</v>
      </c>
      <c r="C20" s="304"/>
      <c r="D20" s="302">
        <v>0</v>
      </c>
      <c r="E20" s="304"/>
      <c r="F20" s="302">
        <v>0</v>
      </c>
      <c r="G20" s="302"/>
      <c r="H20" s="302"/>
      <c r="I20" s="304"/>
      <c r="J20" s="302">
        <v>0</v>
      </c>
      <c r="K20" s="302"/>
      <c r="L20" s="357">
        <f t="shared" ref="L20:L22" si="1">SUM(B20:K20)</f>
        <v>0</v>
      </c>
    </row>
    <row r="21" spans="1:17" ht="15" customHeight="1">
      <c r="A21" s="48" t="s">
        <v>890</v>
      </c>
      <c r="B21" s="302">
        <v>0</v>
      </c>
      <c r="C21" s="304"/>
      <c r="D21" s="302">
        <v>0</v>
      </c>
      <c r="E21" s="304"/>
      <c r="F21" s="302">
        <v>0</v>
      </c>
      <c r="G21" s="302"/>
      <c r="H21" s="302"/>
      <c r="I21" s="304"/>
      <c r="J21" s="302">
        <v>0</v>
      </c>
      <c r="K21" s="302"/>
      <c r="L21" s="357">
        <f t="shared" si="1"/>
        <v>0</v>
      </c>
    </row>
    <row r="22" spans="1:17" ht="15" customHeight="1">
      <c r="A22" s="48" t="s">
        <v>59</v>
      </c>
      <c r="B22" s="302">
        <v>0</v>
      </c>
      <c r="C22" s="304"/>
      <c r="D22" s="302">
        <v>0</v>
      </c>
      <c r="E22" s="304"/>
      <c r="F22" s="302">
        <v>0</v>
      </c>
      <c r="G22" s="302"/>
      <c r="H22" s="302"/>
      <c r="I22" s="304"/>
      <c r="J22" s="302">
        <v>0</v>
      </c>
      <c r="K22" s="302"/>
      <c r="L22" s="357">
        <f t="shared" si="1"/>
        <v>0</v>
      </c>
    </row>
    <row r="23" spans="1:17" ht="15" customHeight="1">
      <c r="A23" s="301"/>
      <c r="B23" s="358">
        <v>0</v>
      </c>
      <c r="C23" s="356"/>
      <c r="D23" s="358">
        <v>0</v>
      </c>
      <c r="E23" s="356"/>
      <c r="F23" s="358">
        <v>0</v>
      </c>
      <c r="G23" s="356"/>
      <c r="H23" s="358">
        <v>0</v>
      </c>
      <c r="I23" s="356"/>
      <c r="J23" s="358">
        <v>0</v>
      </c>
      <c r="K23" s="356"/>
      <c r="L23" s="357">
        <f t="shared" si="0"/>
        <v>0</v>
      </c>
    </row>
    <row r="24" spans="1:17" ht="15" customHeight="1">
      <c r="A24" s="299"/>
      <c r="B24" s="358">
        <f>SUM(B13:B23)</f>
        <v>0</v>
      </c>
      <c r="C24" s="356"/>
      <c r="D24" s="358">
        <f>SUM(D13:D23)</f>
        <v>0</v>
      </c>
      <c r="E24" s="356"/>
      <c r="F24" s="358">
        <f>SUM(F13:F23)</f>
        <v>42808.35</v>
      </c>
      <c r="G24" s="356"/>
      <c r="H24" s="358">
        <f>SUM(H13:H23)</f>
        <v>0</v>
      </c>
      <c r="I24" s="356"/>
      <c r="J24" s="358">
        <f>SUM(J13:J23)</f>
        <v>13194.792452830188</v>
      </c>
      <c r="K24" s="356"/>
      <c r="L24" s="412">
        <f>SUM(L13:L23)</f>
        <v>56003.142452830187</v>
      </c>
    </row>
    <row r="25" spans="1:17" ht="15" customHeight="1">
      <c r="A25" s="299"/>
      <c r="B25" s="356"/>
      <c r="C25" s="356"/>
      <c r="D25" s="356"/>
      <c r="E25" s="356"/>
      <c r="F25" s="356"/>
      <c r="G25" s="356"/>
      <c r="H25" s="356"/>
      <c r="I25" s="356"/>
      <c r="J25" s="356"/>
      <c r="K25" s="356"/>
      <c r="L25" s="356"/>
    </row>
    <row r="26" spans="1:17" ht="15" customHeight="1">
      <c r="A26" s="303" t="str">
        <f>+'Sch 1, pg 2 - Restated'!A27</f>
        <v>OPERATING EXPENSES</v>
      </c>
      <c r="B26" s="357"/>
      <c r="C26" s="356"/>
      <c r="D26" s="357"/>
      <c r="E26" s="304"/>
      <c r="F26" s="302"/>
      <c r="G26" s="302"/>
      <c r="H26" s="302"/>
      <c r="I26" s="304"/>
      <c r="J26" s="302"/>
      <c r="K26" s="302"/>
      <c r="L26" s="357"/>
    </row>
    <row r="27" spans="1:17" ht="15" customHeight="1">
      <c r="A27" s="48" t="s">
        <v>173</v>
      </c>
      <c r="B27" s="357">
        <v>0</v>
      </c>
      <c r="C27" s="356"/>
      <c r="D27" s="357">
        <v>0</v>
      </c>
      <c r="E27" s="356"/>
      <c r="F27" s="357">
        <v>0</v>
      </c>
      <c r="G27" s="357"/>
      <c r="H27" s="357">
        <v>0</v>
      </c>
      <c r="I27" s="356"/>
      <c r="J27" s="357">
        <v>0</v>
      </c>
      <c r="K27" s="357"/>
      <c r="L27" s="357">
        <f t="shared" ref="L27:L58" si="2">SUM(B27:K27)</f>
        <v>0</v>
      </c>
      <c r="P27" s="512"/>
      <c r="Q27" s="357"/>
    </row>
    <row r="28" spans="1:17" ht="15" customHeight="1">
      <c r="A28" s="48" t="s">
        <v>11</v>
      </c>
      <c r="B28" s="357">
        <f>+'WP-2, pg 2 - Labor Increase'!AF75</f>
        <v>67998.008515000009</v>
      </c>
      <c r="C28" s="356"/>
      <c r="D28" s="357">
        <v>0</v>
      </c>
      <c r="E28" s="356"/>
      <c r="F28" s="357">
        <v>0</v>
      </c>
      <c r="G28" s="357"/>
      <c r="H28" s="357">
        <v>0</v>
      </c>
      <c r="I28" s="356"/>
      <c r="J28" s="357">
        <v>0</v>
      </c>
      <c r="K28" s="357"/>
      <c r="L28" s="357">
        <f t="shared" si="2"/>
        <v>67998.008515000009</v>
      </c>
      <c r="P28" s="512"/>
      <c r="Q28" s="357"/>
    </row>
    <row r="29" spans="1:17" ht="15" customHeight="1">
      <c r="A29" s="48" t="s">
        <v>13</v>
      </c>
      <c r="B29" s="357">
        <f>+'WP-2, pg 2 - Labor Increase'!AF76</f>
        <v>17819.092400000001</v>
      </c>
      <c r="C29" s="356"/>
      <c r="D29" s="357">
        <v>0</v>
      </c>
      <c r="E29" s="356"/>
      <c r="F29" s="357">
        <v>0</v>
      </c>
      <c r="G29" s="357"/>
      <c r="H29" s="357">
        <v>0</v>
      </c>
      <c r="I29" s="356"/>
      <c r="J29" s="357">
        <v>0</v>
      </c>
      <c r="K29" s="357"/>
      <c r="L29" s="357">
        <f t="shared" si="2"/>
        <v>17819.092400000001</v>
      </c>
      <c r="P29" s="512"/>
      <c r="Q29" s="357"/>
    </row>
    <row r="30" spans="1:17" ht="15" customHeight="1">
      <c r="A30" s="48" t="s">
        <v>835</v>
      </c>
      <c r="B30" s="357">
        <f>+'WP-2, pg 2 - Labor Increase'!AF77</f>
        <v>45592.189120000003</v>
      </c>
      <c r="C30" s="356"/>
      <c r="D30" s="357">
        <v>0</v>
      </c>
      <c r="E30" s="356"/>
      <c r="F30" s="357">
        <v>0</v>
      </c>
      <c r="G30" s="357"/>
      <c r="H30" s="357">
        <v>0</v>
      </c>
      <c r="I30" s="356"/>
      <c r="J30" s="357">
        <v>0</v>
      </c>
      <c r="K30" s="357"/>
      <c r="L30" s="357">
        <f t="shared" si="2"/>
        <v>45592.189120000003</v>
      </c>
      <c r="P30" s="512"/>
      <c r="Q30" s="357"/>
    </row>
    <row r="31" spans="1:17" ht="15" customHeight="1">
      <c r="A31" s="48" t="s">
        <v>18</v>
      </c>
      <c r="B31" s="357">
        <f>+'WP-2, pg 2 - Labor Increase'!AF78</f>
        <v>27388.101199999997</v>
      </c>
      <c r="C31" s="356"/>
      <c r="D31" s="357">
        <v>0</v>
      </c>
      <c r="E31" s="356"/>
      <c r="F31" s="357">
        <v>0</v>
      </c>
      <c r="G31" s="357"/>
      <c r="H31" s="357">
        <v>0</v>
      </c>
      <c r="I31" s="356"/>
      <c r="J31" s="357">
        <v>0</v>
      </c>
      <c r="K31" s="357"/>
      <c r="L31" s="357">
        <f t="shared" si="2"/>
        <v>27388.101199999997</v>
      </c>
      <c r="P31" s="512"/>
      <c r="Q31" s="357"/>
    </row>
    <row r="32" spans="1:17" ht="15" customHeight="1">
      <c r="A32" s="48" t="s">
        <v>15</v>
      </c>
      <c r="B32" s="357">
        <f>+'WP-2, pg 2 - Labor Increase'!AF74</f>
        <v>63461.850513156489</v>
      </c>
      <c r="C32" s="356"/>
      <c r="D32" s="357">
        <v>0</v>
      </c>
      <c r="E32" s="356"/>
      <c r="F32" s="357">
        <v>0</v>
      </c>
      <c r="G32" s="357"/>
      <c r="H32" s="357">
        <v>0</v>
      </c>
      <c r="I32" s="356"/>
      <c r="J32" s="357">
        <v>0</v>
      </c>
      <c r="K32" s="357"/>
      <c r="L32" s="357">
        <f t="shared" si="2"/>
        <v>63461.850513156489</v>
      </c>
      <c r="P32" s="512"/>
    </row>
    <row r="33" spans="1:16" ht="15" customHeight="1">
      <c r="A33" s="48" t="s">
        <v>536</v>
      </c>
      <c r="B33" s="357">
        <v>0</v>
      </c>
      <c r="C33" s="356"/>
      <c r="D33" s="357">
        <v>0</v>
      </c>
      <c r="E33" s="356"/>
      <c r="F33" s="357">
        <v>0</v>
      </c>
      <c r="G33" s="357"/>
      <c r="H33" s="357">
        <v>0</v>
      </c>
      <c r="I33" s="356"/>
      <c r="J33" s="357">
        <v>0</v>
      </c>
      <c r="K33" s="357"/>
      <c r="L33" s="357">
        <f t="shared" si="2"/>
        <v>0</v>
      </c>
      <c r="P33" s="512"/>
    </row>
    <row r="34" spans="1:16" ht="15" customHeight="1">
      <c r="A34" s="43" t="s">
        <v>500</v>
      </c>
      <c r="B34" s="357">
        <f>+'WP-2, pg 2 - Labor Increase'!AF79</f>
        <v>4693.5339000499953</v>
      </c>
      <c r="C34" s="356"/>
      <c r="D34" s="357">
        <v>0</v>
      </c>
      <c r="E34" s="356"/>
      <c r="F34" s="357">
        <v>0</v>
      </c>
      <c r="G34" s="357"/>
      <c r="H34" s="357">
        <v>0</v>
      </c>
      <c r="I34" s="356"/>
      <c r="J34" s="357">
        <v>0</v>
      </c>
      <c r="K34" s="357"/>
      <c r="L34" s="357">
        <f t="shared" si="2"/>
        <v>4693.5339000499953</v>
      </c>
      <c r="P34" s="512"/>
    </row>
    <row r="35" spans="1:16" ht="15" customHeight="1">
      <c r="A35" s="48" t="s">
        <v>458</v>
      </c>
      <c r="B35" s="357">
        <v>0</v>
      </c>
      <c r="C35" s="356"/>
      <c r="D35" s="357">
        <v>0</v>
      </c>
      <c r="E35" s="356"/>
      <c r="F35" s="357">
        <v>0</v>
      </c>
      <c r="G35" s="357"/>
      <c r="H35" s="357">
        <v>0</v>
      </c>
      <c r="I35" s="356"/>
      <c r="J35" s="357">
        <v>0</v>
      </c>
      <c r="K35" s="357"/>
      <c r="L35" s="357">
        <f t="shared" si="2"/>
        <v>0</v>
      </c>
      <c r="P35" s="512"/>
    </row>
    <row r="36" spans="1:16" ht="15" customHeight="1">
      <c r="A36" s="48" t="s">
        <v>537</v>
      </c>
      <c r="B36" s="357">
        <v>0</v>
      </c>
      <c r="C36" s="356"/>
      <c r="D36" s="357">
        <v>0</v>
      </c>
      <c r="E36" s="356"/>
      <c r="F36" s="357">
        <v>0</v>
      </c>
      <c r="G36" s="357"/>
      <c r="H36" s="357">
        <v>0</v>
      </c>
      <c r="I36" s="356"/>
      <c r="J36" s="357">
        <v>0</v>
      </c>
      <c r="K36" s="357"/>
      <c r="L36" s="357">
        <f t="shared" si="2"/>
        <v>0</v>
      </c>
      <c r="P36" s="512"/>
    </row>
    <row r="37" spans="1:16" ht="15" customHeight="1">
      <c r="A37" s="48" t="s">
        <v>91</v>
      </c>
      <c r="B37" s="357">
        <v>0</v>
      </c>
      <c r="C37" s="356"/>
      <c r="D37" s="357">
        <v>0</v>
      </c>
      <c r="E37" s="356"/>
      <c r="F37" s="357">
        <v>0</v>
      </c>
      <c r="G37" s="357"/>
      <c r="H37" s="357">
        <v>0</v>
      </c>
      <c r="I37" s="356"/>
      <c r="J37" s="357">
        <v>0</v>
      </c>
      <c r="K37" s="357"/>
      <c r="L37" s="357">
        <f t="shared" si="2"/>
        <v>0</v>
      </c>
      <c r="P37" s="512"/>
    </row>
    <row r="38" spans="1:16" ht="15" customHeight="1">
      <c r="A38" s="48" t="s">
        <v>461</v>
      </c>
      <c r="B38" s="357">
        <v>0</v>
      </c>
      <c r="C38" s="356"/>
      <c r="D38" s="357">
        <v>0</v>
      </c>
      <c r="E38" s="356"/>
      <c r="F38" s="357">
        <v>0</v>
      </c>
      <c r="G38" s="357"/>
      <c r="H38" s="357">
        <v>0</v>
      </c>
      <c r="I38" s="356"/>
      <c r="J38" s="357">
        <v>0</v>
      </c>
      <c r="K38" s="357"/>
      <c r="L38" s="357">
        <f t="shared" si="2"/>
        <v>0</v>
      </c>
      <c r="P38" s="512"/>
    </row>
    <row r="39" spans="1:16" ht="15" customHeight="1">
      <c r="A39" s="48" t="s">
        <v>538</v>
      </c>
      <c r="B39" s="357">
        <v>0</v>
      </c>
      <c r="C39" s="356"/>
      <c r="D39" s="357">
        <v>0</v>
      </c>
      <c r="E39" s="356"/>
      <c r="F39" s="357">
        <v>0</v>
      </c>
      <c r="G39" s="357"/>
      <c r="H39" s="357">
        <v>0</v>
      </c>
      <c r="I39" s="374"/>
      <c r="J39" s="357">
        <v>0</v>
      </c>
      <c r="K39" s="357"/>
      <c r="L39" s="357">
        <f t="shared" si="2"/>
        <v>0</v>
      </c>
      <c r="P39" s="512"/>
    </row>
    <row r="40" spans="1:16" ht="15" customHeight="1">
      <c r="A40" s="48" t="s">
        <v>539</v>
      </c>
      <c r="B40" s="357">
        <v>0</v>
      </c>
      <c r="C40" s="356"/>
      <c r="D40" s="357">
        <v>0</v>
      </c>
      <c r="E40" s="356"/>
      <c r="F40" s="357">
        <v>0</v>
      </c>
      <c r="G40" s="357"/>
      <c r="H40" s="357">
        <v>0</v>
      </c>
      <c r="I40" s="356"/>
      <c r="J40" s="357">
        <v>0</v>
      </c>
      <c r="K40" s="357"/>
      <c r="L40" s="357">
        <f t="shared" si="2"/>
        <v>0</v>
      </c>
      <c r="P40" s="512"/>
    </row>
    <row r="41" spans="1:16" ht="15" customHeight="1">
      <c r="A41" s="48" t="s">
        <v>465</v>
      </c>
      <c r="B41" s="357">
        <v>0</v>
      </c>
      <c r="C41" s="356"/>
      <c r="D41" s="357">
        <v>0</v>
      </c>
      <c r="E41" s="356"/>
      <c r="F41" s="357">
        <v>0</v>
      </c>
      <c r="G41" s="357"/>
      <c r="H41" s="357">
        <v>0</v>
      </c>
      <c r="I41" s="356"/>
      <c r="J41" s="357">
        <v>0</v>
      </c>
      <c r="K41" s="432"/>
      <c r="L41" s="357">
        <f t="shared" si="2"/>
        <v>0</v>
      </c>
      <c r="P41" s="512"/>
    </row>
    <row r="42" spans="1:16" ht="15" customHeight="1">
      <c r="A42" s="48" t="s">
        <v>316</v>
      </c>
      <c r="B42" s="357">
        <v>0</v>
      </c>
      <c r="C42" s="356"/>
      <c r="D42" s="357">
        <v>0</v>
      </c>
      <c r="E42" s="356"/>
      <c r="F42" s="357">
        <v>0</v>
      </c>
      <c r="G42" s="357"/>
      <c r="H42" s="357">
        <v>0</v>
      </c>
      <c r="I42" s="356"/>
      <c r="J42" s="357">
        <v>0</v>
      </c>
      <c r="K42" s="357"/>
      <c r="L42" s="357">
        <f t="shared" si="2"/>
        <v>0</v>
      </c>
      <c r="P42" s="512"/>
    </row>
    <row r="43" spans="1:16" ht="15" customHeight="1">
      <c r="A43" s="48" t="s">
        <v>467</v>
      </c>
      <c r="B43" s="357">
        <v>0</v>
      </c>
      <c r="C43" s="356"/>
      <c r="D43" s="357">
        <v>0</v>
      </c>
      <c r="E43" s="356"/>
      <c r="F43" s="357">
        <v>0</v>
      </c>
      <c r="G43" s="357"/>
      <c r="H43" s="357">
        <v>0</v>
      </c>
      <c r="I43" s="356"/>
      <c r="J43" s="357">
        <v>0</v>
      </c>
      <c r="K43" s="357"/>
      <c r="L43" s="357">
        <f t="shared" si="2"/>
        <v>0</v>
      </c>
      <c r="P43" s="512"/>
    </row>
    <row r="44" spans="1:16" ht="15" customHeight="1">
      <c r="A44" s="48" t="s">
        <v>25</v>
      </c>
      <c r="B44" s="357">
        <v>0</v>
      </c>
      <c r="C44" s="356"/>
      <c r="D44" s="357">
        <v>0</v>
      </c>
      <c r="E44" s="356"/>
      <c r="F44" s="357">
        <v>0</v>
      </c>
      <c r="G44" s="357"/>
      <c r="H44" s="357">
        <v>0</v>
      </c>
      <c r="I44" s="356"/>
      <c r="J44" s="357">
        <f>+J18</f>
        <v>0</v>
      </c>
      <c r="K44" s="432"/>
      <c r="L44" s="357">
        <f t="shared" si="2"/>
        <v>0</v>
      </c>
      <c r="P44" s="512"/>
    </row>
    <row r="45" spans="1:16" ht="15" customHeight="1">
      <c r="A45" s="48" t="s">
        <v>140</v>
      </c>
      <c r="B45" s="357">
        <v>0</v>
      </c>
      <c r="C45" s="356"/>
      <c r="D45" s="357">
        <v>0</v>
      </c>
      <c r="E45" s="356"/>
      <c r="F45" s="357">
        <v>0</v>
      </c>
      <c r="G45" s="357"/>
      <c r="H45" s="357">
        <f>+'Sch 2 - Forecast Exp'!C16</f>
        <v>-7490.3710242575617</v>
      </c>
      <c r="I45" s="356"/>
      <c r="J45" s="357">
        <v>0</v>
      </c>
      <c r="K45" s="357"/>
      <c r="L45" s="357">
        <f t="shared" si="2"/>
        <v>-7490.3710242575617</v>
      </c>
      <c r="P45" s="512"/>
    </row>
    <row r="46" spans="1:16" ht="15" customHeight="1">
      <c r="A46" s="48" t="s">
        <v>95</v>
      </c>
      <c r="B46" s="357">
        <v>0</v>
      </c>
      <c r="C46" s="356"/>
      <c r="D46" s="357">
        <v>0</v>
      </c>
      <c r="E46" s="304"/>
      <c r="F46" s="357">
        <v>0</v>
      </c>
      <c r="G46" s="357"/>
      <c r="H46" s="357">
        <v>0</v>
      </c>
      <c r="I46" s="356"/>
      <c r="J46" s="357">
        <v>0</v>
      </c>
      <c r="K46" s="357"/>
      <c r="L46" s="357">
        <f t="shared" si="2"/>
        <v>0</v>
      </c>
      <c r="P46" s="512"/>
    </row>
    <row r="47" spans="1:16" ht="15" customHeight="1">
      <c r="A47" s="48" t="s">
        <v>24</v>
      </c>
      <c r="B47" s="357">
        <v>0</v>
      </c>
      <c r="C47" s="356"/>
      <c r="D47" s="357">
        <v>0</v>
      </c>
      <c r="E47" s="356"/>
      <c r="F47" s="357">
        <v>0</v>
      </c>
      <c r="G47" s="357"/>
      <c r="H47" s="357">
        <v>0</v>
      </c>
      <c r="I47" s="356"/>
      <c r="J47" s="357">
        <v>0</v>
      </c>
      <c r="K47" s="357"/>
      <c r="L47" s="357">
        <f t="shared" si="2"/>
        <v>0</v>
      </c>
      <c r="P47" s="512"/>
    </row>
    <row r="48" spans="1:16" ht="15" customHeight="1">
      <c r="A48" s="48" t="s">
        <v>540</v>
      </c>
      <c r="B48" s="357">
        <v>0</v>
      </c>
      <c r="C48" s="356"/>
      <c r="D48" s="357">
        <v>0</v>
      </c>
      <c r="E48" s="356"/>
      <c r="F48" s="357">
        <v>0</v>
      </c>
      <c r="G48" s="357"/>
      <c r="H48" s="357">
        <v>0</v>
      </c>
      <c r="I48" s="356"/>
      <c r="J48" s="357">
        <v>0</v>
      </c>
      <c r="K48" s="357"/>
      <c r="L48" s="357">
        <f t="shared" si="2"/>
        <v>0</v>
      </c>
      <c r="P48" s="512"/>
    </row>
    <row r="49" spans="1:16" ht="15" customHeight="1">
      <c r="A49" s="48" t="s">
        <v>541</v>
      </c>
      <c r="B49" s="357">
        <v>0</v>
      </c>
      <c r="C49" s="356"/>
      <c r="D49" s="357">
        <v>0</v>
      </c>
      <c r="E49" s="356"/>
      <c r="F49" s="357">
        <v>0</v>
      </c>
      <c r="G49" s="357"/>
      <c r="H49" s="357">
        <v>0</v>
      </c>
      <c r="I49" s="356"/>
      <c r="J49" s="357">
        <f>+J16+'WP-9 Disposal'!C41</f>
        <v>58780.87999999999</v>
      </c>
      <c r="K49" s="357"/>
      <c r="L49" s="357">
        <f t="shared" si="2"/>
        <v>58780.87999999999</v>
      </c>
      <c r="P49" s="512"/>
    </row>
    <row r="50" spans="1:16" ht="15" customHeight="1">
      <c r="A50" s="48" t="s">
        <v>542</v>
      </c>
      <c r="B50" s="357">
        <v>0</v>
      </c>
      <c r="C50" s="356"/>
      <c r="D50" s="357">
        <v>0</v>
      </c>
      <c r="E50" s="356"/>
      <c r="F50" s="357">
        <v>0</v>
      </c>
      <c r="G50" s="357"/>
      <c r="H50" s="357">
        <v>0</v>
      </c>
      <c r="I50" s="356"/>
      <c r="J50" s="357">
        <v>0</v>
      </c>
      <c r="K50" s="357"/>
      <c r="L50" s="357">
        <f t="shared" si="2"/>
        <v>0</v>
      </c>
    </row>
    <row r="51" spans="1:16" ht="15" customHeight="1">
      <c r="A51" s="48" t="s">
        <v>551</v>
      </c>
      <c r="B51" s="357">
        <v>0</v>
      </c>
      <c r="C51" s="356"/>
      <c r="D51" s="357">
        <v>0</v>
      </c>
      <c r="E51" s="356"/>
      <c r="F51" s="357">
        <v>0</v>
      </c>
      <c r="G51" s="357"/>
      <c r="H51" s="357">
        <v>0</v>
      </c>
      <c r="I51" s="356"/>
      <c r="J51" s="357">
        <v>0</v>
      </c>
      <c r="K51" s="357"/>
      <c r="L51" s="357">
        <f t="shared" si="2"/>
        <v>0</v>
      </c>
    </row>
    <row r="52" spans="1:16" ht="15" customHeight="1">
      <c r="A52" s="43" t="s">
        <v>503</v>
      </c>
      <c r="B52" s="357">
        <v>0</v>
      </c>
      <c r="C52" s="356"/>
      <c r="D52" s="357">
        <v>0</v>
      </c>
      <c r="E52" s="356"/>
      <c r="F52" s="357">
        <v>0</v>
      </c>
      <c r="G52" s="357"/>
      <c r="H52" s="357">
        <v>0</v>
      </c>
      <c r="I52" s="356"/>
      <c r="J52" s="357">
        <v>0</v>
      </c>
      <c r="K52" s="357"/>
      <c r="L52" s="357">
        <f t="shared" si="2"/>
        <v>0</v>
      </c>
    </row>
    <row r="53" spans="1:16" ht="15" customHeight="1">
      <c r="A53" s="43" t="s">
        <v>504</v>
      </c>
      <c r="B53" s="357">
        <v>0</v>
      </c>
      <c r="C53" s="356"/>
      <c r="D53" s="357">
        <v>0</v>
      </c>
      <c r="E53" s="356"/>
      <c r="F53" s="357">
        <v>0</v>
      </c>
      <c r="G53" s="357"/>
      <c r="H53" s="357">
        <v>0</v>
      </c>
      <c r="I53" s="356"/>
      <c r="J53" s="357">
        <v>0</v>
      </c>
      <c r="K53" s="357"/>
      <c r="L53" s="357">
        <f t="shared" si="2"/>
        <v>0</v>
      </c>
    </row>
    <row r="54" spans="1:16" ht="15" customHeight="1">
      <c r="A54" s="48" t="s">
        <v>21</v>
      </c>
      <c r="B54" s="357">
        <v>0</v>
      </c>
      <c r="C54" s="356"/>
      <c r="D54" s="357">
        <v>0</v>
      </c>
      <c r="E54" s="356"/>
      <c r="F54" s="357">
        <v>0</v>
      </c>
      <c r="G54" s="357"/>
      <c r="H54" s="357">
        <v>0</v>
      </c>
      <c r="I54" s="356"/>
      <c r="J54" s="357">
        <v>0</v>
      </c>
      <c r="K54" s="357"/>
      <c r="L54" s="357">
        <f t="shared" si="2"/>
        <v>0</v>
      </c>
    </row>
    <row r="55" spans="1:16" ht="15" customHeight="1">
      <c r="A55" s="48" t="s">
        <v>23</v>
      </c>
      <c r="B55" s="357">
        <v>0</v>
      </c>
      <c r="C55" s="356"/>
      <c r="D55" s="357">
        <v>0</v>
      </c>
      <c r="E55" s="356"/>
      <c r="F55" s="302"/>
      <c r="G55" s="356"/>
      <c r="H55" s="357">
        <v>0</v>
      </c>
      <c r="I55" s="304"/>
      <c r="J55" s="357">
        <v>0</v>
      </c>
      <c r="K55" s="357"/>
      <c r="L55" s="357">
        <f t="shared" si="2"/>
        <v>0</v>
      </c>
    </row>
    <row r="56" spans="1:16" ht="15" customHeight="1">
      <c r="A56" s="43" t="s">
        <v>543</v>
      </c>
      <c r="B56" s="357">
        <v>0</v>
      </c>
      <c r="C56" s="356"/>
      <c r="D56" s="357">
        <v>0</v>
      </c>
      <c r="E56" s="356"/>
      <c r="F56" s="357">
        <v>0</v>
      </c>
      <c r="G56" s="357"/>
      <c r="H56" s="357">
        <v>0</v>
      </c>
      <c r="I56" s="356"/>
      <c r="J56" s="357">
        <v>0</v>
      </c>
      <c r="K56" s="357"/>
      <c r="L56" s="357">
        <f t="shared" si="2"/>
        <v>0</v>
      </c>
    </row>
    <row r="57" spans="1:16" ht="15" customHeight="1">
      <c r="A57" s="43" t="s">
        <v>544</v>
      </c>
      <c r="B57" s="357">
        <v>0</v>
      </c>
      <c r="C57" s="356"/>
      <c r="D57" s="357">
        <v>0</v>
      </c>
      <c r="E57" s="356"/>
      <c r="F57" s="357">
        <v>0</v>
      </c>
      <c r="G57" s="357"/>
      <c r="H57" s="357">
        <v>0</v>
      </c>
      <c r="I57" s="356"/>
      <c r="J57" s="357">
        <v>0</v>
      </c>
      <c r="K57" s="357"/>
      <c r="L57" s="357">
        <f t="shared" si="2"/>
        <v>0</v>
      </c>
    </row>
    <row r="58" spans="1:16" ht="15" customHeight="1">
      <c r="A58" s="43" t="s">
        <v>44</v>
      </c>
      <c r="B58" s="357">
        <v>0</v>
      </c>
      <c r="C58" s="356"/>
      <c r="D58" s="357">
        <v>0</v>
      </c>
      <c r="E58" s="356"/>
      <c r="F58" s="357">
        <v>0</v>
      </c>
      <c r="G58" s="357"/>
      <c r="H58" s="357">
        <f>H24*0.004</f>
        <v>0</v>
      </c>
      <c r="I58" s="356"/>
      <c r="J58" s="357">
        <v>0</v>
      </c>
      <c r="K58" s="357"/>
      <c r="L58" s="357">
        <f t="shared" si="2"/>
        <v>0</v>
      </c>
    </row>
    <row r="59" spans="1:16" ht="15" customHeight="1">
      <c r="A59" s="43" t="s">
        <v>546</v>
      </c>
      <c r="B59" s="357">
        <v>0</v>
      </c>
      <c r="C59" s="356"/>
      <c r="D59" s="357">
        <v>0</v>
      </c>
      <c r="E59" s="356"/>
      <c r="F59" s="357">
        <v>0</v>
      </c>
      <c r="G59" s="357"/>
      <c r="H59" s="357">
        <v>0</v>
      </c>
      <c r="I59" s="356"/>
      <c r="J59" s="357">
        <v>0</v>
      </c>
      <c r="K59" s="357"/>
      <c r="L59" s="357">
        <f t="shared" ref="L59:L90" si="3">SUM(B59:K59)</f>
        <v>0</v>
      </c>
    </row>
    <row r="60" spans="1:16" ht="15" customHeight="1">
      <c r="A60" s="43" t="s">
        <v>545</v>
      </c>
      <c r="B60" s="357">
        <v>0</v>
      </c>
      <c r="C60" s="356"/>
      <c r="D60" s="357">
        <v>0</v>
      </c>
      <c r="E60" s="356"/>
      <c r="F60" s="357">
        <v>0</v>
      </c>
      <c r="G60" s="357"/>
      <c r="H60" s="357">
        <v>0</v>
      </c>
      <c r="I60" s="356"/>
      <c r="J60" s="357">
        <v>0</v>
      </c>
      <c r="K60" s="357"/>
      <c r="L60" s="357">
        <f t="shared" si="3"/>
        <v>0</v>
      </c>
    </row>
    <row r="61" spans="1:16" ht="15" customHeight="1">
      <c r="A61" s="43" t="s">
        <v>547</v>
      </c>
      <c r="B61" s="357">
        <v>0</v>
      </c>
      <c r="C61" s="356"/>
      <c r="D61" s="357">
        <v>0</v>
      </c>
      <c r="E61" s="356"/>
      <c r="F61" s="357">
        <v>0</v>
      </c>
      <c r="G61" s="357"/>
      <c r="H61" s="357">
        <v>0</v>
      </c>
      <c r="I61" s="356"/>
      <c r="J61" s="357">
        <v>0</v>
      </c>
      <c r="K61" s="357"/>
      <c r="L61" s="357">
        <f t="shared" si="3"/>
        <v>0</v>
      </c>
    </row>
    <row r="62" spans="1:16" ht="15" customHeight="1">
      <c r="A62" s="43" t="s">
        <v>490</v>
      </c>
      <c r="B62" s="357">
        <v>0</v>
      </c>
      <c r="C62" s="356"/>
      <c r="D62" s="357">
        <v>0</v>
      </c>
      <c r="E62" s="356"/>
      <c r="F62" s="357">
        <v>0</v>
      </c>
      <c r="G62" s="357"/>
      <c r="H62" s="357">
        <v>0</v>
      </c>
      <c r="I62" s="356"/>
      <c r="J62" s="357">
        <v>0</v>
      </c>
      <c r="K62" s="357"/>
      <c r="L62" s="357">
        <f t="shared" si="3"/>
        <v>0</v>
      </c>
    </row>
    <row r="63" spans="1:16" ht="15" customHeight="1">
      <c r="A63" s="43" t="s">
        <v>152</v>
      </c>
      <c r="B63" s="357">
        <v>0</v>
      </c>
      <c r="C63" s="356"/>
      <c r="D63" s="357">
        <v>0</v>
      </c>
      <c r="E63" s="356"/>
      <c r="F63" s="357">
        <v>0</v>
      </c>
      <c r="G63" s="357"/>
      <c r="H63" s="357">
        <v>0</v>
      </c>
      <c r="I63" s="356"/>
      <c r="J63" s="357">
        <v>0</v>
      </c>
      <c r="K63" s="357"/>
      <c r="L63" s="357">
        <f t="shared" si="3"/>
        <v>0</v>
      </c>
    </row>
    <row r="64" spans="1:16" ht="15" customHeight="1">
      <c r="A64" s="43" t="s">
        <v>548</v>
      </c>
      <c r="B64" s="357">
        <v>0</v>
      </c>
      <c r="C64" s="356"/>
      <c r="D64" s="357">
        <v>0</v>
      </c>
      <c r="E64" s="356"/>
      <c r="F64" s="357">
        <v>0</v>
      </c>
      <c r="G64" s="357"/>
      <c r="H64" s="357">
        <v>0</v>
      </c>
      <c r="I64" s="356"/>
      <c r="J64" s="357">
        <v>0</v>
      </c>
      <c r="K64" s="357"/>
      <c r="L64" s="357">
        <f t="shared" si="3"/>
        <v>0</v>
      </c>
    </row>
    <row r="65" spans="1:12" ht="15" customHeight="1">
      <c r="A65" s="43" t="s">
        <v>549</v>
      </c>
      <c r="B65" s="357">
        <v>0</v>
      </c>
      <c r="C65" s="356"/>
      <c r="D65" s="357">
        <v>0</v>
      </c>
      <c r="E65" s="356"/>
      <c r="F65" s="357">
        <v>0</v>
      </c>
      <c r="G65" s="357"/>
      <c r="H65" s="357">
        <v>0</v>
      </c>
      <c r="I65" s="356"/>
      <c r="J65" s="357">
        <v>0</v>
      </c>
      <c r="K65" s="357"/>
      <c r="L65" s="357">
        <f t="shared" si="3"/>
        <v>0</v>
      </c>
    </row>
    <row r="66" spans="1:12" ht="15" customHeight="1">
      <c r="A66" s="43" t="s">
        <v>20</v>
      </c>
      <c r="B66" s="357">
        <v>0</v>
      </c>
      <c r="C66" s="356"/>
      <c r="D66" s="357">
        <v>0</v>
      </c>
      <c r="E66" s="356"/>
      <c r="F66" s="357">
        <v>0</v>
      </c>
      <c r="G66" s="357"/>
      <c r="H66" s="357">
        <v>0</v>
      </c>
      <c r="I66" s="356"/>
      <c r="J66" s="357">
        <v>0</v>
      </c>
      <c r="K66" s="357"/>
      <c r="L66" s="357">
        <f t="shared" si="3"/>
        <v>0</v>
      </c>
    </row>
    <row r="67" spans="1:12" ht="15" customHeight="1">
      <c r="A67" s="43" t="s">
        <v>550</v>
      </c>
      <c r="B67" s="357">
        <v>0</v>
      </c>
      <c r="C67" s="356"/>
      <c r="D67" s="357">
        <v>0</v>
      </c>
      <c r="E67" s="356"/>
      <c r="F67" s="357">
        <v>0</v>
      </c>
      <c r="G67" s="357"/>
      <c r="H67" s="357">
        <v>0</v>
      </c>
      <c r="I67" s="356"/>
      <c r="J67" s="357">
        <v>0</v>
      </c>
      <c r="K67" s="357"/>
      <c r="L67" s="357">
        <f t="shared" si="3"/>
        <v>0</v>
      </c>
    </row>
    <row r="68" spans="1:12" ht="15" customHeight="1">
      <c r="A68" s="43" t="s">
        <v>499</v>
      </c>
      <c r="B68" s="357">
        <v>0</v>
      </c>
      <c r="C68" s="356"/>
      <c r="D68" s="357">
        <v>0</v>
      </c>
      <c r="E68" s="356"/>
      <c r="F68" s="357">
        <v>0</v>
      </c>
      <c r="G68" s="357"/>
      <c r="H68" s="357">
        <v>0</v>
      </c>
      <c r="I68" s="356"/>
      <c r="J68" s="357">
        <v>0</v>
      </c>
      <c r="K68" s="357"/>
      <c r="L68" s="357">
        <f t="shared" si="3"/>
        <v>0</v>
      </c>
    </row>
    <row r="69" spans="1:12" ht="15" customHeight="1">
      <c r="A69" s="43" t="s">
        <v>172</v>
      </c>
      <c r="B69" s="357">
        <v>0</v>
      </c>
      <c r="C69" s="356"/>
      <c r="D69" s="357">
        <v>0</v>
      </c>
      <c r="E69" s="356"/>
      <c r="F69" s="357">
        <v>0</v>
      </c>
      <c r="G69" s="357"/>
      <c r="H69" s="357">
        <v>0</v>
      </c>
      <c r="I69" s="356"/>
      <c r="J69" s="357">
        <v>0</v>
      </c>
      <c r="K69" s="357"/>
      <c r="L69" s="357">
        <f t="shared" si="3"/>
        <v>0</v>
      </c>
    </row>
    <row r="70" spans="1:12" ht="15" customHeight="1">
      <c r="A70" s="43" t="s">
        <v>501</v>
      </c>
      <c r="B70" s="357">
        <v>0</v>
      </c>
      <c r="C70" s="356"/>
      <c r="D70" s="357">
        <v>0</v>
      </c>
      <c r="E70" s="356"/>
      <c r="F70" s="357">
        <v>0</v>
      </c>
      <c r="G70" s="357"/>
      <c r="H70" s="357">
        <v>0</v>
      </c>
      <c r="I70" s="356"/>
      <c r="J70" s="357">
        <v>0</v>
      </c>
      <c r="K70" s="357"/>
      <c r="L70" s="357">
        <f t="shared" si="3"/>
        <v>0</v>
      </c>
    </row>
    <row r="71" spans="1:12" ht="15" customHeight="1">
      <c r="A71" s="43" t="s">
        <v>502</v>
      </c>
      <c r="B71" s="357">
        <v>0</v>
      </c>
      <c r="C71" s="356"/>
      <c r="D71" s="357">
        <v>0</v>
      </c>
      <c r="E71" s="356"/>
      <c r="F71" s="357">
        <v>0</v>
      </c>
      <c r="G71" s="357"/>
      <c r="H71" s="357">
        <v>0</v>
      </c>
      <c r="I71" s="356"/>
      <c r="J71" s="357">
        <v>0</v>
      </c>
      <c r="K71" s="357"/>
      <c r="L71" s="357">
        <f t="shared" si="3"/>
        <v>0</v>
      </c>
    </row>
    <row r="72" spans="1:12" ht="15" customHeight="1">
      <c r="A72" s="43" t="s">
        <v>505</v>
      </c>
      <c r="B72" s="357">
        <v>0</v>
      </c>
      <c r="C72" s="356"/>
      <c r="D72" s="357">
        <v>0</v>
      </c>
      <c r="E72" s="356"/>
      <c r="F72" s="357">
        <v>0</v>
      </c>
      <c r="G72" s="357"/>
      <c r="H72" s="357">
        <v>0</v>
      </c>
      <c r="I72" s="356"/>
      <c r="J72" s="357">
        <v>0</v>
      </c>
      <c r="K72" s="357"/>
      <c r="L72" s="357">
        <f t="shared" si="3"/>
        <v>0</v>
      </c>
    </row>
    <row r="73" spans="1:12" ht="15" customHeight="1">
      <c r="A73" s="43" t="s">
        <v>506</v>
      </c>
      <c r="B73" s="357">
        <v>0</v>
      </c>
      <c r="C73" s="356"/>
      <c r="D73" s="357">
        <v>0</v>
      </c>
      <c r="E73" s="356"/>
      <c r="F73" s="357">
        <v>0</v>
      </c>
      <c r="G73" s="357"/>
      <c r="H73" s="357">
        <v>0</v>
      </c>
      <c r="I73" s="356"/>
      <c r="J73" s="357">
        <v>0</v>
      </c>
      <c r="K73" s="357"/>
      <c r="L73" s="357">
        <f t="shared" si="3"/>
        <v>0</v>
      </c>
    </row>
    <row r="74" spans="1:12" ht="15" customHeight="1">
      <c r="A74" s="43" t="s">
        <v>552</v>
      </c>
      <c r="B74" s="357">
        <v>0</v>
      </c>
      <c r="C74" s="356"/>
      <c r="D74" s="357">
        <v>0</v>
      </c>
      <c r="E74" s="356"/>
      <c r="F74" s="357">
        <v>0</v>
      </c>
      <c r="G74" s="357"/>
      <c r="H74" s="357">
        <f>H24*0.015</f>
        <v>0</v>
      </c>
      <c r="I74" s="356"/>
      <c r="J74" s="357">
        <v>0</v>
      </c>
      <c r="K74" s="357"/>
      <c r="L74" s="357">
        <f t="shared" si="3"/>
        <v>0</v>
      </c>
    </row>
    <row r="75" spans="1:12" ht="15" customHeight="1">
      <c r="A75" s="43" t="s">
        <v>554</v>
      </c>
      <c r="B75" s="357">
        <v>0</v>
      </c>
      <c r="C75" s="356"/>
      <c r="D75" s="357">
        <v>0</v>
      </c>
      <c r="E75" s="356"/>
      <c r="F75" s="357">
        <v>0</v>
      </c>
      <c r="G75" s="357"/>
      <c r="H75" s="357">
        <v>0</v>
      </c>
      <c r="I75" s="356"/>
      <c r="J75" s="357">
        <v>0</v>
      </c>
      <c r="K75" s="357"/>
      <c r="L75" s="357">
        <f t="shared" si="3"/>
        <v>0</v>
      </c>
    </row>
    <row r="76" spans="1:12" ht="15" customHeight="1">
      <c r="A76" s="43" t="s">
        <v>553</v>
      </c>
      <c r="B76" s="357">
        <v>0</v>
      </c>
      <c r="C76" s="356"/>
      <c r="D76" s="357">
        <v>0</v>
      </c>
      <c r="E76" s="356"/>
      <c r="F76" s="357">
        <v>0</v>
      </c>
      <c r="G76" s="357"/>
      <c r="H76" s="357">
        <v>0</v>
      </c>
      <c r="I76" s="356"/>
      <c r="J76" s="357">
        <v>0</v>
      </c>
      <c r="K76" s="357"/>
      <c r="L76" s="357">
        <f t="shared" si="3"/>
        <v>0</v>
      </c>
    </row>
    <row r="77" spans="1:12" ht="15" customHeight="1">
      <c r="A77" s="43" t="s">
        <v>555</v>
      </c>
      <c r="B77" s="357">
        <v>0</v>
      </c>
      <c r="C77" s="356"/>
      <c r="D77" s="357">
        <v>0</v>
      </c>
      <c r="E77" s="356"/>
      <c r="F77" s="357">
        <v>0</v>
      </c>
      <c r="G77" s="357"/>
      <c r="H77" s="357">
        <v>0</v>
      </c>
      <c r="I77" s="356"/>
      <c r="J77" s="357">
        <v>0</v>
      </c>
      <c r="K77" s="357"/>
      <c r="L77" s="357">
        <f t="shared" si="3"/>
        <v>0</v>
      </c>
    </row>
    <row r="78" spans="1:12" ht="15" customHeight="1">
      <c r="A78" s="48" t="s">
        <v>556</v>
      </c>
      <c r="B78" s="357">
        <v>0</v>
      </c>
      <c r="C78" s="356"/>
      <c r="D78" s="357">
        <v>0</v>
      </c>
      <c r="E78" s="356"/>
      <c r="F78" s="357">
        <v>0</v>
      </c>
      <c r="G78" s="357"/>
      <c r="H78" s="357">
        <v>0</v>
      </c>
      <c r="I78" s="356"/>
      <c r="J78" s="357">
        <v>0</v>
      </c>
      <c r="K78" s="357"/>
      <c r="L78" s="357">
        <f t="shared" si="3"/>
        <v>0</v>
      </c>
    </row>
    <row r="79" spans="1:12" ht="15" customHeight="1">
      <c r="A79" s="43" t="s">
        <v>557</v>
      </c>
      <c r="B79" s="357">
        <v>0</v>
      </c>
      <c r="C79" s="356"/>
      <c r="D79" s="357">
        <v>0</v>
      </c>
      <c r="E79" s="356"/>
      <c r="F79" s="357">
        <v>0</v>
      </c>
      <c r="G79" s="357"/>
      <c r="H79" s="357">
        <v>0</v>
      </c>
      <c r="I79" s="356"/>
      <c r="J79" s="357">
        <v>0</v>
      </c>
      <c r="K79" s="357"/>
      <c r="L79" s="357">
        <f t="shared" si="3"/>
        <v>0</v>
      </c>
    </row>
    <row r="80" spans="1:12" ht="15" customHeight="1">
      <c r="A80" s="43" t="s">
        <v>513</v>
      </c>
      <c r="B80" s="357">
        <v>0</v>
      </c>
      <c r="C80" s="356"/>
      <c r="D80" s="357">
        <v>0</v>
      </c>
      <c r="E80" s="356"/>
      <c r="F80" s="357">
        <v>0</v>
      </c>
      <c r="G80" s="357"/>
      <c r="H80" s="357">
        <v>0</v>
      </c>
      <c r="I80" s="356"/>
      <c r="J80" s="357">
        <v>0</v>
      </c>
      <c r="K80" s="357"/>
      <c r="L80" s="357">
        <f t="shared" si="3"/>
        <v>0</v>
      </c>
    </row>
    <row r="81" spans="1:12" ht="15" customHeight="1">
      <c r="A81" s="43" t="s">
        <v>514</v>
      </c>
      <c r="B81" s="357">
        <v>0</v>
      </c>
      <c r="C81" s="356"/>
      <c r="D81" s="357">
        <v>0</v>
      </c>
      <c r="E81" s="356"/>
      <c r="F81" s="357">
        <v>0</v>
      </c>
      <c r="G81" s="357"/>
      <c r="H81" s="357">
        <v>0</v>
      </c>
      <c r="I81" s="356"/>
      <c r="J81" s="357">
        <v>0</v>
      </c>
      <c r="K81" s="357"/>
      <c r="L81" s="357">
        <f t="shared" si="3"/>
        <v>0</v>
      </c>
    </row>
    <row r="82" spans="1:12" ht="15" customHeight="1">
      <c r="A82" s="43" t="s">
        <v>515</v>
      </c>
      <c r="B82" s="357">
        <v>0</v>
      </c>
      <c r="C82" s="356"/>
      <c r="D82" s="357">
        <v>0</v>
      </c>
      <c r="E82" s="356"/>
      <c r="F82" s="357">
        <v>0</v>
      </c>
      <c r="G82" s="357"/>
      <c r="H82" s="357">
        <v>0</v>
      </c>
      <c r="I82" s="356"/>
      <c r="J82" s="357">
        <v>0</v>
      </c>
      <c r="K82" s="357"/>
      <c r="L82" s="357">
        <f t="shared" si="3"/>
        <v>0</v>
      </c>
    </row>
    <row r="83" spans="1:12" ht="15" customHeight="1">
      <c r="A83" s="43" t="s">
        <v>16</v>
      </c>
      <c r="B83" s="357">
        <v>0</v>
      </c>
      <c r="C83" s="356"/>
      <c r="D83" s="357">
        <v>0</v>
      </c>
      <c r="E83" s="356"/>
      <c r="F83" s="357">
        <v>0</v>
      </c>
      <c r="G83" s="357"/>
      <c r="H83" s="357">
        <v>0</v>
      </c>
      <c r="I83" s="356"/>
      <c r="J83" s="357">
        <v>0</v>
      </c>
      <c r="K83" s="357"/>
      <c r="L83" s="357">
        <f t="shared" si="3"/>
        <v>0</v>
      </c>
    </row>
    <row r="84" spans="1:12" ht="15" customHeight="1">
      <c r="A84" s="43" t="s">
        <v>516</v>
      </c>
      <c r="B84" s="357">
        <v>0</v>
      </c>
      <c r="C84" s="356"/>
      <c r="D84" s="357">
        <v>0</v>
      </c>
      <c r="E84" s="356"/>
      <c r="F84" s="357">
        <v>0</v>
      </c>
      <c r="G84" s="357"/>
      <c r="H84" s="357">
        <v>0</v>
      </c>
      <c r="I84" s="356"/>
      <c r="J84" s="357">
        <v>0</v>
      </c>
      <c r="K84" s="357"/>
      <c r="L84" s="357">
        <f t="shared" si="3"/>
        <v>0</v>
      </c>
    </row>
    <row r="85" spans="1:12" ht="15" customHeight="1">
      <c r="A85" s="43" t="s">
        <v>517</v>
      </c>
      <c r="B85" s="357">
        <v>0</v>
      </c>
      <c r="C85" s="356"/>
      <c r="D85" s="357">
        <v>0</v>
      </c>
      <c r="E85" s="356"/>
      <c r="F85" s="357">
        <v>0</v>
      </c>
      <c r="G85" s="357"/>
      <c r="H85" s="357">
        <v>0</v>
      </c>
      <c r="I85" s="356"/>
      <c r="J85" s="357">
        <v>0</v>
      </c>
      <c r="K85" s="357"/>
      <c r="L85" s="357">
        <f t="shared" si="3"/>
        <v>0</v>
      </c>
    </row>
    <row r="86" spans="1:12" ht="15" customHeight="1">
      <c r="A86" s="43" t="s">
        <v>22</v>
      </c>
      <c r="B86" s="357">
        <v>0</v>
      </c>
      <c r="C86" s="356"/>
      <c r="D86" s="357">
        <v>0</v>
      </c>
      <c r="E86" s="356"/>
      <c r="F86" s="357">
        <v>0</v>
      </c>
      <c r="G86" s="357"/>
      <c r="H86" s="357">
        <v>0</v>
      </c>
      <c r="I86" s="356"/>
      <c r="J86" s="357">
        <v>0</v>
      </c>
      <c r="K86" s="357"/>
      <c r="L86" s="357">
        <f t="shared" si="3"/>
        <v>0</v>
      </c>
    </row>
    <row r="87" spans="1:12" ht="15" customHeight="1">
      <c r="A87" s="43" t="s">
        <v>558</v>
      </c>
      <c r="B87" s="357">
        <v>0</v>
      </c>
      <c r="C87" s="356"/>
      <c r="D87" s="357">
        <v>0</v>
      </c>
      <c r="E87" s="356"/>
      <c r="F87" s="357">
        <v>0</v>
      </c>
      <c r="G87" s="357"/>
      <c r="H87" s="357">
        <v>0</v>
      </c>
      <c r="I87" s="356"/>
      <c r="J87" s="357">
        <v>0</v>
      </c>
      <c r="K87" s="357"/>
      <c r="L87" s="357">
        <f t="shared" si="3"/>
        <v>0</v>
      </c>
    </row>
    <row r="88" spans="1:12" ht="15" customHeight="1">
      <c r="A88" s="43" t="s">
        <v>57</v>
      </c>
      <c r="B88" s="357">
        <v>0</v>
      </c>
      <c r="C88" s="356"/>
      <c r="D88" s="357">
        <v>0</v>
      </c>
      <c r="E88" s="356"/>
      <c r="F88" s="357">
        <v>0</v>
      </c>
      <c r="G88" s="357"/>
      <c r="H88" s="357">
        <v>0</v>
      </c>
      <c r="I88" s="356"/>
      <c r="J88" s="357">
        <v>0</v>
      </c>
      <c r="K88" s="357"/>
      <c r="L88" s="357">
        <f t="shared" si="3"/>
        <v>0</v>
      </c>
    </row>
    <row r="89" spans="1:12" ht="15" customHeight="1">
      <c r="A89" s="43" t="s">
        <v>45</v>
      </c>
      <c r="B89" s="357">
        <v>0</v>
      </c>
      <c r="C89" s="356"/>
      <c r="D89" s="357">
        <v>0</v>
      </c>
      <c r="E89" s="356"/>
      <c r="F89" s="357">
        <v>0</v>
      </c>
      <c r="G89" s="357"/>
      <c r="H89" s="357">
        <v>0</v>
      </c>
      <c r="I89" s="356"/>
      <c r="J89" s="357">
        <v>0</v>
      </c>
      <c r="K89" s="357"/>
      <c r="L89" s="357">
        <f t="shared" si="3"/>
        <v>0</v>
      </c>
    </row>
    <row r="90" spans="1:12" ht="15" customHeight="1">
      <c r="A90" s="43" t="s">
        <v>313</v>
      </c>
      <c r="B90" s="357">
        <v>0</v>
      </c>
      <c r="C90" s="356"/>
      <c r="D90" s="357">
        <v>0</v>
      </c>
      <c r="E90" s="356"/>
      <c r="F90" s="357">
        <v>0</v>
      </c>
      <c r="G90" s="357"/>
      <c r="H90" s="357">
        <v>0</v>
      </c>
      <c r="I90" s="356"/>
      <c r="J90" s="357">
        <v>0</v>
      </c>
      <c r="K90" s="357"/>
      <c r="L90" s="357">
        <f t="shared" si="3"/>
        <v>0</v>
      </c>
    </row>
    <row r="91" spans="1:12" ht="15" customHeight="1">
      <c r="A91" s="43" t="s">
        <v>532</v>
      </c>
      <c r="B91" s="357">
        <v>0</v>
      </c>
      <c r="C91" s="356"/>
      <c r="D91" s="357">
        <v>0</v>
      </c>
      <c r="E91" s="356"/>
      <c r="F91" s="357">
        <v>0</v>
      </c>
      <c r="G91" s="357"/>
      <c r="H91" s="357">
        <v>0</v>
      </c>
      <c r="I91" s="356"/>
      <c r="J91" s="357">
        <v>0</v>
      </c>
      <c r="K91" s="357"/>
      <c r="L91" s="357">
        <f t="shared" ref="L91:L92" si="4">SUM(B91:K91)</f>
        <v>0</v>
      </c>
    </row>
    <row r="92" spans="1:12" ht="15" customHeight="1">
      <c r="A92" s="43" t="s">
        <v>1015</v>
      </c>
      <c r="B92" s="357"/>
      <c r="C92" s="356"/>
      <c r="D92" s="357">
        <f>+'WP-10 Rate Case Cost'!D17</f>
        <v>1927.6500000000003</v>
      </c>
      <c r="E92" s="356"/>
      <c r="F92" s="357"/>
      <c r="G92" s="357"/>
      <c r="H92" s="357"/>
      <c r="I92" s="356"/>
      <c r="J92" s="357"/>
      <c r="K92" s="357"/>
      <c r="L92" s="357">
        <f t="shared" si="4"/>
        <v>1927.6500000000003</v>
      </c>
    </row>
    <row r="93" spans="1:12" ht="15" customHeight="1">
      <c r="A93" s="299"/>
      <c r="B93" s="359">
        <f>SUM(B27:B91)</f>
        <v>226952.77564820647</v>
      </c>
      <c r="C93" s="372"/>
      <c r="D93" s="359">
        <f>SUM(D27:D92)</f>
        <v>1927.6500000000003</v>
      </c>
      <c r="E93" s="372"/>
      <c r="F93" s="359">
        <f>SUM(F27:F91)</f>
        <v>0</v>
      </c>
      <c r="G93" s="356"/>
      <c r="H93" s="359">
        <f>SUM(H27:H91)</f>
        <v>-7490.3710242575617</v>
      </c>
      <c r="I93" s="372"/>
      <c r="J93" s="359">
        <f>SUM(J27:J91)</f>
        <v>58780.87999999999</v>
      </c>
      <c r="K93" s="356"/>
      <c r="L93" s="359">
        <f>SUM(L27:L92)</f>
        <v>280170.93462394894</v>
      </c>
    </row>
    <row r="94" spans="1:12" ht="15" customHeight="1">
      <c r="A94" s="287"/>
      <c r="B94" s="302"/>
      <c r="C94" s="304"/>
      <c r="D94" s="302"/>
      <c r="E94" s="304"/>
      <c r="F94" s="302"/>
      <c r="G94" s="302"/>
      <c r="H94" s="302"/>
      <c r="I94" s="304"/>
      <c r="J94" s="302"/>
      <c r="K94" s="302"/>
      <c r="L94" s="302"/>
    </row>
    <row r="95" spans="1:12" ht="15" customHeight="1" thickBot="1">
      <c r="A95" s="287" t="s">
        <v>54</v>
      </c>
      <c r="B95" s="360">
        <f>+B24-B93</f>
        <v>-226952.77564820647</v>
      </c>
      <c r="C95" s="356"/>
      <c r="D95" s="360">
        <f>+D24-D93</f>
        <v>-1927.6500000000003</v>
      </c>
      <c r="E95" s="356"/>
      <c r="F95" s="360">
        <f>+F24-F93</f>
        <v>42808.35</v>
      </c>
      <c r="G95" s="372"/>
      <c r="H95" s="360">
        <f>+H24-H93</f>
        <v>7490.3710242575617</v>
      </c>
      <c r="I95" s="356"/>
      <c r="J95" s="360">
        <f>+J24-J93</f>
        <v>-45586.087547169802</v>
      </c>
      <c r="K95" s="372"/>
      <c r="L95" s="360">
        <f>+L24-L93</f>
        <v>-224167.79217111875</v>
      </c>
    </row>
    <row r="96" spans="1:12" ht="15" customHeight="1" thickTop="1">
      <c r="A96" s="287"/>
      <c r="B96" s="287"/>
      <c r="C96" s="298"/>
      <c r="D96" s="287"/>
      <c r="E96" s="298"/>
      <c r="F96" s="287"/>
      <c r="G96" s="287"/>
      <c r="H96" s="287"/>
      <c r="I96" s="298"/>
      <c r="J96" s="287"/>
      <c r="K96" s="287"/>
      <c r="L96" s="287"/>
    </row>
    <row r="97" spans="1:12" ht="15" customHeight="1">
      <c r="A97" s="287"/>
      <c r="B97" s="287"/>
      <c r="C97" s="298"/>
      <c r="D97" s="287"/>
      <c r="E97" s="298"/>
      <c r="F97" s="287"/>
      <c r="G97" s="287"/>
      <c r="H97" s="287"/>
      <c r="I97" s="298"/>
      <c r="J97" s="287"/>
      <c r="K97" s="287"/>
      <c r="L97" s="287"/>
    </row>
    <row r="98" spans="1:12" ht="15" customHeight="1">
      <c r="A98" s="287"/>
      <c r="B98" s="287"/>
      <c r="C98" s="298"/>
      <c r="D98" s="287"/>
      <c r="E98" s="298"/>
      <c r="F98" s="287"/>
      <c r="G98" s="287"/>
      <c r="H98" s="287"/>
      <c r="I98" s="298"/>
      <c r="J98" s="287"/>
      <c r="K98" s="287"/>
      <c r="L98" s="287"/>
    </row>
    <row r="99" spans="1:12" ht="15" customHeight="1">
      <c r="A99" s="287"/>
      <c r="B99" s="287"/>
      <c r="C99" s="298"/>
      <c r="D99" s="287"/>
      <c r="E99" s="298"/>
      <c r="F99" s="287"/>
      <c r="G99" s="287"/>
      <c r="H99" s="287"/>
      <c r="I99" s="298"/>
      <c r="J99" s="287"/>
      <c r="K99" s="287"/>
      <c r="L99" s="287"/>
    </row>
    <row r="100" spans="1:12" ht="15" customHeight="1">
      <c r="A100" s="287"/>
      <c r="B100" s="287"/>
      <c r="C100" s="298"/>
      <c r="D100" s="287"/>
      <c r="E100" s="298"/>
      <c r="F100" s="287"/>
      <c r="G100" s="287"/>
      <c r="H100" s="287"/>
      <c r="I100" s="298"/>
      <c r="J100" s="287"/>
      <c r="K100" s="287"/>
      <c r="L100" s="287"/>
    </row>
    <row r="101" spans="1:12" ht="15" customHeight="1">
      <c r="A101" s="287"/>
      <c r="B101" s="287"/>
      <c r="C101" s="298"/>
      <c r="D101" s="287"/>
      <c r="E101" s="298"/>
      <c r="F101" s="287"/>
      <c r="G101" s="287"/>
      <c r="H101" s="287"/>
      <c r="I101" s="298"/>
      <c r="J101" s="287"/>
      <c r="K101" s="287"/>
      <c r="L101" s="287"/>
    </row>
    <row r="102" spans="1:12" ht="15" customHeight="1">
      <c r="A102" s="287"/>
      <c r="B102" s="287"/>
      <c r="C102" s="298"/>
      <c r="D102" s="287"/>
      <c r="E102" s="298"/>
      <c r="F102" s="287"/>
      <c r="G102" s="287"/>
      <c r="H102" s="287"/>
      <c r="I102" s="298"/>
      <c r="J102" s="287"/>
      <c r="K102" s="287"/>
      <c r="L102" s="287"/>
    </row>
    <row r="103" spans="1:12" ht="15" customHeight="1">
      <c r="A103" s="287"/>
      <c r="B103" s="287"/>
      <c r="C103" s="298"/>
      <c r="D103" s="287"/>
      <c r="E103" s="298"/>
      <c r="F103" s="287"/>
      <c r="G103" s="287"/>
      <c r="H103" s="287"/>
      <c r="I103" s="298"/>
      <c r="J103" s="287"/>
      <c r="K103" s="287"/>
      <c r="L103" s="287"/>
    </row>
    <row r="104" spans="1:12" ht="15" customHeight="1">
      <c r="A104" s="287"/>
      <c r="B104" s="287"/>
      <c r="C104" s="298"/>
      <c r="D104" s="287"/>
      <c r="E104" s="298"/>
      <c r="F104" s="287"/>
      <c r="G104" s="287"/>
      <c r="H104" s="287"/>
      <c r="I104" s="298"/>
      <c r="J104" s="287"/>
      <c r="K104" s="287"/>
      <c r="L104" s="287"/>
    </row>
    <row r="105" spans="1:12" ht="15" customHeight="1">
      <c r="A105" s="287"/>
      <c r="B105" s="287"/>
      <c r="C105" s="298"/>
      <c r="D105" s="287"/>
      <c r="E105" s="298"/>
      <c r="F105" s="287"/>
      <c r="G105" s="287"/>
      <c r="H105" s="287"/>
      <c r="I105" s="298"/>
      <c r="J105" s="287"/>
      <c r="K105" s="287"/>
      <c r="L105" s="287"/>
    </row>
    <row r="106" spans="1:12" ht="15" customHeight="1">
      <c r="A106" s="287"/>
      <c r="B106" s="287"/>
      <c r="C106" s="298"/>
      <c r="D106" s="287"/>
      <c r="E106" s="298"/>
      <c r="F106" s="287"/>
      <c r="G106" s="287"/>
      <c r="H106" s="287"/>
      <c r="I106" s="298"/>
      <c r="J106" s="287"/>
      <c r="K106" s="287"/>
      <c r="L106" s="287"/>
    </row>
    <row r="107" spans="1:12" ht="15" customHeight="1">
      <c r="A107" s="287"/>
      <c r="B107" s="287"/>
      <c r="C107" s="298"/>
      <c r="D107" s="287"/>
      <c r="E107" s="298"/>
      <c r="F107" s="287"/>
      <c r="G107" s="287"/>
      <c r="H107" s="287"/>
      <c r="I107" s="298"/>
      <c r="J107" s="287"/>
      <c r="K107" s="287"/>
      <c r="L107" s="287"/>
    </row>
    <row r="108" spans="1:12" ht="15" customHeight="1">
      <c r="A108" s="287"/>
      <c r="B108" s="287"/>
      <c r="C108" s="298"/>
      <c r="D108" s="287"/>
      <c r="E108" s="298"/>
      <c r="F108" s="287"/>
      <c r="G108" s="287"/>
      <c r="H108" s="287"/>
      <c r="I108" s="298"/>
      <c r="J108" s="287"/>
      <c r="K108" s="287"/>
      <c r="L108" s="287"/>
    </row>
    <row r="109" spans="1:12" ht="15" customHeight="1">
      <c r="A109" s="287"/>
      <c r="B109" s="287"/>
      <c r="C109" s="298"/>
      <c r="D109" s="287"/>
      <c r="E109" s="298"/>
      <c r="F109" s="287"/>
      <c r="G109" s="287"/>
      <c r="H109" s="287"/>
      <c r="I109" s="298"/>
      <c r="J109" s="287"/>
      <c r="K109" s="287"/>
      <c r="L109" s="287"/>
    </row>
    <row r="110" spans="1:12">
      <c r="A110" s="287"/>
      <c r="B110" s="287"/>
      <c r="C110" s="298"/>
      <c r="D110" s="287"/>
      <c r="E110" s="298"/>
      <c r="F110" s="287"/>
      <c r="G110" s="287"/>
      <c r="H110" s="287"/>
      <c r="I110" s="298"/>
      <c r="J110" s="287"/>
      <c r="K110" s="287"/>
      <c r="L110" s="287"/>
    </row>
    <row r="111" spans="1:12">
      <c r="A111" s="287"/>
      <c r="B111" s="287"/>
      <c r="C111" s="298"/>
      <c r="D111" s="287"/>
      <c r="E111" s="298"/>
      <c r="F111" s="287"/>
      <c r="G111" s="287"/>
      <c r="H111" s="287"/>
      <c r="I111" s="298"/>
      <c r="J111" s="287"/>
      <c r="K111" s="287"/>
      <c r="L111" s="287"/>
    </row>
    <row r="112" spans="1:12">
      <c r="A112" s="287"/>
      <c r="B112" s="287"/>
      <c r="C112" s="298"/>
      <c r="D112" s="287"/>
      <c r="E112" s="298"/>
      <c r="F112" s="287"/>
      <c r="G112" s="287"/>
      <c r="H112" s="287"/>
      <c r="I112" s="298"/>
      <c r="J112" s="287"/>
      <c r="K112" s="287"/>
      <c r="L112" s="287"/>
    </row>
    <row r="113" spans="1:12">
      <c r="A113" s="287"/>
      <c r="B113" s="287"/>
      <c r="C113" s="298"/>
      <c r="D113" s="287"/>
      <c r="E113" s="298"/>
      <c r="F113" s="287"/>
      <c r="G113" s="287"/>
      <c r="H113" s="287"/>
      <c r="I113" s="298"/>
      <c r="J113" s="287"/>
      <c r="K113" s="287"/>
      <c r="L113" s="287"/>
    </row>
    <row r="114" spans="1:12">
      <c r="A114" s="287"/>
      <c r="B114" s="287"/>
      <c r="C114" s="298"/>
      <c r="D114" s="287"/>
      <c r="E114" s="298"/>
      <c r="F114" s="287"/>
      <c r="G114" s="287"/>
      <c r="H114" s="287"/>
      <c r="I114" s="298"/>
      <c r="J114" s="287"/>
      <c r="K114" s="287"/>
      <c r="L114" s="287"/>
    </row>
    <row r="115" spans="1:12">
      <c r="A115" s="287"/>
      <c r="B115" s="287"/>
      <c r="C115" s="298"/>
      <c r="D115" s="287"/>
      <c r="E115" s="298"/>
      <c r="F115" s="287"/>
      <c r="G115" s="287"/>
      <c r="H115" s="287"/>
      <c r="I115" s="298"/>
      <c r="J115" s="287"/>
      <c r="K115" s="287"/>
      <c r="L115" s="287"/>
    </row>
    <row r="116" spans="1:12">
      <c r="A116" s="287"/>
      <c r="B116" s="287"/>
      <c r="C116" s="298"/>
      <c r="D116" s="287"/>
      <c r="E116" s="298"/>
      <c r="F116" s="287"/>
      <c r="G116" s="287"/>
      <c r="H116" s="287"/>
      <c r="I116" s="298"/>
      <c r="J116" s="287"/>
      <c r="K116" s="287"/>
      <c r="L116" s="287"/>
    </row>
    <row r="117" spans="1:12">
      <c r="A117" s="287"/>
      <c r="B117" s="287"/>
      <c r="C117" s="298"/>
      <c r="D117" s="287"/>
      <c r="E117" s="298"/>
      <c r="F117" s="287"/>
      <c r="G117" s="287"/>
      <c r="H117" s="287"/>
      <c r="I117" s="298"/>
      <c r="J117" s="287"/>
      <c r="K117" s="287"/>
      <c r="L117" s="287"/>
    </row>
    <row r="118" spans="1:12">
      <c r="A118" s="287"/>
      <c r="B118" s="287"/>
      <c r="C118" s="298"/>
      <c r="D118" s="287"/>
      <c r="E118" s="298"/>
      <c r="F118" s="287"/>
      <c r="G118" s="287"/>
      <c r="H118" s="287"/>
      <c r="I118" s="298"/>
      <c r="J118" s="287"/>
      <c r="K118" s="287"/>
      <c r="L118" s="287"/>
    </row>
    <row r="119" spans="1:12">
      <c r="A119" s="287"/>
      <c r="B119" s="287"/>
      <c r="C119" s="298"/>
      <c r="D119" s="287"/>
      <c r="E119" s="298"/>
      <c r="F119" s="287"/>
      <c r="G119" s="287"/>
      <c r="H119" s="287"/>
      <c r="I119" s="298"/>
      <c r="J119" s="287"/>
      <c r="K119" s="287"/>
      <c r="L119" s="287"/>
    </row>
    <row r="120" spans="1:12">
      <c r="A120" s="287"/>
      <c r="B120" s="287"/>
      <c r="C120" s="298"/>
      <c r="D120" s="287"/>
      <c r="E120" s="298"/>
      <c r="F120" s="287"/>
      <c r="G120" s="287"/>
      <c r="H120" s="287"/>
      <c r="I120" s="298"/>
      <c r="J120" s="287"/>
      <c r="K120" s="287"/>
      <c r="L120" s="287"/>
    </row>
    <row r="121" spans="1:12">
      <c r="A121" s="287"/>
      <c r="B121" s="287"/>
      <c r="C121" s="298"/>
      <c r="D121" s="287"/>
      <c r="E121" s="298"/>
      <c r="F121" s="287"/>
      <c r="G121" s="287"/>
      <c r="H121" s="287"/>
      <c r="I121" s="298"/>
      <c r="J121" s="287"/>
      <c r="K121" s="287"/>
      <c r="L121" s="287"/>
    </row>
    <row r="122" spans="1:12">
      <c r="A122" s="287"/>
      <c r="B122" s="287"/>
      <c r="C122" s="298"/>
      <c r="D122" s="287"/>
      <c r="E122" s="298"/>
      <c r="F122" s="287"/>
      <c r="G122" s="287"/>
      <c r="H122" s="287"/>
      <c r="I122" s="298"/>
      <c r="J122" s="287"/>
      <c r="K122" s="287"/>
      <c r="L122" s="287"/>
    </row>
    <row r="123" spans="1:12">
      <c r="A123" s="287"/>
      <c r="B123" s="287"/>
      <c r="C123" s="298"/>
      <c r="D123" s="287"/>
      <c r="E123" s="298"/>
      <c r="F123" s="287"/>
      <c r="G123" s="287"/>
      <c r="H123" s="287"/>
      <c r="I123" s="298"/>
      <c r="J123" s="287"/>
      <c r="K123" s="287"/>
      <c r="L123" s="287"/>
    </row>
    <row r="124" spans="1:12">
      <c r="A124" s="287"/>
      <c r="B124" s="287"/>
      <c r="C124" s="298"/>
      <c r="D124" s="287"/>
      <c r="E124" s="298"/>
      <c r="F124" s="287"/>
      <c r="G124" s="287"/>
      <c r="H124" s="287"/>
      <c r="I124" s="298"/>
      <c r="J124" s="287"/>
      <c r="K124" s="287"/>
      <c r="L124" s="287"/>
    </row>
    <row r="125" spans="1:12">
      <c r="A125" s="287"/>
      <c r="B125" s="287"/>
      <c r="C125" s="298"/>
      <c r="D125" s="287"/>
      <c r="E125" s="298"/>
      <c r="F125" s="287"/>
      <c r="G125" s="287"/>
      <c r="H125" s="287"/>
      <c r="I125" s="298"/>
      <c r="J125" s="287"/>
      <c r="K125" s="287"/>
      <c r="L125" s="287"/>
    </row>
    <row r="126" spans="1:12">
      <c r="A126" s="287"/>
      <c r="B126" s="287"/>
      <c r="C126" s="298"/>
      <c r="D126" s="287"/>
      <c r="E126" s="298"/>
      <c r="F126" s="287"/>
      <c r="G126" s="287"/>
      <c r="H126" s="287"/>
      <c r="I126" s="298"/>
      <c r="J126" s="287"/>
      <c r="K126" s="287"/>
      <c r="L126" s="287"/>
    </row>
    <row r="127" spans="1:12">
      <c r="A127" s="287"/>
      <c r="B127" s="287"/>
      <c r="C127" s="298"/>
      <c r="D127" s="287"/>
      <c r="E127" s="298"/>
      <c r="F127" s="287"/>
      <c r="G127" s="287"/>
      <c r="H127" s="287"/>
      <c r="I127" s="298"/>
      <c r="J127" s="287"/>
      <c r="K127" s="287"/>
      <c r="L127" s="287"/>
    </row>
    <row r="128" spans="1:12">
      <c r="A128" s="287"/>
      <c r="B128" s="287"/>
      <c r="C128" s="298"/>
      <c r="D128" s="287"/>
      <c r="E128" s="298"/>
      <c r="F128" s="287"/>
      <c r="G128" s="287"/>
      <c r="H128" s="287"/>
      <c r="I128" s="298"/>
      <c r="J128" s="287"/>
      <c r="K128" s="287"/>
      <c r="L128" s="287"/>
    </row>
    <row r="129" spans="1:12">
      <c r="A129" s="287"/>
      <c r="B129" s="287"/>
      <c r="C129" s="298"/>
      <c r="D129" s="287"/>
      <c r="E129" s="298"/>
      <c r="F129" s="287"/>
      <c r="G129" s="287"/>
      <c r="H129" s="287"/>
      <c r="I129" s="298"/>
      <c r="J129" s="287"/>
      <c r="K129" s="287"/>
      <c r="L129" s="287"/>
    </row>
    <row r="130" spans="1:12">
      <c r="A130" s="287"/>
      <c r="B130" s="287"/>
      <c r="C130" s="298"/>
      <c r="D130" s="287"/>
      <c r="E130" s="298"/>
      <c r="F130" s="287"/>
      <c r="G130" s="287"/>
      <c r="H130" s="287"/>
      <c r="I130" s="298"/>
      <c r="J130" s="287"/>
      <c r="K130" s="287"/>
      <c r="L130" s="287"/>
    </row>
    <row r="131" spans="1:12">
      <c r="A131" s="287"/>
      <c r="B131" s="287"/>
      <c r="C131" s="298"/>
      <c r="D131" s="287"/>
      <c r="E131" s="298"/>
      <c r="F131" s="287"/>
      <c r="G131" s="287"/>
      <c r="H131" s="287"/>
      <c r="I131" s="298"/>
      <c r="J131" s="287"/>
      <c r="K131" s="287"/>
      <c r="L131" s="287"/>
    </row>
    <row r="132" spans="1:12">
      <c r="A132" s="287"/>
      <c r="B132" s="287"/>
      <c r="C132" s="298"/>
      <c r="D132" s="287"/>
      <c r="E132" s="298"/>
      <c r="F132" s="287"/>
      <c r="G132" s="287"/>
      <c r="H132" s="287"/>
      <c r="I132" s="298"/>
      <c r="J132" s="287"/>
      <c r="K132" s="287"/>
      <c r="L132" s="287"/>
    </row>
    <row r="133" spans="1:12">
      <c r="A133" s="287"/>
      <c r="B133" s="287"/>
      <c r="C133" s="298"/>
      <c r="D133" s="287"/>
      <c r="E133" s="298"/>
      <c r="F133" s="287"/>
      <c r="G133" s="287"/>
      <c r="H133" s="287"/>
      <c r="I133" s="298"/>
      <c r="J133" s="287"/>
      <c r="K133" s="287"/>
      <c r="L133" s="287"/>
    </row>
    <row r="134" spans="1:12">
      <c r="A134" s="287"/>
      <c r="B134" s="287"/>
      <c r="C134" s="298"/>
      <c r="D134" s="287"/>
      <c r="E134" s="298"/>
      <c r="F134" s="287"/>
      <c r="G134" s="287"/>
      <c r="H134" s="287"/>
      <c r="I134" s="298"/>
      <c r="J134" s="287"/>
      <c r="K134" s="287"/>
      <c r="L134" s="287"/>
    </row>
    <row r="135" spans="1:12">
      <c r="A135" s="287"/>
      <c r="B135" s="287"/>
      <c r="C135" s="298"/>
      <c r="D135" s="287"/>
      <c r="E135" s="298"/>
      <c r="F135" s="287"/>
      <c r="G135" s="287"/>
      <c r="H135" s="287"/>
      <c r="I135" s="298"/>
      <c r="J135" s="287"/>
      <c r="K135" s="287"/>
      <c r="L135" s="287"/>
    </row>
    <row r="136" spans="1:12">
      <c r="A136" s="287"/>
      <c r="B136" s="287"/>
      <c r="C136" s="298"/>
      <c r="D136" s="287"/>
      <c r="E136" s="298"/>
      <c r="F136" s="287"/>
      <c r="G136" s="287"/>
      <c r="H136" s="287"/>
      <c r="I136" s="298"/>
      <c r="J136" s="287"/>
      <c r="K136" s="287"/>
      <c r="L136" s="287"/>
    </row>
    <row r="137" spans="1:12">
      <c r="A137" s="287"/>
      <c r="B137" s="287"/>
      <c r="C137" s="298"/>
      <c r="D137" s="287"/>
      <c r="E137" s="298"/>
      <c r="F137" s="287"/>
      <c r="G137" s="287"/>
      <c r="H137" s="287"/>
      <c r="I137" s="298"/>
      <c r="J137" s="287"/>
      <c r="K137" s="287"/>
      <c r="L137" s="287"/>
    </row>
    <row r="138" spans="1:12">
      <c r="A138" s="287"/>
      <c r="B138" s="287"/>
      <c r="C138" s="298"/>
      <c r="D138" s="287"/>
      <c r="E138" s="298"/>
      <c r="F138" s="287"/>
      <c r="G138" s="287"/>
      <c r="H138" s="287"/>
      <c r="I138" s="298"/>
      <c r="J138" s="287"/>
      <c r="K138" s="287"/>
      <c r="L138" s="287"/>
    </row>
    <row r="139" spans="1:12">
      <c r="A139" s="287"/>
      <c r="B139" s="287"/>
      <c r="C139" s="298"/>
      <c r="D139" s="287"/>
      <c r="E139" s="298"/>
      <c r="F139" s="287"/>
      <c r="G139" s="287"/>
      <c r="H139" s="287"/>
      <c r="I139" s="298"/>
      <c r="J139" s="287"/>
      <c r="K139" s="287"/>
      <c r="L139" s="287"/>
    </row>
    <row r="140" spans="1:12">
      <c r="A140" s="287"/>
      <c r="B140" s="287"/>
      <c r="C140" s="298"/>
      <c r="D140" s="287"/>
      <c r="E140" s="298"/>
      <c r="F140" s="287"/>
      <c r="G140" s="287"/>
      <c r="H140" s="287"/>
      <c r="I140" s="298"/>
      <c r="J140" s="287"/>
      <c r="K140" s="287"/>
      <c r="L140" s="287"/>
    </row>
    <row r="141" spans="1:12">
      <c r="A141" s="287"/>
      <c r="B141" s="287"/>
      <c r="C141" s="298"/>
      <c r="D141" s="287"/>
      <c r="E141" s="298"/>
      <c r="F141" s="287"/>
      <c r="G141" s="287"/>
      <c r="H141" s="287"/>
      <c r="I141" s="298"/>
      <c r="J141" s="287"/>
      <c r="K141" s="287"/>
      <c r="L141" s="287"/>
    </row>
    <row r="142" spans="1:12">
      <c r="A142" s="287"/>
      <c r="B142" s="287"/>
      <c r="C142" s="298"/>
      <c r="D142" s="287"/>
      <c r="E142" s="298"/>
      <c r="F142" s="287"/>
      <c r="G142" s="287"/>
      <c r="H142" s="287"/>
      <c r="I142" s="298"/>
      <c r="J142" s="287"/>
      <c r="K142" s="287"/>
      <c r="L142" s="287"/>
    </row>
    <row r="143" spans="1:12">
      <c r="A143" s="287"/>
      <c r="B143" s="287"/>
      <c r="C143" s="298"/>
      <c r="D143" s="287"/>
      <c r="E143" s="298"/>
      <c r="F143" s="287"/>
      <c r="G143" s="287"/>
      <c r="H143" s="287"/>
      <c r="I143" s="298"/>
      <c r="J143" s="287"/>
      <c r="K143" s="287"/>
      <c r="L143" s="287"/>
    </row>
    <row r="144" spans="1:12">
      <c r="A144" s="287"/>
      <c r="B144" s="287"/>
      <c r="C144" s="298"/>
      <c r="D144" s="287"/>
      <c r="E144" s="298"/>
      <c r="F144" s="287"/>
      <c r="G144" s="287"/>
      <c r="H144" s="287"/>
      <c r="I144" s="298"/>
      <c r="J144" s="287"/>
      <c r="K144" s="287"/>
      <c r="L144" s="287"/>
    </row>
    <row r="145" spans="1:12">
      <c r="A145" s="287"/>
      <c r="B145" s="287"/>
      <c r="C145" s="298"/>
      <c r="D145" s="287"/>
      <c r="E145" s="298"/>
      <c r="F145" s="287"/>
      <c r="G145" s="287"/>
      <c r="H145" s="287"/>
      <c r="I145" s="298"/>
      <c r="J145" s="287"/>
      <c r="K145" s="287"/>
      <c r="L145" s="287"/>
    </row>
    <row r="146" spans="1:12">
      <c r="A146" s="287"/>
      <c r="B146" s="287"/>
      <c r="C146" s="298"/>
      <c r="D146" s="287"/>
      <c r="E146" s="298"/>
      <c r="F146" s="287"/>
      <c r="G146" s="287"/>
      <c r="H146" s="287"/>
      <c r="I146" s="298"/>
      <c r="J146" s="287"/>
      <c r="K146" s="287"/>
      <c r="L146" s="287"/>
    </row>
    <row r="147" spans="1:12">
      <c r="A147" s="287"/>
      <c r="B147" s="287"/>
      <c r="C147" s="298"/>
      <c r="D147" s="287"/>
      <c r="E147" s="298"/>
      <c r="F147" s="287"/>
      <c r="G147" s="287"/>
      <c r="H147" s="287"/>
      <c r="I147" s="298"/>
      <c r="J147" s="287"/>
      <c r="K147" s="287"/>
      <c r="L147" s="287"/>
    </row>
    <row r="148" spans="1:12">
      <c r="A148" s="287"/>
      <c r="B148" s="287"/>
      <c r="C148" s="298"/>
      <c r="D148" s="287"/>
      <c r="E148" s="298"/>
      <c r="F148" s="287"/>
      <c r="G148" s="287"/>
      <c r="H148" s="287"/>
      <c r="I148" s="298"/>
      <c r="J148" s="287"/>
      <c r="K148" s="287"/>
      <c r="L148" s="287"/>
    </row>
    <row r="149" spans="1:12">
      <c r="A149" s="287"/>
      <c r="B149" s="287"/>
      <c r="C149" s="298"/>
      <c r="D149" s="287"/>
      <c r="E149" s="298"/>
      <c r="F149" s="287"/>
      <c r="G149" s="287"/>
      <c r="H149" s="287"/>
      <c r="I149" s="298"/>
      <c r="J149" s="287"/>
      <c r="K149" s="287"/>
      <c r="L149" s="287"/>
    </row>
    <row r="150" spans="1:12">
      <c r="A150" s="287"/>
      <c r="B150" s="287"/>
      <c r="C150" s="298"/>
      <c r="D150" s="287"/>
      <c r="E150" s="298"/>
      <c r="F150" s="287"/>
      <c r="G150" s="287"/>
      <c r="H150" s="287"/>
      <c r="I150" s="298"/>
      <c r="J150" s="287"/>
      <c r="K150" s="287"/>
      <c r="L150" s="287"/>
    </row>
    <row r="151" spans="1:12">
      <c r="A151" s="287"/>
      <c r="B151" s="287"/>
      <c r="C151" s="298"/>
      <c r="D151" s="287"/>
      <c r="E151" s="298"/>
      <c r="F151" s="287"/>
      <c r="G151" s="287"/>
      <c r="H151" s="287"/>
      <c r="I151" s="298"/>
      <c r="J151" s="287"/>
      <c r="K151" s="287"/>
      <c r="L151" s="287"/>
    </row>
    <row r="152" spans="1:12">
      <c r="A152" s="287"/>
      <c r="B152" s="287"/>
      <c r="C152" s="298"/>
      <c r="D152" s="287"/>
      <c r="E152" s="298"/>
      <c r="F152" s="287"/>
      <c r="G152" s="287"/>
      <c r="H152" s="287"/>
      <c r="I152" s="298"/>
      <c r="J152" s="287"/>
      <c r="K152" s="287"/>
      <c r="L152" s="287"/>
    </row>
    <row r="153" spans="1:12">
      <c r="A153" s="287"/>
      <c r="B153" s="287"/>
      <c r="C153" s="298"/>
      <c r="D153" s="287"/>
      <c r="E153" s="298"/>
      <c r="F153" s="287"/>
      <c r="G153" s="287"/>
      <c r="H153" s="287"/>
      <c r="I153" s="298"/>
      <c r="J153" s="287"/>
      <c r="K153" s="287"/>
      <c r="L153" s="287"/>
    </row>
    <row r="154" spans="1:12">
      <c r="A154" s="287"/>
      <c r="B154" s="287"/>
      <c r="C154" s="298"/>
      <c r="D154" s="287"/>
      <c r="E154" s="298"/>
      <c r="F154" s="287"/>
      <c r="G154" s="287"/>
      <c r="H154" s="287"/>
      <c r="I154" s="298"/>
      <c r="J154" s="287"/>
      <c r="K154" s="287"/>
      <c r="L154" s="287"/>
    </row>
    <row r="155" spans="1:12">
      <c r="A155" s="287"/>
      <c r="B155" s="287"/>
      <c r="C155" s="298"/>
      <c r="D155" s="287"/>
      <c r="E155" s="298"/>
      <c r="F155" s="287"/>
      <c r="G155" s="287"/>
      <c r="H155" s="287"/>
      <c r="I155" s="298"/>
      <c r="J155" s="287"/>
      <c r="K155" s="287"/>
      <c r="L155" s="287"/>
    </row>
    <row r="156" spans="1:12">
      <c r="A156" s="287"/>
      <c r="B156" s="287"/>
      <c r="C156" s="298"/>
      <c r="D156" s="287"/>
      <c r="E156" s="298"/>
      <c r="F156" s="287"/>
      <c r="G156" s="287"/>
      <c r="H156" s="287"/>
      <c r="I156" s="298"/>
      <c r="J156" s="287"/>
      <c r="K156" s="287"/>
      <c r="L156" s="287"/>
    </row>
    <row r="157" spans="1:12">
      <c r="A157" s="287"/>
      <c r="B157" s="287"/>
      <c r="C157" s="298"/>
      <c r="D157" s="287"/>
      <c r="E157" s="298"/>
      <c r="F157" s="287"/>
      <c r="G157" s="287"/>
      <c r="H157" s="287"/>
      <c r="I157" s="298"/>
      <c r="J157" s="287"/>
      <c r="K157" s="287"/>
      <c r="L157" s="287"/>
    </row>
    <row r="158" spans="1:12">
      <c r="A158" s="287"/>
      <c r="B158" s="287"/>
      <c r="C158" s="298"/>
      <c r="D158" s="287"/>
      <c r="E158" s="298"/>
      <c r="F158" s="287"/>
      <c r="G158" s="287"/>
      <c r="H158" s="287"/>
      <c r="I158" s="298"/>
      <c r="J158" s="287"/>
      <c r="K158" s="287"/>
      <c r="L158" s="287"/>
    </row>
    <row r="159" spans="1:12">
      <c r="A159" s="287"/>
      <c r="B159" s="287"/>
      <c r="C159" s="298"/>
      <c r="D159" s="287"/>
      <c r="E159" s="298"/>
      <c r="F159" s="287"/>
      <c r="G159" s="287"/>
      <c r="H159" s="287"/>
      <c r="I159" s="298"/>
      <c r="J159" s="287"/>
      <c r="K159" s="287"/>
      <c r="L159" s="287"/>
    </row>
    <row r="160" spans="1:12">
      <c r="A160" s="287"/>
      <c r="B160" s="287"/>
      <c r="C160" s="298"/>
      <c r="D160" s="287"/>
      <c r="E160" s="298"/>
      <c r="F160" s="287"/>
      <c r="G160" s="287"/>
      <c r="H160" s="287"/>
      <c r="I160" s="298"/>
      <c r="J160" s="287"/>
      <c r="K160" s="287"/>
      <c r="L160" s="287"/>
    </row>
    <row r="161" spans="1:12">
      <c r="A161" s="287"/>
      <c r="B161" s="287"/>
      <c r="C161" s="298"/>
      <c r="D161" s="287"/>
      <c r="E161" s="298"/>
      <c r="F161" s="287"/>
      <c r="G161" s="287"/>
      <c r="H161" s="287"/>
      <c r="I161" s="298"/>
      <c r="J161" s="287"/>
      <c r="K161" s="287"/>
      <c r="L161" s="287"/>
    </row>
    <row r="162" spans="1:12">
      <c r="A162" s="287"/>
      <c r="B162" s="287"/>
      <c r="C162" s="298"/>
      <c r="D162" s="287"/>
      <c r="E162" s="298"/>
      <c r="F162" s="287"/>
      <c r="G162" s="287"/>
      <c r="H162" s="287"/>
      <c r="I162" s="298"/>
      <c r="J162" s="287"/>
      <c r="K162" s="287"/>
      <c r="L162" s="287"/>
    </row>
    <row r="163" spans="1:12">
      <c r="A163" s="287"/>
      <c r="B163" s="287"/>
      <c r="C163" s="298"/>
      <c r="D163" s="287"/>
      <c r="E163" s="298"/>
      <c r="F163" s="287"/>
      <c r="G163" s="287"/>
      <c r="H163" s="287"/>
      <c r="I163" s="298"/>
      <c r="J163" s="287"/>
      <c r="K163" s="287"/>
      <c r="L163" s="287"/>
    </row>
    <row r="164" spans="1:12">
      <c r="A164" s="287"/>
      <c r="B164" s="287"/>
      <c r="C164" s="298"/>
      <c r="D164" s="287"/>
      <c r="E164" s="298"/>
      <c r="F164" s="287"/>
      <c r="G164" s="287"/>
      <c r="H164" s="287"/>
      <c r="I164" s="298"/>
      <c r="J164" s="287"/>
      <c r="K164" s="287"/>
      <c r="L164" s="287"/>
    </row>
    <row r="165" spans="1:12">
      <c r="A165" s="287"/>
      <c r="B165" s="287"/>
      <c r="C165" s="298"/>
      <c r="D165" s="287"/>
      <c r="E165" s="298"/>
      <c r="F165" s="287"/>
      <c r="G165" s="287"/>
      <c r="H165" s="287"/>
      <c r="I165" s="298"/>
      <c r="J165" s="287"/>
      <c r="K165" s="287"/>
      <c r="L165" s="287"/>
    </row>
    <row r="166" spans="1:12">
      <c r="A166" s="287"/>
      <c r="B166" s="287"/>
      <c r="C166" s="298"/>
      <c r="D166" s="287"/>
      <c r="E166" s="298"/>
      <c r="F166" s="287"/>
      <c r="G166" s="287"/>
      <c r="H166" s="287"/>
      <c r="I166" s="298"/>
      <c r="J166" s="287"/>
      <c r="K166" s="287"/>
      <c r="L166" s="287"/>
    </row>
    <row r="167" spans="1:12">
      <c r="A167" s="287"/>
      <c r="B167" s="287"/>
      <c r="C167" s="298"/>
      <c r="D167" s="287"/>
      <c r="E167" s="298"/>
      <c r="F167" s="287"/>
      <c r="G167" s="287"/>
      <c r="H167" s="287"/>
      <c r="I167" s="298"/>
      <c r="J167" s="287"/>
      <c r="K167" s="287"/>
      <c r="L167" s="287"/>
    </row>
    <row r="168" spans="1:12">
      <c r="A168" s="287"/>
      <c r="B168" s="287"/>
      <c r="C168" s="298"/>
      <c r="D168" s="287"/>
      <c r="E168" s="298"/>
      <c r="F168" s="287"/>
      <c r="G168" s="287"/>
      <c r="H168" s="287"/>
      <c r="I168" s="298"/>
      <c r="J168" s="287"/>
      <c r="K168" s="287"/>
      <c r="L168" s="287"/>
    </row>
    <row r="169" spans="1:12">
      <c r="A169" s="287"/>
      <c r="B169" s="287"/>
      <c r="C169" s="298"/>
      <c r="D169" s="287"/>
      <c r="E169" s="298"/>
      <c r="F169" s="287"/>
      <c r="G169" s="287"/>
      <c r="H169" s="287"/>
      <c r="I169" s="298"/>
      <c r="J169" s="287"/>
      <c r="K169" s="287"/>
      <c r="L169" s="287"/>
    </row>
    <row r="170" spans="1:12">
      <c r="A170" s="287"/>
      <c r="B170" s="287"/>
      <c r="C170" s="298"/>
      <c r="D170" s="287"/>
      <c r="E170" s="298"/>
      <c r="F170" s="287"/>
      <c r="G170" s="287"/>
      <c r="H170" s="287"/>
      <c r="I170" s="298"/>
      <c r="J170" s="287"/>
      <c r="K170" s="287"/>
      <c r="L170" s="287"/>
    </row>
  </sheetData>
  <mergeCells count="4">
    <mergeCell ref="A1:L1"/>
    <mergeCell ref="A3:L3"/>
    <mergeCell ref="A5:L5"/>
    <mergeCell ref="A6:L6"/>
  </mergeCells>
  <phoneticPr fontId="8" type="noConversion"/>
  <printOptions horizontalCentered="1"/>
  <pageMargins left="0.25" right="0.25" top="0.75" bottom="0.5" header="0" footer="0.25"/>
  <pageSetup fitToHeight="0" orientation="landscape" horizontalDpi="300" verticalDpi="300" r:id="rId1"/>
  <headerFooter scaleWithDoc="0" alignWithMargins="0">
    <oddFooter xml:space="preserve">&amp;C&amp;"Times New Roman,Regular"&amp;10See accompanying summary of significant forecast assumptions. </oddFooter>
  </headerFooter>
  <rowBreaks count="3" manualBreakCount="3">
    <brk id="34" max="11" man="1"/>
    <brk id="57" max="11" man="1"/>
    <brk id="8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2"/>
  <sheetViews>
    <sheetView zoomScaleNormal="100" workbookViewId="0">
      <selection activeCell="A5" sqref="A5:I5"/>
    </sheetView>
  </sheetViews>
  <sheetFormatPr defaultColWidth="8" defaultRowHeight="15.75"/>
  <cols>
    <col min="1" max="1" width="5.77734375" style="277" customWidth="1"/>
    <col min="2" max="3" width="7.77734375" style="277" customWidth="1"/>
    <col min="4" max="4" width="11.109375" style="277" customWidth="1"/>
    <col min="5" max="5" width="11.5546875" style="277" customWidth="1"/>
    <col min="6" max="6" width="10.33203125" style="277" customWidth="1"/>
    <col min="7" max="7" width="11.109375" style="277" customWidth="1"/>
    <col min="8" max="8" width="9.109375" style="277" customWidth="1"/>
    <col min="9" max="9" width="8.88671875" style="277" customWidth="1"/>
    <col min="10" max="16384" width="8" style="277"/>
  </cols>
  <sheetData>
    <row r="1" spans="1:9" s="313" customFormat="1" ht="16.5" customHeight="1">
      <c r="A1" s="1017" t="s">
        <v>434</v>
      </c>
      <c r="B1" s="1018"/>
      <c r="C1" s="1018"/>
      <c r="D1" s="1018"/>
      <c r="E1" s="1018"/>
      <c r="F1" s="1018"/>
      <c r="G1" s="1018"/>
      <c r="H1" s="1018"/>
      <c r="I1" s="1018"/>
    </row>
    <row r="2" spans="1:9" s="313" customFormat="1" ht="13.5" customHeight="1">
      <c r="A2" s="1018"/>
      <c r="B2" s="1018"/>
      <c r="C2" s="1018"/>
      <c r="D2" s="1018"/>
      <c r="E2" s="1018"/>
      <c r="F2" s="1018"/>
      <c r="G2" s="1018"/>
      <c r="H2" s="1018"/>
      <c r="I2" s="1018"/>
    </row>
    <row r="3" spans="1:9" s="313" customFormat="1" ht="16.5">
      <c r="A3" s="1018" t="s">
        <v>133</v>
      </c>
      <c r="B3" s="1018"/>
      <c r="C3" s="1018"/>
      <c r="D3" s="1018"/>
      <c r="E3" s="1018"/>
      <c r="F3" s="1018"/>
      <c r="G3" s="1018"/>
      <c r="H3" s="1018"/>
      <c r="I3" s="1018"/>
    </row>
    <row r="4" spans="1:9" s="313" customFormat="1" ht="15.75" customHeight="1">
      <c r="A4" s="314"/>
      <c r="B4" s="314"/>
      <c r="C4" s="314"/>
      <c r="D4" s="314"/>
      <c r="E4" s="314"/>
      <c r="F4" s="314"/>
      <c r="G4" s="314"/>
      <c r="H4" s="314"/>
      <c r="I4" s="314"/>
    </row>
    <row r="5" spans="1:9" s="313" customFormat="1" ht="15.75" customHeight="1">
      <c r="A5" s="1019" t="str">
        <f>'Fly Sheet'!$A$20</f>
        <v>For the Twelve Months Ended December 31, 2018 Historical and December 31, 2020 Forecasted</v>
      </c>
      <c r="B5" s="1020"/>
      <c r="C5" s="1020"/>
      <c r="D5" s="1020"/>
      <c r="E5" s="1020"/>
      <c r="F5" s="1020"/>
      <c r="G5" s="1020"/>
      <c r="H5" s="1020"/>
      <c r="I5" s="1020"/>
    </row>
    <row r="6" spans="1:9" s="313" customFormat="1" ht="15.75" customHeight="1">
      <c r="A6" s="1019"/>
      <c r="B6" s="1020"/>
      <c r="C6" s="1020"/>
      <c r="D6" s="1020"/>
      <c r="E6" s="1020"/>
      <c r="F6" s="1020"/>
      <c r="G6" s="1020"/>
      <c r="H6" s="1020"/>
      <c r="I6" s="1020"/>
    </row>
    <row r="7" spans="1:9" s="313" customFormat="1" ht="15.75" customHeight="1">
      <c r="A7" s="277"/>
      <c r="B7" s="306"/>
      <c r="C7" s="306"/>
      <c r="D7" s="306"/>
      <c r="E7" s="306"/>
      <c r="F7" s="306"/>
      <c r="G7" s="306"/>
      <c r="H7" s="306"/>
      <c r="I7" s="306"/>
    </row>
    <row r="8" spans="1:9" ht="33.75" customHeight="1">
      <c r="A8" s="277" t="s">
        <v>74</v>
      </c>
      <c r="B8" s="1016" t="s">
        <v>288</v>
      </c>
      <c r="C8" s="1016"/>
      <c r="D8" s="1016"/>
      <c r="E8" s="1016"/>
      <c r="F8" s="1016"/>
      <c r="G8" s="1016"/>
    </row>
    <row r="9" spans="1:9" ht="40.5" customHeight="1">
      <c r="A9" s="756" t="s">
        <v>75</v>
      </c>
      <c r="B9" s="277" t="s">
        <v>864</v>
      </c>
      <c r="H9" s="430"/>
      <c r="I9" s="430"/>
    </row>
    <row r="10" spans="1:9" ht="30" customHeight="1">
      <c r="A10" s="756" t="s">
        <v>76</v>
      </c>
      <c r="B10" s="1016" t="s">
        <v>895</v>
      </c>
      <c r="C10" s="1016"/>
      <c r="D10" s="1016"/>
      <c r="E10" s="1016"/>
      <c r="F10" s="1016"/>
      <c r="G10" s="1016"/>
      <c r="H10" s="430"/>
      <c r="I10" s="430"/>
    </row>
    <row r="11" spans="1:9">
      <c r="A11" s="277" t="s">
        <v>941</v>
      </c>
      <c r="B11" s="277" t="s">
        <v>942</v>
      </c>
    </row>
    <row r="12" spans="1:9">
      <c r="A12" s="277" t="s">
        <v>966</v>
      </c>
      <c r="B12" s="277" t="s">
        <v>967</v>
      </c>
    </row>
  </sheetData>
  <mergeCells count="7">
    <mergeCell ref="B8:G8"/>
    <mergeCell ref="B10:G10"/>
    <mergeCell ref="A1:I1"/>
    <mergeCell ref="A3:I3"/>
    <mergeCell ref="A5:I5"/>
    <mergeCell ref="A6:I6"/>
    <mergeCell ref="A2:I2"/>
  </mergeCells>
  <phoneticPr fontId="8" type="noConversion"/>
  <printOptions horizontalCentered="1"/>
  <pageMargins left="0.9" right="0.7" top="0.75" bottom="0.5" header="0" footer="0.25"/>
  <pageSetup scale="79" fitToHeight="3" orientation="portrait" horizontalDpi="300" verticalDpi="300" r:id="rId1"/>
  <headerFooter alignWithMargins="0">
    <oddFooter xml:space="preserve">&amp;C&amp;"Times New Roman,Regular"&amp;10See accompanying summary of significant forecast assumptions.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D66FAF22B4D87429DE23FF236900689" ma:contentTypeVersion="48" ma:contentTypeDescription="" ma:contentTypeScope="" ma:versionID="b46c4b29c0c0e94415964df3e050e1f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2019-10-18T07:00:00+00:00</OpenedDate>
    <SignificantOrder xmlns="dc463f71-b30c-4ab2-9473-d307f9d35888">false</SignificantOrder>
    <Date1 xmlns="dc463f71-b30c-4ab2-9473-d307f9d35888">2019-10-15T07:00:00+00:00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190869</DocketNumber>
    <DelegatedOrder xmlns="dc463f71-b30c-4ab2-9473-d307f9d35888">false</DelegatedOrder>
  </documentManagement>
</p:properties>
</file>

<file path=customXml/itemProps1.xml><?xml version="1.0" encoding="utf-8"?>
<ds:datastoreItem xmlns:ds="http://schemas.openxmlformats.org/officeDocument/2006/customXml" ds:itemID="{565C68FC-5376-444F-B518-60C40D648E3C}"/>
</file>

<file path=customXml/itemProps2.xml><?xml version="1.0" encoding="utf-8"?>
<ds:datastoreItem xmlns:ds="http://schemas.openxmlformats.org/officeDocument/2006/customXml" ds:itemID="{AFB16007-9E63-4DEB-87AB-E5CA9A42895A}"/>
</file>

<file path=customXml/itemProps3.xml><?xml version="1.0" encoding="utf-8"?>
<ds:datastoreItem xmlns:ds="http://schemas.openxmlformats.org/officeDocument/2006/customXml" ds:itemID="{CEC8DE6C-D764-4CC5-9621-B1151FF8F141}"/>
</file>

<file path=customXml/itemProps4.xml><?xml version="1.0" encoding="utf-8"?>
<ds:datastoreItem xmlns:ds="http://schemas.openxmlformats.org/officeDocument/2006/customXml" ds:itemID="{704CF447-EA60-4178-A829-613EDC51B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48</vt:i4>
      </vt:variant>
    </vt:vector>
  </HeadingPairs>
  <TitlesOfParts>
    <vt:vector size="75" baseType="lpstr">
      <vt:lpstr>Fly Sheet</vt:lpstr>
      <vt:lpstr>LG Nonpublic 2018 V5.0c</vt:lpstr>
      <vt:lpstr>Operations</vt:lpstr>
      <vt:lpstr>Assumptions</vt:lpstr>
      <vt:lpstr>Sch 1 - Restated Exp</vt:lpstr>
      <vt:lpstr>Sch 1, pg 2 - Restated</vt:lpstr>
      <vt:lpstr>Sch 2 - Forecast Exp</vt:lpstr>
      <vt:lpstr>Sch 2, pg 2 - Forecast</vt:lpstr>
      <vt:lpstr>Sch 3 - Reclass Exp</vt:lpstr>
      <vt:lpstr>Sch 3, pg 2 - Reclass</vt:lpstr>
      <vt:lpstr>Sch 4 - 12 Months</vt:lpstr>
      <vt:lpstr>Work Papers</vt:lpstr>
      <vt:lpstr>WP-1 - Summary Depr</vt:lpstr>
      <vt:lpstr>WP-1, pg 2 - Depr</vt:lpstr>
      <vt:lpstr>WP-2 - Labor Analysis</vt:lpstr>
      <vt:lpstr>WP-2, pg 2 - Labor Increase</vt:lpstr>
      <vt:lpstr>WP-2, pg 3 - Benefits Analysis</vt:lpstr>
      <vt:lpstr>WP-4 - Dues &amp; Sub</vt:lpstr>
      <vt:lpstr>WP-5 - Capital Structure</vt:lpstr>
      <vt:lpstr>WP-5, pg 2 - Capital</vt:lpstr>
      <vt:lpstr>WP-6 - Affiliated </vt:lpstr>
      <vt:lpstr>WP-7 - Fuel</vt:lpstr>
      <vt:lpstr>WP-8 Bad Debts</vt:lpstr>
      <vt:lpstr>WP-9 Disposal</vt:lpstr>
      <vt:lpstr>WP-9, pg 2 - Disposal Recycling</vt:lpstr>
      <vt:lpstr>WP-10 Rate Case Cost</vt:lpstr>
      <vt:lpstr>IS-PBC</vt:lpstr>
      <vt:lpstr>'LG Nonpublic 2018 V5.0c'!Debt_Rate</vt:lpstr>
      <vt:lpstr>'LG Nonpublic 2018 V5.0c'!debtP</vt:lpstr>
      <vt:lpstr>'LG Nonpublic 2018 V5.0c'!Equity_percent</vt:lpstr>
      <vt:lpstr>'LG Nonpublic 2018 V5.0c'!equityP</vt:lpstr>
      <vt:lpstr>'LG Nonpublic 2018 V5.0c'!expenses</vt:lpstr>
      <vt:lpstr>income_statement</vt:lpstr>
      <vt:lpstr>'LG Nonpublic 2018 V5.0c'!Investment</vt:lpstr>
      <vt:lpstr>PAGE_1</vt:lpstr>
      <vt:lpstr>'LG Nonpublic 2018 V5.0c'!Pfd_weighted</vt:lpstr>
      <vt:lpstr>Assumptions!Print_Area</vt:lpstr>
      <vt:lpstr>'IS-PBC'!Print_Area</vt:lpstr>
      <vt:lpstr>'LG Nonpublic 2018 V5.0c'!Print_Area</vt:lpstr>
      <vt:lpstr>Operations!Print_Area</vt:lpstr>
      <vt:lpstr>'Sch 1 - Restated Exp'!Print_Area</vt:lpstr>
      <vt:lpstr>'Sch 1, pg 2 - Restated'!Print_Area</vt:lpstr>
      <vt:lpstr>'Sch 2 - Forecast Exp'!Print_Area</vt:lpstr>
      <vt:lpstr>'Sch 2, pg 2 - Forecast'!Print_Area</vt:lpstr>
      <vt:lpstr>'Sch 3 - Reclass Exp'!Print_Area</vt:lpstr>
      <vt:lpstr>'Sch 3, pg 2 - Reclass'!Print_Area</vt:lpstr>
      <vt:lpstr>'Sch 4 - 12 Months'!Print_Area</vt:lpstr>
      <vt:lpstr>'WP-1 - Summary Depr'!Print_Area</vt:lpstr>
      <vt:lpstr>'WP-1, pg 2 - Depr'!Print_Area</vt:lpstr>
      <vt:lpstr>'WP-10 Rate Case Cost'!Print_Area</vt:lpstr>
      <vt:lpstr>'WP-2 - Labor Analysis'!Print_Area</vt:lpstr>
      <vt:lpstr>'WP-2, pg 2 - Labor Increase'!Print_Area</vt:lpstr>
      <vt:lpstr>'WP-2, pg 3 - Benefits Analysis'!Print_Area</vt:lpstr>
      <vt:lpstr>'WP-4 - Dues &amp; Sub'!Print_Area</vt:lpstr>
      <vt:lpstr>'WP-5 - Capital Structure'!Print_Area</vt:lpstr>
      <vt:lpstr>'WP-5, pg 2 - Capital'!Print_Area</vt:lpstr>
      <vt:lpstr>'WP-6 - Affiliated '!Print_Area</vt:lpstr>
      <vt:lpstr>'WP-7 - Fuel'!Print_Area</vt:lpstr>
      <vt:lpstr>'WP-8 Bad Debts'!Print_Area</vt:lpstr>
      <vt:lpstr>'WP-9 Disposal'!Print_Area</vt:lpstr>
      <vt:lpstr>'WP-9, pg 2 - Disposal Recycling'!Print_Area</vt:lpstr>
      <vt:lpstr>'Sch 1, pg 2 - Restated'!Print_Titles</vt:lpstr>
      <vt:lpstr>'Sch 2, pg 2 - Forecast'!Print_Titles</vt:lpstr>
      <vt:lpstr>'Sch 3, pg 2 - Reclass'!Print_Titles</vt:lpstr>
      <vt:lpstr>'Sch 4 - 12 Months'!Print_Titles</vt:lpstr>
      <vt:lpstr>'WP-1, pg 2 - Depr'!Print_Titles</vt:lpstr>
      <vt:lpstr>'WP-2, pg 2 - Labor Increase'!Print_Titles</vt:lpstr>
      <vt:lpstr>'LG Nonpublic 2018 V5.0c'!regDebt_weighted</vt:lpstr>
      <vt:lpstr>'LG Nonpublic 2018 V5.0c'!Revenue</vt:lpstr>
      <vt:lpstr>'LG Nonpublic 2018 V5.0c'!slope</vt:lpstr>
      <vt:lpstr>'LG Nonpublic 2018 V5.0c'!taxrate</vt:lpstr>
      <vt:lpstr>'LG Nonpublic 2018 V5.0c'!y_inter1</vt:lpstr>
      <vt:lpstr>'LG Nonpublic 2018 V5.0c'!y_inter2</vt:lpstr>
      <vt:lpstr>'LG Nonpublic 2018 V5.0c'!y_inter3</vt:lpstr>
      <vt:lpstr>'LG Nonpublic 2018 V5.0c'!y_inter4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gbooth</dc:creator>
  <cp:lastModifiedBy>Logan Davis</cp:lastModifiedBy>
  <cp:lastPrinted>2019-10-15T21:43:13Z</cp:lastPrinted>
  <dcterms:created xsi:type="dcterms:W3CDTF">2002-10-01T21:01:48Z</dcterms:created>
  <dcterms:modified xsi:type="dcterms:W3CDTF">2019-10-15T21:43:22Z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Waste Control Equipment, Inc.</vt:lpwstr>
  </property>
  <property fmtid="{D5CDD505-2E9C-101B-9397-08002B2CF9AE}" pid="4" name="PPC_Template_Engagement_Date">
    <vt:lpwstr>12/31/2017</vt:lpwstr>
  </property>
  <property fmtid="{D5CDD505-2E9C-101B-9397-08002B2CF9AE}" pid="5" name="ContentTypeId">
    <vt:lpwstr>0x0101006E56B4D1795A2E4DB2F0B01679ED314A006D66FAF22B4D87429DE23FF236900689</vt:lpwstr>
  </property>
  <property fmtid="{D5CDD505-2E9C-101B-9397-08002B2CF9AE}" pid="6" name="_docset_NoMedatataSyncRequired">
    <vt:lpwstr>False</vt:lpwstr>
  </property>
  <property fmtid="{D5CDD505-2E9C-101B-9397-08002B2CF9AE}" pid="7" name="IsEFSEC">
    <vt:bool>false</vt:bool>
  </property>
</Properties>
</file>