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PS Reporting\2019\A.  Report to WUTC\Attachment 5 Incremental Cost Template\"/>
    </mc:Choice>
  </mc:AlternateContent>
  <bookViews>
    <workbookView xWindow="0" yWindow="60" windowWidth="20380" windowHeight="12550" tabRatio="792" activeTab="1"/>
  </bookViews>
  <sheets>
    <sheet name="(2)(a)(i) One Time (all)" sheetId="4" r:id="rId1"/>
    <sheet name="(2)(a)(ii)Annual-2019, estimate" sheetId="10" r:id="rId2"/>
    <sheet name="(2)(a)(iii)(A) and (B)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0" l="1"/>
  <c r="H43" i="10" s="1"/>
  <c r="E8" i="9" l="1"/>
  <c r="E17" i="9" l="1"/>
  <c r="C20" i="9" l="1"/>
  <c r="E20" i="9" l="1"/>
  <c r="G42" i="10" l="1"/>
  <c r="A25" i="10" l="1"/>
  <c r="A24" i="10"/>
  <c r="A23" i="10"/>
  <c r="A22" i="10"/>
  <c r="A21" i="10"/>
  <c r="A20" i="10"/>
  <c r="A19" i="10"/>
  <c r="A18" i="10"/>
  <c r="A17" i="10"/>
  <c r="E25" i="4"/>
  <c r="E24" i="4"/>
  <c r="E23" i="4"/>
  <c r="E22" i="4"/>
  <c r="E21" i="4"/>
  <c r="E20" i="4"/>
  <c r="E19" i="4"/>
  <c r="E17" i="4"/>
  <c r="E18" i="4"/>
  <c r="B28" i="10" l="1"/>
  <c r="G26" i="10" l="1"/>
  <c r="G29" i="10"/>
  <c r="F38" i="10" l="1"/>
  <c r="C38" i="10"/>
  <c r="E29" i="10"/>
  <c r="E27" i="10"/>
  <c r="E28" i="10"/>
  <c r="B27" i="10"/>
  <c r="B29" i="10"/>
  <c r="G38" i="10"/>
  <c r="E38" i="10"/>
  <c r="D38" i="10"/>
  <c r="B38" i="10"/>
  <c r="G30" i="10"/>
  <c r="G31" i="10" s="1"/>
  <c r="F30" i="10"/>
  <c r="F31" i="10" s="1"/>
  <c r="D30" i="10"/>
  <c r="D31" i="10" s="1"/>
  <c r="D40" i="10" s="1"/>
  <c r="C30" i="10"/>
  <c r="C31" i="10" s="1"/>
  <c r="G40" i="10" l="1"/>
  <c r="C40" i="10"/>
  <c r="F40" i="10"/>
  <c r="C31" i="4" l="1"/>
  <c r="H30" i="4"/>
  <c r="G30" i="4"/>
  <c r="F31" i="4"/>
  <c r="G17" i="4" l="1"/>
  <c r="G26" i="4"/>
  <c r="G25" i="4"/>
  <c r="G24" i="4"/>
  <c r="G23" i="4"/>
  <c r="G22" i="4"/>
  <c r="G21" i="4"/>
  <c r="G20" i="4"/>
  <c r="G19" i="4"/>
  <c r="G18" i="4"/>
  <c r="B20" i="10" l="1"/>
  <c r="E20" i="10"/>
  <c r="H20" i="4"/>
  <c r="B9" i="9"/>
  <c r="D9" i="9" s="1"/>
  <c r="F9" i="9" s="1"/>
  <c r="E21" i="10"/>
  <c r="B21" i="10"/>
  <c r="H21" i="4"/>
  <c r="B10" i="9"/>
  <c r="D10" i="9" s="1"/>
  <c r="F10" i="9" s="1"/>
  <c r="E25" i="10"/>
  <c r="B25" i="10"/>
  <c r="H25" i="4"/>
  <c r="B14" i="9"/>
  <c r="D14" i="9" s="1"/>
  <c r="F14" i="9" s="1"/>
  <c r="B18" i="10"/>
  <c r="E18" i="10"/>
  <c r="H18" i="4"/>
  <c r="B7" i="9"/>
  <c r="D7" i="9" s="1"/>
  <c r="F7" i="9" s="1"/>
  <c r="B22" i="10"/>
  <c r="E22" i="10"/>
  <c r="H22" i="4"/>
  <c r="B11" i="9"/>
  <c r="D11" i="9" s="1"/>
  <c r="F11" i="9" s="1"/>
  <c r="B24" i="10"/>
  <c r="E24" i="10"/>
  <c r="H24" i="4"/>
  <c r="B13" i="9"/>
  <c r="D13" i="9" s="1"/>
  <c r="F13" i="9" s="1"/>
  <c r="E19" i="10"/>
  <c r="B19" i="10"/>
  <c r="H19" i="4"/>
  <c r="B8" i="9"/>
  <c r="D8" i="9" s="1"/>
  <c r="F8" i="9" s="1"/>
  <c r="E23" i="10"/>
  <c r="B23" i="10"/>
  <c r="H23" i="4"/>
  <c r="B12" i="9"/>
  <c r="D12" i="9" s="1"/>
  <c r="F12" i="9" s="1"/>
  <c r="E17" i="10"/>
  <c r="B17" i="10"/>
  <c r="H17" i="4"/>
  <c r="B6" i="9"/>
  <c r="H26" i="4"/>
  <c r="G31" i="4"/>
  <c r="D6" i="9" l="1"/>
  <c r="F6" i="9" s="1"/>
  <c r="F20" i="9" s="1"/>
  <c r="F21" i="9" s="1"/>
  <c r="B20" i="9"/>
  <c r="D20" i="9" s="1"/>
  <c r="H31" i="4"/>
  <c r="G34" i="4" s="1"/>
  <c r="E30" i="10"/>
  <c r="E31" i="10" s="1"/>
  <c r="E40" i="10" s="1"/>
  <c r="B30" i="10"/>
  <c r="B31" i="10" s="1"/>
  <c r="B40" i="10" s="1"/>
  <c r="D43" i="10" s="1"/>
  <c r="B44" i="10" l="1"/>
  <c r="E44" i="10"/>
</calcChain>
</file>

<file path=xl/sharedStrings.xml><?xml version="1.0" encoding="utf-8"?>
<sst xmlns="http://schemas.openxmlformats.org/spreadsheetml/2006/main" count="84" uniqueCount="67">
  <si>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</si>
  <si>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</si>
  <si>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</si>
  <si>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</si>
  <si>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</si>
  <si>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</si>
  <si>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</si>
  <si>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</si>
  <si>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</si>
  <si>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</si>
  <si>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</si>
  <si>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</si>
  <si>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</si>
  <si>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</si>
  <si>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</si>
  <si>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</si>
  <si>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</si>
  <si>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</si>
  <si>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</si>
  <si>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</si>
  <si>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</si>
  <si>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</si>
  <si>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</si>
  <si>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</si>
  <si>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</si>
  <si>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$</t>
  </si>
  <si>
    <t>Total</t>
  </si>
  <si>
    <t>Washington Share</t>
  </si>
  <si>
    <t>Total Annual Cost ($)</t>
  </si>
  <si>
    <t>Total WA Only Resources</t>
  </si>
  <si>
    <t>Total WA Share of Costs</t>
  </si>
  <si>
    <t>NOTES</t>
  </si>
  <si>
    <t>TARGET YEAR: FORCAST SUBJECT TO CHANGE</t>
  </si>
  <si>
    <t>ALL AVAILABLE RESOURCES ESTIMATED</t>
  </si>
  <si>
    <t>Note 1: WAC 480-109-210 (2) (G): Legacy resources. Any eligible resource that the utility acquired prior to March 31, 1999, is deemed to have an incremental cost of zero.</t>
  </si>
  <si>
    <t>Baker River Project - Lower Baker Unit 3</t>
  </si>
  <si>
    <t>Snoqualmie Falls - Snoqualmie Falls Units 1-4</t>
  </si>
  <si>
    <t>Wild Horse - Wild Horse</t>
  </si>
  <si>
    <t>Hopkins Ridge - Hopkins Ridge</t>
  </si>
  <si>
    <t>Wild Horse - Wild Horse - Phase II</t>
  </si>
  <si>
    <t>Hopkins Ridge - Hopkins Ridge Phase II</t>
  </si>
  <si>
    <t>Lower Snake River - Dodge Junction - LSR-Dodge Junction</t>
  </si>
  <si>
    <t>Lower Snake River - Phalen Gulch - LSR-Phalen Gulch</t>
  </si>
  <si>
    <t>Klondike III - Klondike Wind Power III LLC</t>
  </si>
  <si>
    <t>Washington Share:</t>
  </si>
  <si>
    <t>Resource--Washington Only</t>
  </si>
  <si>
    <t>Revenue from REC sales/Note 1</t>
  </si>
  <si>
    <t>Attachment 5</t>
  </si>
  <si>
    <t xml:space="preserve">CALCULATION 1 (Note 2): </t>
  </si>
  <si>
    <t>Wild Horse - Wild Horse - Phase II **</t>
  </si>
  <si>
    <t>Lower Snake River - Dodge Junction - LSR-Dodge Junction**</t>
  </si>
  <si>
    <t>Lower Snake River - Phalen Gulch - LSR-Phalen Gulch**</t>
  </si>
  <si>
    <t>Apprenticeship Credits for Eligible Resources</t>
  </si>
  <si>
    <t>**Note--These facilities qualify for apprenticeship credits therefore requiring less MWh for compliance</t>
  </si>
  <si>
    <t>(Avg cost/MWH for resources used)</t>
  </si>
  <si>
    <t>Annual Revenue Requirement (most recent rate case)  (Note 3)</t>
  </si>
  <si>
    <t>Note 3: Figure reflects Revenue Requirement from PSE's 2017 General Rate Case, after adjusting for Tax Cuts and Job Acts ("Tax Reform") updates approved by the Commission in Docket UE-180202</t>
  </si>
  <si>
    <t xml:space="preserve">             Electric Revenue Requirement as originally approved in UE-170033 was $2,069,159,344.  Utilizing the pre-tax reform revenue requirement results in a   1.408% revenue requirement ratio </t>
  </si>
  <si>
    <t>Total Renewable Portfolio</t>
  </si>
  <si>
    <t xml:space="preserve">  </t>
  </si>
  <si>
    <r>
      <t>Note 2: To calculate revenue requirements all costs/revenues are multiplied by</t>
    </r>
    <r>
      <rPr>
        <sz val="11"/>
        <rFont val="Calibri"/>
        <family val="2"/>
        <scheme val="minor"/>
      </rPr>
      <t xml:space="preserve"> 1.047614</t>
    </r>
    <r>
      <rPr>
        <sz val="11"/>
        <color theme="1"/>
        <rFont val="Calibri"/>
        <family val="2"/>
        <scheme val="minor"/>
      </rPr>
      <t xml:space="preserve">  to account for Washington's share Excise Tax, Uncollectibles and Commission Fees.</t>
    </r>
  </si>
  <si>
    <t>2019 Estimated Data: Annual Calculation of Revenue Requirement Ratio</t>
  </si>
  <si>
    <t>(iii)(A) &amp; (B) Annual Reporting Summary Data: 2019</t>
  </si>
  <si>
    <t xml:space="preserve">         again in annual costs.    Additionally, no vintage 2019 RECS sold to date.</t>
  </si>
  <si>
    <t>Note 1:  Benefit of REC sales during 2012 to 2019 period were considered and included in original one time calculation of incremental costs, therefore would not be appropriate to include</t>
  </si>
  <si>
    <t>PUGET SOUND ENERGY 2019 RPS REPORT</t>
  </si>
  <si>
    <t>CALCULATION 2 (Note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</si>
</sst>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0" fillId="0" borderId="0" xfId="0"/>
    <xf numFmtId="0" fontId="2" fillId="0" borderId="0" xfId="0" applyFont="1"/>
    <xf numFmtId="0" fontId="0" fillId="0" borderId="13" xfId="0" applyBorder="1"/>
    <xf numFmtId="43" fontId="0" fillId="0" borderId="12" xfId="1" applyNumberFormat="1" applyFont="1" applyBorder="1"/>
    <xf numFmtId="43" fontId="0" fillId="0" borderId="13" xfId="1" applyNumberFormat="1" applyFont="1" applyBorder="1"/>
    <xf numFmtId="43" fontId="0" fillId="0" borderId="13" xfId="1" applyFont="1" applyBorder="1" applyAlignment="1">
      <alignment horizontal="right"/>
    </xf>
    <xf numFmtId="0" fontId="1" fillId="0" borderId="15" xfId="0" applyFont="1" applyBorder="1" applyAlignment="1"/>
    <xf numFmtId="164" fontId="0" fillId="0" borderId="11" xfId="1" applyNumberFormat="1" applyFont="1" applyBorder="1"/>
    <xf numFmtId="0" fontId="0" fillId="0" borderId="15" xfId="0" applyFill="1" applyBorder="1"/>
    <xf numFmtId="0" fontId="0" fillId="0" borderId="18" xfId="0" applyFill="1" applyBorder="1"/>
    <xf numFmtId="164" fontId="3" fillId="0" borderId="12" xfId="1" applyNumberFormat="1" applyFont="1" applyBorder="1"/>
    <xf numFmtId="164" fontId="3" fillId="0" borderId="12" xfId="1" applyNumberFormat="1" applyFont="1" applyFill="1" applyBorder="1"/>
    <xf numFmtId="0" fontId="3" fillId="0" borderId="12" xfId="0" applyFont="1" applyBorder="1" applyAlignment="1">
      <alignment wrapText="1"/>
    </xf>
    <xf numFmtId="16" fontId="3" fillId="0" borderId="12" xfId="0" applyNumberFormat="1" applyFont="1" applyBorder="1"/>
    <xf numFmtId="164" fontId="3" fillId="0" borderId="12" xfId="1" applyNumberFormat="1" applyFont="1" applyBorder="1" applyAlignment="1">
      <alignment wrapText="1"/>
    </xf>
    <xf numFmtId="0" fontId="3" fillId="0" borderId="12" xfId="0" applyFont="1" applyBorder="1"/>
    <xf numFmtId="164" fontId="3" fillId="0" borderId="12" xfId="1" applyNumberFormat="1" applyFont="1" applyBorder="1" applyAlignment="1">
      <alignment horizontal="right"/>
    </xf>
    <xf numFmtId="164" fontId="3" fillId="0" borderId="12" xfId="1" applyNumberFormat="1" applyFont="1" applyBorder="1" applyAlignment="1">
      <alignment horizontal="right" wrapText="1"/>
    </xf>
    <xf numFmtId="0" fontId="0" fillId="0" borderId="26" xfId="0" applyBorder="1"/>
    <xf numFmtId="164" fontId="0" fillId="0" borderId="30" xfId="1" applyNumberFormat="1" applyFont="1" applyBorder="1"/>
    <xf numFmtId="43" fontId="0" fillId="0" borderId="28" xfId="1" applyFont="1" applyBorder="1" applyAlignment="1">
      <alignment horizontal="right"/>
    </xf>
    <xf numFmtId="164" fontId="0" fillId="0" borderId="28" xfId="1" applyNumberFormat="1" applyFont="1" applyBorder="1"/>
    <xf numFmtId="0" fontId="0" fillId="0" borderId="0" xfId="0" applyFont="1"/>
    <xf numFmtId="0" fontId="0" fillId="0" borderId="21" xfId="0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right" wrapText="1"/>
    </xf>
    <xf numFmtId="0" fontId="0" fillId="0" borderId="22" xfId="0" applyFont="1" applyBorder="1" applyAlignment="1">
      <alignment horizontal="right"/>
    </xf>
    <xf numFmtId="16" fontId="0" fillId="0" borderId="24" xfId="0" applyNumberFormat="1" applyFont="1" applyBorder="1"/>
    <xf numFmtId="164" fontId="0" fillId="0" borderId="25" xfId="0" applyNumberFormat="1" applyFont="1" applyBorder="1" applyAlignment="1">
      <alignment horizontal="right"/>
    </xf>
    <xf numFmtId="0" fontId="0" fillId="0" borderId="24" xfId="0" applyFont="1" applyBorder="1"/>
    <xf numFmtId="0" fontId="0" fillId="0" borderId="26" xfId="0" applyFont="1" applyBorder="1"/>
    <xf numFmtId="0" fontId="0" fillId="0" borderId="12" xfId="0" applyFont="1" applyBorder="1"/>
    <xf numFmtId="0" fontId="0" fillId="0" borderId="30" xfId="0" applyFont="1" applyBorder="1"/>
    <xf numFmtId="0" fontId="0" fillId="0" borderId="26" xfId="0" applyFont="1" applyFill="1" applyBorder="1"/>
    <xf numFmtId="0" fontId="0" fillId="0" borderId="13" xfId="0" applyFont="1" applyBorder="1"/>
    <xf numFmtId="164" fontId="0" fillId="0" borderId="23" xfId="0" applyNumberFormat="1" applyFont="1" applyBorder="1" applyAlignment="1">
      <alignment horizontal="right"/>
    </xf>
    <xf numFmtId="164" fontId="0" fillId="0" borderId="17" xfId="0" applyNumberFormat="1" applyFont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164" fontId="0" fillId="0" borderId="17" xfId="0" applyNumberFormat="1" applyFont="1" applyBorder="1" applyAlignment="1">
      <alignment wrapText="1"/>
    </xf>
    <xf numFmtId="164" fontId="0" fillId="0" borderId="16" xfId="0" applyNumberFormat="1" applyFont="1" applyBorder="1" applyAlignment="1">
      <alignment horizontal="right"/>
    </xf>
    <xf numFmtId="0" fontId="10" fillId="0" borderId="0" xfId="0" applyFont="1"/>
    <xf numFmtId="10" fontId="11" fillId="0" borderId="16" xfId="0" applyNumberFormat="1" applyFont="1" applyFill="1" applyBorder="1"/>
    <xf numFmtId="0" fontId="0" fillId="0" borderId="12" xfId="0" applyFont="1" applyFill="1" applyBorder="1"/>
    <xf numFmtId="0" fontId="1" fillId="0" borderId="15" xfId="0" applyFont="1" applyBorder="1" applyAlignment="1">
      <alignment horizontal="left" indent="1"/>
    </xf>
    <xf numFmtId="0" fontId="0" fillId="0" borderId="7" xfId="0" applyFill="1" applyBorder="1"/>
    <xf numFmtId="164" fontId="0" fillId="0" borderId="8" xfId="0" applyNumberFormat="1" applyBorder="1"/>
    <xf numFmtId="164" fontId="0" fillId="0" borderId="0" xfId="0" applyNumberFormat="1" applyBorder="1"/>
    <xf numFmtId="0" fontId="1" fillId="0" borderId="15" xfId="0" applyFont="1" applyFill="1" applyBorder="1"/>
    <xf numFmtId="16" fontId="0" fillId="0" borderId="14" xfId="0" applyNumberFormat="1" applyBorder="1"/>
    <xf numFmtId="37" fontId="0" fillId="0" borderId="14" xfId="1" applyNumberFormat="1" applyFont="1" applyBorder="1"/>
    <xf numFmtId="37" fontId="0" fillId="0" borderId="14" xfId="0" applyNumberFormat="1" applyBorder="1"/>
    <xf numFmtId="37" fontId="0" fillId="0" borderId="12" xfId="1" applyNumberFormat="1" applyFont="1" applyBorder="1"/>
    <xf numFmtId="37" fontId="0" fillId="0" borderId="12" xfId="0" applyNumberFormat="1" applyBorder="1"/>
    <xf numFmtId="37" fontId="0" fillId="0" borderId="13" xfId="0" applyNumberFormat="1" applyBorder="1"/>
    <xf numFmtId="37" fontId="0" fillId="0" borderId="17" xfId="0" applyNumberFormat="1" applyBorder="1"/>
    <xf numFmtId="37" fontId="0" fillId="0" borderId="16" xfId="0" applyNumberFormat="1" applyBorder="1"/>
    <xf numFmtId="37" fontId="1" fillId="0" borderId="17" xfId="0" applyNumberFormat="1" applyFont="1" applyBorder="1"/>
    <xf numFmtId="37" fontId="1" fillId="0" borderId="16" xfId="0" applyNumberFormat="1" applyFont="1" applyBorder="1"/>
    <xf numFmtId="37" fontId="0" fillId="0" borderId="13" xfId="1" applyNumberFormat="1" applyFont="1" applyBorder="1"/>
    <xf numFmtId="37" fontId="0" fillId="0" borderId="19" xfId="0" applyNumberFormat="1" applyBorder="1"/>
    <xf numFmtId="37" fontId="0" fillId="0" borderId="20" xfId="0" applyNumberFormat="1" applyBorder="1"/>
    <xf numFmtId="37" fontId="0" fillId="0" borderId="12" xfId="1" applyNumberFormat="1" applyFont="1" applyBorder="1" applyAlignment="1">
      <alignment horizontal="right"/>
    </xf>
    <xf numFmtId="0" fontId="12" fillId="0" borderId="0" xfId="0" applyFont="1"/>
    <xf numFmtId="43" fontId="0" fillId="0" borderId="13" xfId="0" applyNumberFormat="1" applyFont="1" applyBorder="1"/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1" xfId="0" applyFont="1" applyFill="1" applyBorder="1"/>
    <xf numFmtId="37" fontId="0" fillId="0" borderId="31" xfId="0" applyNumberFormat="1" applyBorder="1"/>
    <xf numFmtId="43" fontId="0" fillId="0" borderId="12" xfId="1" applyNumberFormat="1" applyFont="1" applyFill="1" applyBorder="1"/>
    <xf numFmtId="164" fontId="0" fillId="0" borderId="11" xfId="1" applyNumberFormat="1" applyFont="1" applyFill="1" applyBorder="1"/>
    <xf numFmtId="164" fontId="0" fillId="0" borderId="4" xfId="0" applyNumberFormat="1" applyFill="1" applyBorder="1"/>
    <xf numFmtId="0" fontId="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164" fontId="0" fillId="0" borderId="12" xfId="1" applyNumberFormat="1" applyFont="1" applyFill="1" applyBorder="1"/>
    <xf numFmtId="0" fontId="0" fillId="0" borderId="0" xfId="0" applyFill="1"/>
    <xf numFmtId="0" fontId="2" fillId="0" borderId="0" xfId="0" applyFont="1" applyFill="1"/>
    <xf numFmtId="44" fontId="3" fillId="0" borderId="12" xfId="3" applyFont="1" applyBorder="1" applyAlignment="1">
      <alignment wrapText="1"/>
    </xf>
    <xf numFmtId="164" fontId="14" fillId="0" borderId="12" xfId="1" applyNumberFormat="1" applyFont="1" applyBorder="1"/>
    <xf numFmtId="164" fontId="14" fillId="0" borderId="12" xfId="1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right"/>
    </xf>
    <xf numFmtId="165" fontId="0" fillId="0" borderId="0" xfId="2" applyNumberFormat="1" applyFont="1" applyFill="1"/>
    <xf numFmtId="0" fontId="16" fillId="0" borderId="12" xfId="0" applyFont="1" applyFill="1" applyBorder="1"/>
    <xf numFmtId="164" fontId="16" fillId="0" borderId="12" xfId="1" applyNumberFormat="1" applyFont="1" applyBorder="1"/>
    <xf numFmtId="44" fontId="16" fillId="0" borderId="12" xfId="3" applyFont="1" applyBorder="1" applyAlignment="1">
      <alignment wrapText="1"/>
    </xf>
    <xf numFmtId="44" fontId="3" fillId="0" borderId="0" xfId="0" applyNumberFormat="1" applyFont="1"/>
    <xf numFmtId="164" fontId="3" fillId="0" borderId="12" xfId="0" applyNumberFormat="1" applyFont="1" applyBorder="1"/>
    <xf numFmtId="43" fontId="3" fillId="0" borderId="0" xfId="0" applyNumberFormat="1" applyFont="1"/>
    <xf numFmtId="164" fontId="3" fillId="0" borderId="0" xfId="1" applyNumberFormat="1" applyFont="1"/>
    <xf numFmtId="164" fontId="3" fillId="0" borderId="0" xfId="0" applyNumberFormat="1" applyFont="1"/>
    <xf numFmtId="0" fontId="15" fillId="0" borderId="0" xfId="0" applyFont="1" applyFill="1"/>
    <xf numFmtId="16" fontId="0" fillId="0" borderId="14" xfId="0" applyNumberFormat="1" applyFill="1" applyBorder="1"/>
    <xf numFmtId="37" fontId="0" fillId="0" borderId="12" xfId="1" applyNumberFormat="1" applyFont="1" applyFill="1" applyBorder="1"/>
    <xf numFmtId="44" fontId="0" fillId="0" borderId="0" xfId="0" applyNumberFormat="1" applyFill="1"/>
    <xf numFmtId="37" fontId="0" fillId="0" borderId="12" xfId="0" applyNumberFormat="1" applyFill="1" applyBorder="1"/>
    <xf numFmtId="0" fontId="3" fillId="0" borderId="0" xfId="0" applyFont="1" applyFill="1"/>
    <xf numFmtId="0" fontId="11" fillId="0" borderId="0" xfId="0" applyFont="1" applyFill="1"/>
    <xf numFmtId="0" fontId="3" fillId="0" borderId="12" xfId="0" applyFont="1" applyFill="1" applyBorder="1"/>
    <xf numFmtId="44" fontId="3" fillId="0" borderId="12" xfId="3" applyFont="1" applyFill="1" applyBorder="1" applyAlignment="1">
      <alignment wrapText="1"/>
    </xf>
    <xf numFmtId="164" fontId="3" fillId="0" borderId="12" xfId="1" applyNumberFormat="1" applyFont="1" applyFill="1" applyBorder="1" applyAlignment="1">
      <alignment wrapText="1"/>
    </xf>
    <xf numFmtId="164" fontId="3" fillId="0" borderId="0" xfId="1" applyNumberFormat="1" applyFont="1" applyFill="1"/>
    <xf numFmtId="164" fontId="16" fillId="0" borderId="12" xfId="1" applyNumberFormat="1" applyFont="1" applyFill="1" applyBorder="1"/>
    <xf numFmtId="0" fontId="0" fillId="0" borderId="28" xfId="0" applyFont="1" applyBorder="1" applyAlignment="1">
      <alignment horizontal="right" wrapText="1"/>
    </xf>
    <xf numFmtId="0" fontId="0" fillId="0" borderId="29" xfId="0" applyFont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6" fillId="0" borderId="10" xfId="0" applyFont="1" applyBorder="1" applyAlignment="1">
      <alignment wrapText="1" shrinkToFit="1"/>
    </xf>
    <xf numFmtId="0" fontId="6" fillId="0" borderId="11" xfId="0" applyFont="1" applyBorder="1" applyAlignment="1">
      <alignment wrapText="1" shrinkToFit="1"/>
    </xf>
    <xf numFmtId="164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4" xfId="0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Fill="1" applyAlignment="1"/>
    <xf numFmtId="165" fontId="0" fillId="0" borderId="5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wrapText="1"/>
    </xf>
    <xf numFmtId="165" fontId="0" fillId="0" borderId="6" xfId="2" applyNumberFormat="1" applyFont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65" fontId="0" fillId="0" borderId="8" xfId="2" applyNumberFormat="1" applyFont="1" applyBorder="1" applyAlignment="1">
      <alignment wrapText="1"/>
    </xf>
    <xf numFmtId="165" fontId="0" fillId="0" borderId="9" xfId="2" applyNumberFormat="1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  <xf numFmtId="164" fontId="0" fillId="0" borderId="0" xfId="0" applyNumberFormat="1"/>
  </cellXfs>
  <cellStyles count="5">
    <cellStyle name="Comma" xfId="1" builtinId="3"/>
    <cellStyle name="Currency" xfId="3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7</xdr:row>
      <xdr:rowOff>0</xdr:rowOff>
    </xdr:from>
    <xdr:to>
      <xdr:col>4</xdr:col>
      <xdr:colOff>1504949</xdr:colOff>
      <xdr:row>11</xdr:row>
      <xdr:rowOff>571500</xdr:rowOff>
    </xdr:to>
    <xdr:sp macro="" textlink="">
      <xdr:nvSpPr>
        <xdr:cNvPr id="2" name="TextBox 1"/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A2" sqref="A2"/>
    </sheetView>
  </sheetViews>
  <sheetFormatPr defaultColWidth="9.08984375" defaultRowHeight="14.5" x14ac:dyDescent="0.35"/>
  <cols>
    <col min="1" max="1" width="28.36328125" style="31" customWidth="1"/>
    <col min="2" max="5" width="18.90625" style="31" customWidth="1"/>
    <col min="6" max="6" width="37.08984375" style="31" customWidth="1"/>
    <col min="7" max="7" width="18.90625" style="31" customWidth="1"/>
    <col min="8" max="8" width="18" style="31" customWidth="1"/>
    <col min="9" max="16384" width="9.08984375" style="31"/>
  </cols>
  <sheetData>
    <row r="1" spans="1:9" x14ac:dyDescent="0.35">
      <c r="A1" s="81" t="s">
        <v>65</v>
      </c>
      <c r="B1" s="81"/>
      <c r="H1" s="118" t="s">
        <v>47</v>
      </c>
      <c r="I1" s="118"/>
    </row>
    <row r="2" spans="1:9" ht="33" customHeight="1" thickBot="1" x14ac:dyDescent="0.65">
      <c r="A2" s="49" t="s">
        <v>59</v>
      </c>
    </row>
    <row r="3" spans="1:9" ht="15" customHeight="1" x14ac:dyDescent="0.35">
      <c r="A3" s="128" t="s">
        <v>0</v>
      </c>
      <c r="B3" s="129"/>
      <c r="C3" s="129"/>
      <c r="D3" s="129"/>
      <c r="E3" s="129"/>
      <c r="F3" s="129"/>
      <c r="G3" s="129"/>
      <c r="H3" s="130"/>
    </row>
    <row r="4" spans="1:9" x14ac:dyDescent="0.35">
      <c r="A4" s="131"/>
      <c r="B4" s="132"/>
      <c r="C4" s="132"/>
      <c r="D4" s="132"/>
      <c r="E4" s="132"/>
      <c r="F4" s="132"/>
      <c r="G4" s="132"/>
      <c r="H4" s="133"/>
    </row>
    <row r="5" spans="1:9" ht="0.75" customHeight="1" thickBot="1" x14ac:dyDescent="0.4">
      <c r="A5" s="131"/>
      <c r="B5" s="132"/>
      <c r="C5" s="132"/>
      <c r="D5" s="132"/>
      <c r="E5" s="132"/>
      <c r="F5" s="132"/>
      <c r="G5" s="132"/>
      <c r="H5" s="133"/>
    </row>
    <row r="6" spans="1:9" ht="15.75" hidden="1" customHeight="1" thickBot="1" x14ac:dyDescent="0.4">
      <c r="A6" s="131"/>
      <c r="B6" s="132"/>
      <c r="C6" s="132"/>
      <c r="D6" s="132"/>
      <c r="E6" s="132"/>
      <c r="F6" s="132"/>
      <c r="G6" s="132"/>
      <c r="H6" s="133"/>
    </row>
    <row r="7" spans="1:9" ht="15" customHeight="1" x14ac:dyDescent="0.35">
      <c r="A7" s="134" t="s">
        <v>5</v>
      </c>
      <c r="B7" s="135"/>
      <c r="C7" s="135"/>
      <c r="D7" s="135"/>
      <c r="E7" s="135"/>
      <c r="F7" s="135"/>
      <c r="G7" s="135"/>
      <c r="H7" s="136"/>
    </row>
    <row r="8" spans="1:9" x14ac:dyDescent="0.35">
      <c r="A8" s="137"/>
      <c r="B8" s="138"/>
      <c r="C8" s="138"/>
      <c r="D8" s="138"/>
      <c r="E8" s="138"/>
      <c r="F8" s="138"/>
      <c r="G8" s="138"/>
      <c r="H8" s="139"/>
    </row>
    <row r="9" spans="1:9" x14ac:dyDescent="0.35">
      <c r="A9" s="137"/>
      <c r="B9" s="138"/>
      <c r="C9" s="138"/>
      <c r="D9" s="138"/>
      <c r="E9" s="138"/>
      <c r="F9" s="138"/>
      <c r="G9" s="138"/>
      <c r="H9" s="139"/>
    </row>
    <row r="10" spans="1:9" x14ac:dyDescent="0.35">
      <c r="A10" s="137"/>
      <c r="B10" s="138"/>
      <c r="C10" s="138"/>
      <c r="D10" s="138"/>
      <c r="E10" s="138"/>
      <c r="F10" s="138"/>
      <c r="G10" s="138"/>
      <c r="H10" s="139"/>
    </row>
    <row r="11" spans="1:9" x14ac:dyDescent="0.35">
      <c r="A11" s="137"/>
      <c r="B11" s="138"/>
      <c r="C11" s="138"/>
      <c r="D11" s="138"/>
      <c r="E11" s="138"/>
      <c r="F11" s="138"/>
      <c r="G11" s="138"/>
      <c r="H11" s="139"/>
    </row>
    <row r="12" spans="1:9" ht="86.25" customHeight="1" thickBot="1" x14ac:dyDescent="0.4">
      <c r="A12" s="140"/>
      <c r="B12" s="141"/>
      <c r="C12" s="141"/>
      <c r="D12" s="141"/>
      <c r="E12" s="141"/>
      <c r="F12" s="141"/>
      <c r="G12" s="141"/>
      <c r="H12" s="142"/>
    </row>
    <row r="13" spans="1:9" ht="15" thickBot="1" x14ac:dyDescent="0.4"/>
    <row r="14" spans="1:9" x14ac:dyDescent="0.35">
      <c r="A14" s="144" t="s">
        <v>2</v>
      </c>
      <c r="B14" s="32" t="s">
        <v>3</v>
      </c>
      <c r="C14" s="32" t="s">
        <v>25</v>
      </c>
      <c r="D14" s="32" t="s">
        <v>19</v>
      </c>
      <c r="E14" s="32" t="s">
        <v>20</v>
      </c>
      <c r="F14" s="32" t="s">
        <v>20</v>
      </c>
      <c r="G14" s="33" t="s">
        <v>25</v>
      </c>
      <c r="H14" s="34" t="s">
        <v>25</v>
      </c>
    </row>
    <row r="15" spans="1:9" ht="15" customHeight="1" x14ac:dyDescent="0.35">
      <c r="A15" s="145"/>
      <c r="B15" s="146" t="s">
        <v>21</v>
      </c>
      <c r="C15" s="146" t="s">
        <v>28</v>
      </c>
      <c r="D15" s="147" t="s">
        <v>17</v>
      </c>
      <c r="E15" s="147" t="s">
        <v>18</v>
      </c>
      <c r="F15" s="147" t="s">
        <v>22</v>
      </c>
      <c r="G15" s="113" t="s">
        <v>23</v>
      </c>
      <c r="H15" s="143" t="s">
        <v>27</v>
      </c>
    </row>
    <row r="16" spans="1:9" ht="32.25" customHeight="1" x14ac:dyDescent="0.35">
      <c r="A16" s="145"/>
      <c r="B16" s="146"/>
      <c r="C16" s="146"/>
      <c r="D16" s="148"/>
      <c r="E16" s="148"/>
      <c r="F16" s="148"/>
      <c r="G16" s="114"/>
      <c r="H16" s="143"/>
    </row>
    <row r="17" spans="1:8" x14ac:dyDescent="0.35">
      <c r="A17" s="35" t="s">
        <v>35</v>
      </c>
      <c r="B17" s="12">
        <v>78.538812785388131</v>
      </c>
      <c r="C17" s="7">
        <v>8600000</v>
      </c>
      <c r="D17" s="78">
        <v>7.92</v>
      </c>
      <c r="E17" s="84">
        <f>1.37/100*(24*365)</f>
        <v>120.012</v>
      </c>
      <c r="F17" s="7">
        <v>9290000</v>
      </c>
      <c r="G17" s="28">
        <f>C17-F17</f>
        <v>-690000</v>
      </c>
      <c r="H17" s="36">
        <f>G17*$G$33</f>
        <v>-690000</v>
      </c>
    </row>
    <row r="18" spans="1:8" x14ac:dyDescent="0.35">
      <c r="A18" s="37" t="s">
        <v>36</v>
      </c>
      <c r="B18" s="12">
        <v>112.69172228076337</v>
      </c>
      <c r="C18" s="7">
        <v>3850000</v>
      </c>
      <c r="D18" s="78">
        <v>2.44</v>
      </c>
      <c r="E18" s="84">
        <f>0.74/100*(24*365)</f>
        <v>64.823999999999998</v>
      </c>
      <c r="F18" s="7">
        <v>3180000</v>
      </c>
      <c r="G18" s="28">
        <f t="shared" ref="G18:G26" si="0">C18-F18</f>
        <v>670000</v>
      </c>
      <c r="H18" s="36">
        <f t="shared" ref="H18:H26" si="1">G18*$G$33</f>
        <v>670000</v>
      </c>
    </row>
    <row r="19" spans="1:8" x14ac:dyDescent="0.35">
      <c r="A19" s="37" t="s">
        <v>37</v>
      </c>
      <c r="B19" s="12">
        <v>54.340387941224044</v>
      </c>
      <c r="C19" s="7">
        <v>34940000</v>
      </c>
      <c r="D19" s="78">
        <v>26.53</v>
      </c>
      <c r="E19" s="84">
        <f>3.21/100*(24*365)</f>
        <v>281.19599999999997</v>
      </c>
      <c r="F19" s="7">
        <v>29740000</v>
      </c>
      <c r="G19" s="28">
        <f t="shared" si="0"/>
        <v>5200000</v>
      </c>
      <c r="H19" s="36">
        <f t="shared" si="1"/>
        <v>5200000</v>
      </c>
    </row>
    <row r="20" spans="1:8" x14ac:dyDescent="0.35">
      <c r="A20" s="37" t="s">
        <v>38</v>
      </c>
      <c r="B20" s="12">
        <v>40.200639098066425</v>
      </c>
      <c r="C20" s="7">
        <v>18770000</v>
      </c>
      <c r="D20" s="78">
        <v>19.260000000000002</v>
      </c>
      <c r="E20" s="84">
        <f>1.71/100*(24*365)</f>
        <v>149.79599999999999</v>
      </c>
      <c r="F20" s="7">
        <v>20970000</v>
      </c>
      <c r="G20" s="28">
        <f t="shared" si="0"/>
        <v>-2200000</v>
      </c>
      <c r="H20" s="36">
        <f t="shared" si="1"/>
        <v>-2200000</v>
      </c>
    </row>
    <row r="21" spans="1:8" x14ac:dyDescent="0.35">
      <c r="A21" s="37" t="s">
        <v>39</v>
      </c>
      <c r="B21" s="12">
        <v>109.04544466188302</v>
      </c>
      <c r="C21" s="7">
        <v>10030000</v>
      </c>
      <c r="D21" s="78">
        <v>5.09</v>
      </c>
      <c r="E21" s="84">
        <f>0.81/100*(24*365)</f>
        <v>70.956000000000017</v>
      </c>
      <c r="F21" s="7">
        <v>5900000</v>
      </c>
      <c r="G21" s="28">
        <f t="shared" si="0"/>
        <v>4130000</v>
      </c>
      <c r="H21" s="36">
        <f t="shared" si="1"/>
        <v>4130000</v>
      </c>
    </row>
    <row r="22" spans="1:8" x14ac:dyDescent="0.35">
      <c r="A22" s="37" t="s">
        <v>40</v>
      </c>
      <c r="B22" s="12">
        <v>60.882800608828006</v>
      </c>
      <c r="C22" s="7">
        <v>1280000</v>
      </c>
      <c r="D22" s="78">
        <v>1.19</v>
      </c>
      <c r="E22" s="84">
        <f>0.17/100*(24*365)</f>
        <v>14.892000000000001</v>
      </c>
      <c r="F22" s="7">
        <v>1360000</v>
      </c>
      <c r="G22" s="28">
        <f t="shared" si="0"/>
        <v>-80000</v>
      </c>
      <c r="H22" s="36">
        <f t="shared" si="1"/>
        <v>-80000</v>
      </c>
    </row>
    <row r="23" spans="1:8" x14ac:dyDescent="0.35">
      <c r="A23" s="37" t="s">
        <v>41</v>
      </c>
      <c r="B23" s="12">
        <v>78.632950265108803</v>
      </c>
      <c r="C23" s="7">
        <v>39330000</v>
      </c>
      <c r="D23" s="78">
        <v>48.51</v>
      </c>
      <c r="E23" s="84">
        <f>1.69/100*(24*365)</f>
        <v>148.04399999999998</v>
      </c>
      <c r="F23" s="7">
        <v>27960000</v>
      </c>
      <c r="G23" s="28">
        <f t="shared" si="0"/>
        <v>11370000</v>
      </c>
      <c r="H23" s="36">
        <f t="shared" si="1"/>
        <v>11370000</v>
      </c>
    </row>
    <row r="24" spans="1:8" x14ac:dyDescent="0.35">
      <c r="A24" s="37" t="s">
        <v>42</v>
      </c>
      <c r="B24" s="12">
        <v>78.6467133317242</v>
      </c>
      <c r="C24" s="7">
        <v>31280000</v>
      </c>
      <c r="D24" s="78">
        <v>48.51</v>
      </c>
      <c r="E24" s="84">
        <f>1.69/100*(24*365)</f>
        <v>148.04399999999998</v>
      </c>
      <c r="F24" s="7">
        <v>22230000</v>
      </c>
      <c r="G24" s="28">
        <f t="shared" si="0"/>
        <v>9050000</v>
      </c>
      <c r="H24" s="36">
        <f t="shared" si="1"/>
        <v>9050000</v>
      </c>
    </row>
    <row r="25" spans="1:8" x14ac:dyDescent="0.35">
      <c r="A25" s="37" t="s">
        <v>43</v>
      </c>
      <c r="B25" s="12">
        <v>65.13191273465246</v>
      </c>
      <c r="C25" s="7">
        <v>10270000</v>
      </c>
      <c r="D25" s="78">
        <v>8.98</v>
      </c>
      <c r="E25" s="84">
        <f>0.93/100*(24*365)</f>
        <v>81.468000000000004</v>
      </c>
      <c r="F25" s="7">
        <v>9910000</v>
      </c>
      <c r="G25" s="28">
        <f t="shared" si="0"/>
        <v>360000</v>
      </c>
      <c r="H25" s="36">
        <f t="shared" si="1"/>
        <v>360000</v>
      </c>
    </row>
    <row r="26" spans="1:8" x14ac:dyDescent="0.35">
      <c r="A26" s="38"/>
      <c r="B26" s="13"/>
      <c r="C26" s="8"/>
      <c r="D26" s="13"/>
      <c r="E26" s="8"/>
      <c r="F26" s="8"/>
      <c r="G26" s="28">
        <f t="shared" si="0"/>
        <v>0</v>
      </c>
      <c r="H26" s="36">
        <f t="shared" si="1"/>
        <v>0</v>
      </c>
    </row>
    <row r="27" spans="1:8" x14ac:dyDescent="0.35">
      <c r="A27" s="38"/>
      <c r="B27" s="14"/>
      <c r="C27" s="14"/>
      <c r="D27" s="14"/>
      <c r="E27" s="14"/>
      <c r="F27" s="14"/>
      <c r="G27" s="29"/>
      <c r="H27" s="36"/>
    </row>
    <row r="28" spans="1:8" x14ac:dyDescent="0.35">
      <c r="A28" s="38"/>
      <c r="B28" s="14"/>
      <c r="C28" s="14"/>
      <c r="D28" s="14"/>
      <c r="E28" s="14"/>
      <c r="F28" s="14"/>
      <c r="G28" s="29"/>
      <c r="H28" s="36"/>
    </row>
    <row r="29" spans="1:8" x14ac:dyDescent="0.35">
      <c r="A29" s="37"/>
      <c r="B29" s="39"/>
      <c r="C29" s="39"/>
      <c r="D29" s="39"/>
      <c r="E29" s="39"/>
      <c r="F29" s="39"/>
      <c r="G29" s="40"/>
      <c r="H29" s="36"/>
    </row>
    <row r="30" spans="1:8" ht="15" thickBot="1" x14ac:dyDescent="0.4">
      <c r="A30" s="41"/>
      <c r="B30" s="72"/>
      <c r="C30" s="8"/>
      <c r="D30" s="8"/>
      <c r="E30" s="42"/>
      <c r="F30" s="42"/>
      <c r="G30" s="30">
        <f t="shared" ref="G30" si="2">C30-F30</f>
        <v>0</v>
      </c>
      <c r="H30" s="43">
        <f>G30</f>
        <v>0</v>
      </c>
    </row>
    <row r="31" spans="1:8" ht="15.75" customHeight="1" thickBot="1" x14ac:dyDescent="0.4">
      <c r="A31" s="121" t="s">
        <v>24</v>
      </c>
      <c r="B31" s="122"/>
      <c r="C31" s="44">
        <f>SUM(C17:C30)</f>
        <v>158350000</v>
      </c>
      <c r="D31" s="45"/>
      <c r="E31" s="46"/>
      <c r="F31" s="47">
        <f>SUM(F17:F30)</f>
        <v>130540000</v>
      </c>
      <c r="G31" s="47">
        <f>SUM(G17:G30)</f>
        <v>27810000</v>
      </c>
      <c r="H31" s="48">
        <f>SUM(H17:H30)</f>
        <v>27810000</v>
      </c>
    </row>
    <row r="32" spans="1:8" ht="15" thickBot="1" x14ac:dyDescent="0.4"/>
    <row r="33" spans="1:7" ht="31.5" customHeight="1" thickBot="1" x14ac:dyDescent="0.4">
      <c r="A33" s="115" t="s">
        <v>34</v>
      </c>
      <c r="B33" s="116"/>
      <c r="C33" s="116"/>
      <c r="D33" s="116"/>
      <c r="E33" s="3"/>
      <c r="F33" s="15" t="s">
        <v>44</v>
      </c>
      <c r="G33" s="50">
        <v>1</v>
      </c>
    </row>
    <row r="34" spans="1:7" x14ac:dyDescent="0.35">
      <c r="F34" s="123" t="s">
        <v>4</v>
      </c>
      <c r="G34" s="125">
        <f>H31</f>
        <v>27810000</v>
      </c>
    </row>
    <row r="35" spans="1:7" x14ac:dyDescent="0.35">
      <c r="A35" s="117"/>
      <c r="B35" s="116"/>
      <c r="C35" s="116"/>
      <c r="D35" s="116"/>
      <c r="F35" s="123"/>
      <c r="G35" s="126"/>
    </row>
    <row r="36" spans="1:7" ht="15" thickBot="1" x14ac:dyDescent="0.4">
      <c r="F36" s="124"/>
      <c r="G36" s="127"/>
    </row>
    <row r="37" spans="1:7" ht="66.75" customHeight="1" x14ac:dyDescent="0.35">
      <c r="A37" s="119"/>
      <c r="B37" s="120"/>
      <c r="C37" s="120"/>
      <c r="D37" s="120"/>
    </row>
  </sheetData>
  <mergeCells count="17">
    <mergeCell ref="F15:F16"/>
    <mergeCell ref="G15:G16"/>
    <mergeCell ref="A33:D33"/>
    <mergeCell ref="A35:D35"/>
    <mergeCell ref="H1:I1"/>
    <mergeCell ref="A37:D37"/>
    <mergeCell ref="A31:B31"/>
    <mergeCell ref="F34:F36"/>
    <mergeCell ref="G34:G36"/>
    <mergeCell ref="A3:H6"/>
    <mergeCell ref="A7:H12"/>
    <mergeCell ref="H15:H16"/>
    <mergeCell ref="A14:A16"/>
    <mergeCell ref="B15:B16"/>
    <mergeCell ref="C15:C16"/>
    <mergeCell ref="D15:D16"/>
    <mergeCell ref="E15:E16"/>
  </mergeCells>
  <pageMargins left="0.25" right="0.25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37" workbookViewId="0">
      <selection activeCell="E44" sqref="E44:G45"/>
    </sheetView>
  </sheetViews>
  <sheetFormatPr defaultColWidth="9.08984375" defaultRowHeight="14.5" x14ac:dyDescent="0.35"/>
  <cols>
    <col min="1" max="1" width="38.08984375" style="9" customWidth="1"/>
    <col min="2" max="2" width="24" style="9" customWidth="1"/>
    <col min="3" max="3" width="23.453125" style="9" customWidth="1"/>
    <col min="4" max="4" width="22.90625" style="9" customWidth="1"/>
    <col min="5" max="5" width="24.36328125" style="9" customWidth="1"/>
    <col min="6" max="6" width="19.453125" style="9" customWidth="1"/>
    <col min="7" max="7" width="31.08984375" style="9" customWidth="1"/>
    <col min="8" max="8" width="18" style="9" customWidth="1"/>
    <col min="9" max="16384" width="9.08984375" style="9"/>
  </cols>
  <sheetData>
    <row r="1" spans="1:7" x14ac:dyDescent="0.35">
      <c r="A1" s="81" t="s">
        <v>65</v>
      </c>
      <c r="G1" s="81" t="s">
        <v>47</v>
      </c>
    </row>
    <row r="2" spans="1:7" ht="32.25" customHeight="1" thickBot="1" x14ac:dyDescent="0.55000000000000004">
      <c r="A2" s="149" t="s">
        <v>61</v>
      </c>
      <c r="B2" s="150"/>
      <c r="C2" s="150"/>
      <c r="D2" s="150"/>
      <c r="E2" s="150"/>
      <c r="F2" s="150"/>
      <c r="G2" s="150"/>
    </row>
    <row r="3" spans="1:7" x14ac:dyDescent="0.35">
      <c r="A3" s="151" t="s">
        <v>6</v>
      </c>
      <c r="B3" s="129"/>
      <c r="C3" s="129"/>
      <c r="D3" s="129"/>
      <c r="E3" s="129"/>
      <c r="F3" s="129"/>
      <c r="G3" s="130"/>
    </row>
    <row r="4" spans="1:7" x14ac:dyDescent="0.35">
      <c r="A4" s="131"/>
      <c r="B4" s="132"/>
      <c r="C4" s="132"/>
      <c r="D4" s="132"/>
      <c r="E4" s="132"/>
      <c r="F4" s="132"/>
      <c r="G4" s="133"/>
    </row>
    <row r="5" spans="1:7" ht="0.75" customHeight="1" thickBot="1" x14ac:dyDescent="0.4">
      <c r="A5" s="131"/>
      <c r="B5" s="132"/>
      <c r="C5" s="132"/>
      <c r="D5" s="132"/>
      <c r="E5" s="132"/>
      <c r="F5" s="132"/>
      <c r="G5" s="133"/>
    </row>
    <row r="6" spans="1:7" ht="15" hidden="1" thickBot="1" x14ac:dyDescent="0.4">
      <c r="A6" s="152"/>
      <c r="B6" s="153"/>
      <c r="C6" s="153"/>
      <c r="D6" s="153"/>
      <c r="E6" s="153"/>
      <c r="F6" s="153"/>
      <c r="G6" s="154"/>
    </row>
    <row r="7" spans="1:7" x14ac:dyDescent="0.35">
      <c r="A7" s="155" t="s">
        <v>7</v>
      </c>
      <c r="B7" s="156"/>
      <c r="C7" s="156"/>
      <c r="D7" s="156"/>
      <c r="E7" s="156"/>
      <c r="F7" s="156"/>
      <c r="G7" s="157"/>
    </row>
    <row r="8" spans="1:7" x14ac:dyDescent="0.35">
      <c r="A8" s="158"/>
      <c r="B8" s="159"/>
      <c r="C8" s="159"/>
      <c r="D8" s="159"/>
      <c r="E8" s="159"/>
      <c r="F8" s="159"/>
      <c r="G8" s="160"/>
    </row>
    <row r="9" spans="1:7" x14ac:dyDescent="0.35">
      <c r="A9" s="158"/>
      <c r="B9" s="159"/>
      <c r="C9" s="159"/>
      <c r="D9" s="159"/>
      <c r="E9" s="159"/>
      <c r="F9" s="159"/>
      <c r="G9" s="160"/>
    </row>
    <row r="10" spans="1:7" x14ac:dyDescent="0.35">
      <c r="A10" s="158"/>
      <c r="B10" s="159"/>
      <c r="C10" s="159"/>
      <c r="D10" s="159"/>
      <c r="E10" s="159"/>
      <c r="F10" s="159"/>
      <c r="G10" s="160"/>
    </row>
    <row r="11" spans="1:7" x14ac:dyDescent="0.35">
      <c r="A11" s="158"/>
      <c r="B11" s="159"/>
      <c r="C11" s="159"/>
      <c r="D11" s="159"/>
      <c r="E11" s="159"/>
      <c r="F11" s="159"/>
      <c r="G11" s="160"/>
    </row>
    <row r="12" spans="1:7" ht="86.25" customHeight="1" thickBot="1" x14ac:dyDescent="0.4">
      <c r="A12" s="161"/>
      <c r="B12" s="150"/>
      <c r="C12" s="150"/>
      <c r="D12" s="150"/>
      <c r="E12" s="150"/>
      <c r="F12" s="150"/>
      <c r="G12" s="162"/>
    </row>
    <row r="13" spans="1:7" ht="15" thickBot="1" x14ac:dyDescent="0.4"/>
    <row r="14" spans="1:7" ht="15" thickBot="1" x14ac:dyDescent="0.4">
      <c r="A14" s="163" t="s">
        <v>45</v>
      </c>
      <c r="B14" s="164" t="s">
        <v>33</v>
      </c>
      <c r="C14" s="164"/>
      <c r="D14" s="164"/>
      <c r="E14" s="164" t="s">
        <v>32</v>
      </c>
      <c r="F14" s="164"/>
      <c r="G14" s="164"/>
    </row>
    <row r="15" spans="1:7" ht="15" customHeight="1" thickBot="1" x14ac:dyDescent="0.4">
      <c r="A15" s="163"/>
      <c r="B15" s="165" t="s">
        <v>8</v>
      </c>
      <c r="C15" s="165" t="s">
        <v>15</v>
      </c>
      <c r="D15" s="165" t="s">
        <v>46</v>
      </c>
      <c r="E15" s="165" t="s">
        <v>8</v>
      </c>
      <c r="F15" s="165" t="s">
        <v>15</v>
      </c>
      <c r="G15" s="165" t="s">
        <v>46</v>
      </c>
    </row>
    <row r="16" spans="1:7" ht="15" thickBot="1" x14ac:dyDescent="0.4">
      <c r="A16" s="163"/>
      <c r="B16" s="165"/>
      <c r="C16" s="165"/>
      <c r="D16" s="165"/>
      <c r="E16" s="165"/>
      <c r="F16" s="165"/>
      <c r="G16" s="165"/>
    </row>
    <row r="17" spans="1:7" x14ac:dyDescent="0.35">
      <c r="A17" s="57" t="str">
        <f>+'(2)(a)(i) One Time (all)'!A17</f>
        <v>Baker River Project - Lower Baker Unit 3</v>
      </c>
      <c r="B17" s="58">
        <f>'(2)(a)(i) One Time (all)'!G17</f>
        <v>-690000</v>
      </c>
      <c r="C17" s="59"/>
      <c r="D17" s="59"/>
      <c r="E17" s="58">
        <f>'(2)(a)(i) One Time (all)'!G17</f>
        <v>-690000</v>
      </c>
      <c r="F17" s="59"/>
      <c r="G17" s="59"/>
    </row>
    <row r="18" spans="1:7" x14ac:dyDescent="0.35">
      <c r="A18" s="57" t="str">
        <f>+'(2)(a)(i) One Time (all)'!A18</f>
        <v>Snoqualmie Falls - Snoqualmie Falls Units 1-4</v>
      </c>
      <c r="B18" s="60">
        <f>'(2)(a)(i) One Time (all)'!G18</f>
        <v>670000</v>
      </c>
      <c r="C18" s="61"/>
      <c r="D18" s="61"/>
      <c r="E18" s="60">
        <f>'(2)(a)(i) One Time (all)'!G18</f>
        <v>670000</v>
      </c>
      <c r="F18" s="61"/>
      <c r="G18" s="61"/>
    </row>
    <row r="19" spans="1:7" x14ac:dyDescent="0.35">
      <c r="A19" s="57" t="str">
        <f>+'(2)(a)(i) One Time (all)'!A19</f>
        <v>Wild Horse - Wild Horse</v>
      </c>
      <c r="B19" s="60">
        <f>'(2)(a)(i) One Time (all)'!G19</f>
        <v>5200000</v>
      </c>
      <c r="C19" s="61"/>
      <c r="D19" s="61"/>
      <c r="E19" s="60">
        <f>'(2)(a)(i) One Time (all)'!G19</f>
        <v>5200000</v>
      </c>
      <c r="F19" s="61"/>
      <c r="G19" s="61"/>
    </row>
    <row r="20" spans="1:7" x14ac:dyDescent="0.35">
      <c r="A20" s="57" t="str">
        <f>+'(2)(a)(i) One Time (all)'!A20</f>
        <v>Hopkins Ridge - Hopkins Ridge</v>
      </c>
      <c r="B20" s="60">
        <f>'(2)(a)(i) One Time (all)'!G20</f>
        <v>-2200000</v>
      </c>
      <c r="C20" s="61"/>
      <c r="D20" s="61"/>
      <c r="E20" s="60">
        <f>'(2)(a)(i) One Time (all)'!G20</f>
        <v>-2200000</v>
      </c>
      <c r="F20" s="61"/>
      <c r="G20" s="61"/>
    </row>
    <row r="21" spans="1:7" x14ac:dyDescent="0.35">
      <c r="A21" s="57" t="str">
        <f>+'(2)(a)(i) One Time (all)'!A21</f>
        <v>Wild Horse - Wild Horse - Phase II</v>
      </c>
      <c r="B21" s="60">
        <f>'(2)(a)(i) One Time (all)'!G21</f>
        <v>4130000</v>
      </c>
      <c r="C21" s="61"/>
      <c r="D21" s="61"/>
      <c r="E21" s="60">
        <f>'(2)(a)(i) One Time (all)'!G21</f>
        <v>4130000</v>
      </c>
      <c r="F21" s="61"/>
      <c r="G21" s="61"/>
    </row>
    <row r="22" spans="1:7" x14ac:dyDescent="0.35">
      <c r="A22" s="57" t="str">
        <f>+'(2)(a)(i) One Time (all)'!A22</f>
        <v>Hopkins Ridge - Hopkins Ridge Phase II</v>
      </c>
      <c r="B22" s="60">
        <f>'(2)(a)(i) One Time (all)'!G22</f>
        <v>-80000</v>
      </c>
      <c r="C22" s="61"/>
      <c r="D22" s="61"/>
      <c r="E22" s="60">
        <f>'(2)(a)(i) One Time (all)'!G22</f>
        <v>-80000</v>
      </c>
      <c r="F22" s="61"/>
      <c r="G22" s="61"/>
    </row>
    <row r="23" spans="1:7" x14ac:dyDescent="0.35">
      <c r="A23" s="57" t="str">
        <f>+'(2)(a)(i) One Time (all)'!A23</f>
        <v>Lower Snake River - Dodge Junction - LSR-Dodge Junction</v>
      </c>
      <c r="B23" s="60">
        <f>'(2)(a)(i) One Time (all)'!G23</f>
        <v>11370000</v>
      </c>
      <c r="C23" s="61"/>
      <c r="D23" s="61"/>
      <c r="E23" s="60">
        <f>'(2)(a)(i) One Time (all)'!G23</f>
        <v>11370000</v>
      </c>
      <c r="F23" s="61"/>
      <c r="G23" s="61"/>
    </row>
    <row r="24" spans="1:7" x14ac:dyDescent="0.35">
      <c r="A24" s="57" t="str">
        <f>+'(2)(a)(i) One Time (all)'!A24</f>
        <v>Lower Snake River - Phalen Gulch - LSR-Phalen Gulch</v>
      </c>
      <c r="B24" s="60">
        <f>'(2)(a)(i) One Time (all)'!G24</f>
        <v>9050000</v>
      </c>
      <c r="C24" s="61"/>
      <c r="D24" s="61"/>
      <c r="E24" s="60">
        <f>'(2)(a)(i) One Time (all)'!G24</f>
        <v>9050000</v>
      </c>
      <c r="F24" s="61"/>
      <c r="G24" s="61"/>
    </row>
    <row r="25" spans="1:7" x14ac:dyDescent="0.35">
      <c r="A25" s="57" t="str">
        <f>+'(2)(a)(i) One Time (all)'!A25</f>
        <v>Klondike III - Klondike Wind Power III LLC</v>
      </c>
      <c r="B25" s="60">
        <f>'(2)(a)(i) One Time (all)'!G25</f>
        <v>360000</v>
      </c>
      <c r="C25" s="61"/>
      <c r="D25" s="61"/>
      <c r="E25" s="60">
        <f>'(2)(a)(i) One Time (all)'!G25</f>
        <v>360000</v>
      </c>
      <c r="F25" s="61"/>
      <c r="G25" s="61"/>
    </row>
    <row r="26" spans="1:7" s="85" customFormat="1" x14ac:dyDescent="0.35">
      <c r="A26" s="102"/>
      <c r="B26" s="103"/>
      <c r="C26" s="104"/>
      <c r="D26" s="103"/>
      <c r="E26" s="105"/>
      <c r="F26" s="105"/>
      <c r="G26" s="105">
        <f>D26</f>
        <v>0</v>
      </c>
    </row>
    <row r="27" spans="1:7" x14ac:dyDescent="0.35">
      <c r="A27" s="38"/>
      <c r="B27" s="70">
        <f>'(2)(a)(i) One Time (all)'!G27</f>
        <v>0</v>
      </c>
      <c r="C27" s="62"/>
      <c r="D27" s="67"/>
      <c r="E27" s="70">
        <f>'(2)(a)(i) One Time (all)'!G27</f>
        <v>0</v>
      </c>
      <c r="F27" s="62"/>
      <c r="G27" s="62"/>
    </row>
    <row r="28" spans="1:7" x14ac:dyDescent="0.35">
      <c r="A28" s="38"/>
      <c r="B28" s="70">
        <f>'(2)(a)(i) One Time (all)'!G28</f>
        <v>0</v>
      </c>
      <c r="C28" s="62"/>
      <c r="D28" s="67"/>
      <c r="E28" s="70">
        <f>'(2)(a)(i) One Time (all)'!G28</f>
        <v>0</v>
      </c>
      <c r="F28" s="62"/>
      <c r="G28" s="62"/>
    </row>
    <row r="29" spans="1:7" ht="15" thickBot="1" x14ac:dyDescent="0.4">
      <c r="A29" s="11"/>
      <c r="B29" s="60">
        <f>'(2)(a)(i) One Time (all)'!G29</f>
        <v>0</v>
      </c>
      <c r="C29" s="62"/>
      <c r="D29" s="62"/>
      <c r="E29" s="70">
        <f>'(2)(a)(i) One Time (all)'!G29</f>
        <v>0</v>
      </c>
      <c r="F29" s="62"/>
      <c r="G29" s="62">
        <f>D29</f>
        <v>0</v>
      </c>
    </row>
    <row r="30" spans="1:7" ht="15" thickBot="1" x14ac:dyDescent="0.4">
      <c r="A30" s="17" t="s">
        <v>26</v>
      </c>
      <c r="B30" s="63">
        <f t="shared" ref="B30:G30" si="0">SUM(B17:B29)</f>
        <v>27810000</v>
      </c>
      <c r="C30" s="63">
        <f t="shared" si="0"/>
        <v>0</v>
      </c>
      <c r="D30" s="63">
        <f t="shared" si="0"/>
        <v>0</v>
      </c>
      <c r="E30" s="63">
        <f t="shared" si="0"/>
        <v>27810000</v>
      </c>
      <c r="F30" s="63">
        <f t="shared" si="0"/>
        <v>0</v>
      </c>
      <c r="G30" s="64">
        <f t="shared" si="0"/>
        <v>0</v>
      </c>
    </row>
    <row r="31" spans="1:7" ht="15" thickBot="1" x14ac:dyDescent="0.4">
      <c r="A31" s="52" t="s">
        <v>29</v>
      </c>
      <c r="B31" s="65">
        <f>B30*'(2)(a)(i) One Time (all)'!$G$33</f>
        <v>27810000</v>
      </c>
      <c r="C31" s="65">
        <f>C30*'(2)(a)(i) One Time (all)'!$G$33</f>
        <v>0</v>
      </c>
      <c r="D31" s="65">
        <f>D30*'(2)(a)(i) One Time (all)'!$G$33</f>
        <v>0</v>
      </c>
      <c r="E31" s="65">
        <f>E30*'(2)(a)(i) One Time (all)'!$G$33</f>
        <v>27810000</v>
      </c>
      <c r="F31" s="65">
        <f>F30*'(2)(a)(i) One Time (all)'!$G$33</f>
        <v>0</v>
      </c>
      <c r="G31" s="66">
        <f>G30*'(2)(a)(i) One Time (all)'!$G$33</f>
        <v>0</v>
      </c>
    </row>
    <row r="32" spans="1:7" x14ac:dyDescent="0.35">
      <c r="A32" s="74"/>
      <c r="B32" s="75"/>
      <c r="C32" s="75"/>
      <c r="D32" s="75"/>
      <c r="E32" s="75"/>
      <c r="F32" s="75"/>
      <c r="G32" s="73"/>
    </row>
    <row r="33" spans="1:8" x14ac:dyDescent="0.35">
      <c r="A33" s="76"/>
      <c r="B33" s="77"/>
      <c r="C33" s="77"/>
      <c r="D33" s="77"/>
      <c r="E33" s="77"/>
      <c r="F33" s="77"/>
      <c r="G33" s="73"/>
    </row>
    <row r="34" spans="1:8" x14ac:dyDescent="0.35">
      <c r="A34" s="51"/>
      <c r="B34" s="60"/>
      <c r="C34" s="60"/>
      <c r="D34" s="60"/>
      <c r="E34" s="61"/>
      <c r="F34" s="61"/>
      <c r="G34" s="61"/>
    </row>
    <row r="35" spans="1:8" x14ac:dyDescent="0.35">
      <c r="A35" s="27"/>
      <c r="B35" s="67"/>
      <c r="C35" s="67"/>
      <c r="D35" s="67"/>
      <c r="E35" s="62"/>
      <c r="F35" s="62"/>
      <c r="G35" s="62"/>
    </row>
    <row r="36" spans="1:8" x14ac:dyDescent="0.35">
      <c r="A36" s="27"/>
      <c r="B36" s="67"/>
      <c r="C36" s="67"/>
      <c r="D36" s="67"/>
      <c r="E36" s="62"/>
      <c r="F36" s="62"/>
      <c r="G36" s="62"/>
    </row>
    <row r="37" spans="1:8" ht="15" thickBot="1" x14ac:dyDescent="0.4">
      <c r="A37" s="27"/>
      <c r="B37" s="62"/>
      <c r="C37" s="67"/>
      <c r="D37" s="62"/>
      <c r="E37" s="67"/>
      <c r="F37" s="62"/>
      <c r="G37" s="62"/>
    </row>
    <row r="38" spans="1:8" ht="15" thickBot="1" x14ac:dyDescent="0.4">
      <c r="A38" s="52"/>
      <c r="B38" s="65">
        <f>SUM(B34:B37)</f>
        <v>0</v>
      </c>
      <c r="C38" s="65">
        <f>SUM(C34:C37)</f>
        <v>0</v>
      </c>
      <c r="D38" s="65">
        <f t="shared" ref="D38:G38" si="1">SUM(D34:D37)</f>
        <v>0</v>
      </c>
      <c r="E38" s="65">
        <f t="shared" si="1"/>
        <v>0</v>
      </c>
      <c r="F38" s="65">
        <f>SUM(F34:F37)</f>
        <v>0</v>
      </c>
      <c r="G38" s="65">
        <f t="shared" si="1"/>
        <v>0</v>
      </c>
    </row>
    <row r="39" spans="1:8" ht="15" thickBot="1" x14ac:dyDescent="0.4">
      <c r="A39" s="18"/>
      <c r="B39" s="68"/>
      <c r="C39" s="68"/>
      <c r="D39" s="68"/>
      <c r="E39" s="68"/>
      <c r="F39" s="68"/>
      <c r="G39" s="69"/>
    </row>
    <row r="40" spans="1:8" ht="15" thickBot="1" x14ac:dyDescent="0.4">
      <c r="A40" s="56" t="s">
        <v>30</v>
      </c>
      <c r="B40" s="65">
        <f t="shared" ref="B40:G40" si="2">B31+B38</f>
        <v>27810000</v>
      </c>
      <c r="C40" s="65">
        <f t="shared" si="2"/>
        <v>0</v>
      </c>
      <c r="D40" s="65">
        <f t="shared" si="2"/>
        <v>0</v>
      </c>
      <c r="E40" s="65">
        <f t="shared" si="2"/>
        <v>27810000</v>
      </c>
      <c r="F40" s="65">
        <f t="shared" si="2"/>
        <v>0</v>
      </c>
      <c r="G40" s="65">
        <f t="shared" si="2"/>
        <v>0</v>
      </c>
    </row>
    <row r="41" spans="1:8" ht="15" thickBot="1" x14ac:dyDescent="0.4">
      <c r="A41" s="53"/>
      <c r="B41" s="54"/>
      <c r="C41" s="54"/>
      <c r="D41" s="54"/>
      <c r="E41" s="55"/>
      <c r="F41" s="55"/>
      <c r="G41" s="54"/>
    </row>
    <row r="42" spans="1:8" ht="15" thickBot="1" x14ac:dyDescent="0.4">
      <c r="A42" s="161" t="s">
        <v>55</v>
      </c>
      <c r="B42" s="150"/>
      <c r="C42" s="162"/>
      <c r="D42" s="79">
        <v>1996287283</v>
      </c>
      <c r="E42" s="5"/>
      <c r="F42" s="5"/>
      <c r="G42" s="16">
        <f>+D42</f>
        <v>1996287283</v>
      </c>
    </row>
    <row r="43" spans="1:8" x14ac:dyDescent="0.35">
      <c r="B43" s="1" t="s">
        <v>48</v>
      </c>
      <c r="C43" s="2"/>
      <c r="D43" s="80">
        <f>SUM(B40:D40)*1.047614</f>
        <v>29134145.34</v>
      </c>
      <c r="E43" s="1" t="s">
        <v>66</v>
      </c>
      <c r="F43" s="2"/>
      <c r="G43" s="80">
        <f>SUM(E40:G40)*1.047614</f>
        <v>29134145.34</v>
      </c>
      <c r="H43" s="178">
        <f>+G43-D43</f>
        <v>0</v>
      </c>
    </row>
    <row r="44" spans="1:8" ht="15" customHeight="1" x14ac:dyDescent="0.35">
      <c r="B44" s="167">
        <f>D43/D42</f>
        <v>1.4594164671638595E-2</v>
      </c>
      <c r="C44" s="168"/>
      <c r="D44" s="169"/>
      <c r="E44" s="167">
        <f>G43/G42</f>
        <v>1.4594164671638595E-2</v>
      </c>
      <c r="F44" s="168"/>
      <c r="G44" s="169"/>
    </row>
    <row r="45" spans="1:8" ht="15" thickBot="1" x14ac:dyDescent="0.4">
      <c r="B45" s="170"/>
      <c r="C45" s="171"/>
      <c r="D45" s="172"/>
      <c r="E45" s="170"/>
      <c r="F45" s="171"/>
      <c r="G45" s="172"/>
    </row>
    <row r="46" spans="1:8" x14ac:dyDescent="0.35">
      <c r="F46" s="4"/>
      <c r="G46" s="5"/>
    </row>
    <row r="47" spans="1:8" x14ac:dyDescent="0.35">
      <c r="F47" s="4"/>
      <c r="G47" s="5"/>
    </row>
    <row r="48" spans="1:8" x14ac:dyDescent="0.35">
      <c r="A48" s="71" t="s">
        <v>31</v>
      </c>
      <c r="F48" s="4"/>
      <c r="G48" s="5"/>
    </row>
    <row r="49" spans="1:6" s="85" customFormat="1" x14ac:dyDescent="0.35"/>
    <row r="50" spans="1:6" s="85" customFormat="1" x14ac:dyDescent="0.35">
      <c r="A50" s="166" t="s">
        <v>64</v>
      </c>
      <c r="B50" s="166"/>
      <c r="C50" s="166"/>
      <c r="D50" s="166"/>
      <c r="E50" s="166"/>
      <c r="F50" s="166"/>
    </row>
    <row r="51" spans="1:6" s="85" customFormat="1" x14ac:dyDescent="0.35">
      <c r="A51" s="166" t="s">
        <v>63</v>
      </c>
      <c r="B51" s="166"/>
      <c r="C51" s="166"/>
      <c r="D51" s="166"/>
      <c r="E51" s="166"/>
      <c r="F51" s="166"/>
    </row>
    <row r="52" spans="1:6" s="85" customFormat="1" x14ac:dyDescent="0.35">
      <c r="A52" s="166" t="s">
        <v>60</v>
      </c>
      <c r="B52" s="166"/>
      <c r="C52" s="166"/>
      <c r="D52" s="166"/>
      <c r="E52" s="166"/>
      <c r="F52" s="166"/>
    </row>
    <row r="53" spans="1:6" s="85" customFormat="1" x14ac:dyDescent="0.35">
      <c r="A53" s="85" t="s">
        <v>56</v>
      </c>
    </row>
    <row r="54" spans="1:6" s="85" customFormat="1" x14ac:dyDescent="0.35">
      <c r="A54" s="85" t="s">
        <v>57</v>
      </c>
      <c r="F54" s="92"/>
    </row>
    <row r="55" spans="1:6" s="85" customFormat="1" x14ac:dyDescent="0.35">
      <c r="F55" s="92"/>
    </row>
    <row r="56" spans="1:6" s="85" customFormat="1" x14ac:dyDescent="0.35">
      <c r="B56" s="106"/>
      <c r="C56" s="106"/>
      <c r="D56" s="106"/>
      <c r="E56" s="106"/>
      <c r="F56" s="106"/>
    </row>
    <row r="57" spans="1:6" s="85" customFormat="1" x14ac:dyDescent="0.35">
      <c r="A57" s="107"/>
      <c r="B57" s="106"/>
      <c r="C57" s="106"/>
      <c r="D57" s="106"/>
      <c r="E57" s="106"/>
      <c r="F57" s="106"/>
    </row>
    <row r="58" spans="1:6" s="85" customFormat="1" x14ac:dyDescent="0.35">
      <c r="A58" s="107"/>
    </row>
  </sheetData>
  <mergeCells count="18">
    <mergeCell ref="A52:F52"/>
    <mergeCell ref="A50:F50"/>
    <mergeCell ref="A51:F51"/>
    <mergeCell ref="A42:C42"/>
    <mergeCell ref="B44:D45"/>
    <mergeCell ref="E44:G45"/>
    <mergeCell ref="A2:G2"/>
    <mergeCell ref="A3:G6"/>
    <mergeCell ref="A7:G12"/>
    <mergeCell ref="A14:A16"/>
    <mergeCell ref="B14:D14"/>
    <mergeCell ref="E14:G14"/>
    <mergeCell ref="B15:B16"/>
    <mergeCell ref="C15:C16"/>
    <mergeCell ref="D15:D16"/>
    <mergeCell ref="E15:E16"/>
    <mergeCell ref="F15:F16"/>
    <mergeCell ref="G15:G16"/>
  </mergeCells>
  <pageMargins left="0.25" right="0.25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60" zoomScaleNormal="60" workbookViewId="0">
      <selection activeCell="I12" sqref="I12"/>
    </sheetView>
  </sheetViews>
  <sheetFormatPr defaultColWidth="9.08984375" defaultRowHeight="14" x14ac:dyDescent="0.3"/>
  <cols>
    <col min="1" max="1" width="54.08984375" style="6" customWidth="1"/>
    <col min="2" max="2" width="17.6328125" style="6" customWidth="1"/>
    <col min="3" max="3" width="14.08984375" style="6" customWidth="1"/>
    <col min="4" max="4" width="20.36328125" style="6" customWidth="1"/>
    <col min="5" max="5" width="32.36328125" style="6" customWidth="1"/>
    <col min="6" max="6" width="49.90625" style="6" customWidth="1"/>
    <col min="7" max="7" width="4.54296875" style="6" customWidth="1"/>
    <col min="8" max="8" width="14.90625" style="6" customWidth="1"/>
    <col min="9" max="9" width="13.54296875" style="6" bestFit="1" customWidth="1"/>
    <col min="10" max="10" width="12.08984375" style="6" bestFit="1" customWidth="1"/>
    <col min="11" max="16384" width="9.08984375" style="6"/>
  </cols>
  <sheetData>
    <row r="1" spans="1:9" s="82" customFormat="1" ht="14.5" x14ac:dyDescent="0.35">
      <c r="A1" s="81" t="s">
        <v>65</v>
      </c>
      <c r="B1" s="81"/>
      <c r="C1" s="81"/>
      <c r="F1" s="83" t="s">
        <v>47</v>
      </c>
    </row>
    <row r="2" spans="1:9" ht="31.5" customHeight="1" thickBot="1" x14ac:dyDescent="0.55000000000000004">
      <c r="A2" s="149" t="s">
        <v>62</v>
      </c>
      <c r="B2" s="173"/>
      <c r="C2" s="173"/>
      <c r="D2" s="173"/>
      <c r="E2" s="173"/>
      <c r="F2" s="173"/>
    </row>
    <row r="3" spans="1:9" ht="52.5" customHeight="1" thickBot="1" x14ac:dyDescent="0.55000000000000004">
      <c r="A3" s="86">
        <v>2019</v>
      </c>
      <c r="B3" s="173" t="s">
        <v>14</v>
      </c>
      <c r="C3" s="177"/>
      <c r="D3" s="177"/>
      <c r="E3" s="177"/>
      <c r="F3" s="177"/>
    </row>
    <row r="4" spans="1:9" ht="18" customHeight="1" x14ac:dyDescent="0.5">
      <c r="A4" s="10"/>
      <c r="B4" s="174" t="s">
        <v>1</v>
      </c>
      <c r="C4" s="175"/>
      <c r="D4" s="176"/>
      <c r="E4" s="174" t="s">
        <v>12</v>
      </c>
      <c r="F4" s="176"/>
    </row>
    <row r="5" spans="1:9" ht="42" x14ac:dyDescent="0.3">
      <c r="A5" s="21" t="s">
        <v>2</v>
      </c>
      <c r="B5" s="21" t="s">
        <v>9</v>
      </c>
      <c r="C5" s="21" t="s">
        <v>10</v>
      </c>
      <c r="D5" s="21" t="s">
        <v>13</v>
      </c>
      <c r="E5" s="21" t="s">
        <v>11</v>
      </c>
      <c r="F5" s="21" t="s">
        <v>16</v>
      </c>
    </row>
    <row r="6" spans="1:9" x14ac:dyDescent="0.3">
      <c r="A6" s="22" t="s">
        <v>35</v>
      </c>
      <c r="B6" s="19">
        <f>'(2)(a)(i) One Time (all)'!G17</f>
        <v>-690000</v>
      </c>
      <c r="C6" s="20">
        <v>109500</v>
      </c>
      <c r="D6" s="87">
        <f>B6/C6</f>
        <v>-6.3013698630136989</v>
      </c>
      <c r="E6" s="20">
        <v>99050</v>
      </c>
      <c r="F6" s="23">
        <f>E6*D6</f>
        <v>-624150.68493150687</v>
      </c>
      <c r="I6" s="99"/>
    </row>
    <row r="7" spans="1:9" x14ac:dyDescent="0.3">
      <c r="A7" s="24" t="s">
        <v>36</v>
      </c>
      <c r="B7" s="19">
        <f>'(2)(a)(i) One Time (all)'!G18</f>
        <v>670000</v>
      </c>
      <c r="C7" s="20">
        <v>34164</v>
      </c>
      <c r="D7" s="87">
        <f t="shared" ref="D7:D14" si="0">B7/C7</f>
        <v>19.611286734574406</v>
      </c>
      <c r="E7" s="20">
        <v>16872</v>
      </c>
      <c r="F7" s="23">
        <f t="shared" ref="F7:F14" si="1">E7*D7</f>
        <v>330881.62978573941</v>
      </c>
      <c r="I7" s="99"/>
    </row>
    <row r="8" spans="1:9" x14ac:dyDescent="0.3">
      <c r="A8" s="24" t="s">
        <v>37</v>
      </c>
      <c r="B8" s="19">
        <f>'(2)(a)(i) One Time (all)'!G19</f>
        <v>5200000</v>
      </c>
      <c r="C8" s="20">
        <v>642984</v>
      </c>
      <c r="D8" s="87">
        <f t="shared" si="0"/>
        <v>8.0872929964042655</v>
      </c>
      <c r="E8" s="112">
        <f>1890612-1619396</f>
        <v>271216</v>
      </c>
      <c r="F8" s="23">
        <f t="shared" si="1"/>
        <v>2193403.2573127793</v>
      </c>
      <c r="I8" s="99"/>
    </row>
    <row r="9" spans="1:9" x14ac:dyDescent="0.3">
      <c r="A9" s="24" t="s">
        <v>38</v>
      </c>
      <c r="B9" s="19">
        <f>'(2)(a)(i) One Time (all)'!G20</f>
        <v>-2200000</v>
      </c>
      <c r="C9" s="20">
        <v>466908</v>
      </c>
      <c r="D9" s="87">
        <f t="shared" si="0"/>
        <v>-4.7118490152235557</v>
      </c>
      <c r="E9" s="20">
        <v>255144</v>
      </c>
      <c r="F9" s="23">
        <f t="shared" si="1"/>
        <v>-1202200.0051401989</v>
      </c>
      <c r="I9" s="99"/>
    </row>
    <row r="10" spans="1:9" x14ac:dyDescent="0.3">
      <c r="A10" s="24" t="s">
        <v>49</v>
      </c>
      <c r="B10" s="19">
        <f>'(2)(a)(i) One Time (all)'!G21</f>
        <v>4130000</v>
      </c>
      <c r="C10" s="20">
        <v>91980</v>
      </c>
      <c r="D10" s="87">
        <f t="shared" si="0"/>
        <v>44.901065449010652</v>
      </c>
      <c r="E10" s="20">
        <v>103462</v>
      </c>
      <c r="F10" s="23">
        <f t="shared" si="1"/>
        <v>4645554.0334855402</v>
      </c>
      <c r="I10" s="99"/>
    </row>
    <row r="11" spans="1:9" x14ac:dyDescent="0.3">
      <c r="A11" s="24" t="s">
        <v>40</v>
      </c>
      <c r="B11" s="19">
        <f>'(2)(a)(i) One Time (all)'!G22</f>
        <v>-80000</v>
      </c>
      <c r="C11" s="20">
        <v>21024</v>
      </c>
      <c r="D11" s="87">
        <f t="shared" si="0"/>
        <v>-3.8051750380517504</v>
      </c>
      <c r="E11" s="20">
        <v>15881</v>
      </c>
      <c r="F11" s="23">
        <f t="shared" si="1"/>
        <v>-60429.984779299848</v>
      </c>
      <c r="I11" s="99"/>
    </row>
    <row r="12" spans="1:9" x14ac:dyDescent="0.3">
      <c r="A12" s="24" t="s">
        <v>50</v>
      </c>
      <c r="B12" s="19">
        <f>'(2)(a)(i) One Time (all)'!G23</f>
        <v>11370000</v>
      </c>
      <c r="C12" s="20">
        <v>500172</v>
      </c>
      <c r="D12" s="87">
        <f t="shared" si="0"/>
        <v>22.732180130035267</v>
      </c>
      <c r="E12" s="20">
        <v>508243</v>
      </c>
      <c r="F12" s="23">
        <f t="shared" si="1"/>
        <v>11553471.425829515</v>
      </c>
      <c r="I12" s="99"/>
    </row>
    <row r="13" spans="1:9" x14ac:dyDescent="0.3">
      <c r="A13" s="24" t="s">
        <v>51</v>
      </c>
      <c r="B13" s="19">
        <f>'(2)(a)(i) One Time (all)'!G24</f>
        <v>9050000</v>
      </c>
      <c r="C13" s="20">
        <v>397728</v>
      </c>
      <c r="D13" s="87">
        <f t="shared" si="0"/>
        <v>22.754244106525061</v>
      </c>
      <c r="E13" s="20">
        <v>370818</v>
      </c>
      <c r="F13" s="23">
        <f t="shared" si="1"/>
        <v>8437683.2910934091</v>
      </c>
      <c r="I13" s="99"/>
    </row>
    <row r="14" spans="1:9" x14ac:dyDescent="0.3">
      <c r="A14" s="24" t="s">
        <v>43</v>
      </c>
      <c r="B14" s="19">
        <f>'(2)(a)(i) One Time (all)'!G25</f>
        <v>360000</v>
      </c>
      <c r="C14" s="20">
        <v>157680</v>
      </c>
      <c r="D14" s="87">
        <f t="shared" si="0"/>
        <v>2.2831050228310503</v>
      </c>
      <c r="E14" s="112">
        <v>53421</v>
      </c>
      <c r="F14" s="23">
        <f t="shared" si="1"/>
        <v>121965.75342465754</v>
      </c>
      <c r="I14" s="99"/>
    </row>
    <row r="15" spans="1:9" s="106" customFormat="1" x14ac:dyDescent="0.3">
      <c r="A15" s="108"/>
      <c r="B15" s="20"/>
      <c r="C15" s="20"/>
      <c r="D15" s="109"/>
      <c r="E15" s="112"/>
      <c r="F15" s="110"/>
      <c r="I15" s="111"/>
    </row>
    <row r="16" spans="1:9" x14ac:dyDescent="0.3">
      <c r="A16" s="24"/>
      <c r="B16" s="19"/>
      <c r="C16" s="20"/>
      <c r="D16" s="23"/>
      <c r="E16" s="89"/>
      <c r="F16" s="23"/>
      <c r="I16" s="99"/>
    </row>
    <row r="17" spans="1:6" x14ac:dyDescent="0.3">
      <c r="A17" s="24" t="s">
        <v>52</v>
      </c>
      <c r="B17" s="25"/>
      <c r="C17" s="20"/>
      <c r="D17" s="25"/>
      <c r="E17" s="19">
        <f>(E13+E12+E10)*0.2</f>
        <v>196504.6</v>
      </c>
      <c r="F17" s="26">
        <v>0</v>
      </c>
    </row>
    <row r="18" spans="1:6" x14ac:dyDescent="0.3">
      <c r="A18" s="24"/>
      <c r="B18" s="25"/>
      <c r="C18" s="19"/>
      <c r="D18" s="25"/>
      <c r="E18" s="88"/>
      <c r="F18" s="26"/>
    </row>
    <row r="19" spans="1:6" x14ac:dyDescent="0.3">
      <c r="A19" s="24"/>
      <c r="B19" s="19"/>
      <c r="C19" s="19"/>
      <c r="D19" s="23"/>
      <c r="E19" s="89"/>
      <c r="F19" s="23"/>
    </row>
    <row r="20" spans="1:6" s="90" customFormat="1" x14ac:dyDescent="0.3">
      <c r="A20" s="93" t="s">
        <v>58</v>
      </c>
      <c r="B20" s="94">
        <f>SUM(B6:B19)</f>
        <v>27810000</v>
      </c>
      <c r="C20" s="94">
        <f>SUM(C6:C19)</f>
        <v>2422140</v>
      </c>
      <c r="D20" s="95">
        <f t="shared" ref="D20" si="2">B20/C20</f>
        <v>11.481582402338429</v>
      </c>
      <c r="E20" s="20">
        <f>SUM(E6:E18)</f>
        <v>1890611.6</v>
      </c>
      <c r="F20" s="97">
        <f>SUM(F5:F15)</f>
        <v>25396178.716080636</v>
      </c>
    </row>
    <row r="21" spans="1:6" x14ac:dyDescent="0.3">
      <c r="E21" s="99"/>
      <c r="F21" s="98">
        <f>+F20/E20</f>
        <v>13.432784775085816</v>
      </c>
    </row>
    <row r="22" spans="1:6" x14ac:dyDescent="0.3">
      <c r="A22" s="6" t="s">
        <v>53</v>
      </c>
      <c r="E22" s="96"/>
      <c r="F22" s="91" t="s">
        <v>54</v>
      </c>
    </row>
    <row r="23" spans="1:6" x14ac:dyDescent="0.3">
      <c r="E23" s="100"/>
    </row>
    <row r="25" spans="1:6" ht="14.5" x14ac:dyDescent="0.35">
      <c r="A25" s="101"/>
    </row>
  </sheetData>
  <mergeCells count="4">
    <mergeCell ref="A2:F2"/>
    <mergeCell ref="B4:D4"/>
    <mergeCell ref="E4:F4"/>
    <mergeCell ref="B3:F3"/>
  </mergeCells>
  <pageMargins left="0.25" right="0.25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2019-05-24T07:00:00+00:00</OpenedDate>
    <Date1 xmlns="dc463f71-b30c-4ab2-9473-d307f9d35888">2019-05-24T07:00:00+00:00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190411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E39B697837314491696B6DF643956D" ma:contentTypeVersion="56" ma:contentTypeDescription="" ma:contentTypeScope="" ma:versionID="2219ea1690cc47f4ec4b599cc20368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52347-C971-4FC1-8E45-FB0E16866E1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C98649-89BD-41A7-B1B7-01080D3FE9C0}"/>
</file>

<file path=customXml/itemProps4.xml><?xml version="1.0" encoding="utf-8"?>
<ds:datastoreItem xmlns:ds="http://schemas.openxmlformats.org/officeDocument/2006/customXml" ds:itemID="{732C467E-51D8-4C9B-AA3A-9BF926CDF8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(2)(a)(i) One Time (all)</vt:lpstr>
      <vt:lpstr>(2)(a)(ii)Annual-2019, estimate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Barnard, Kathie</cp:lastModifiedBy>
  <cp:lastPrinted>2018-05-25T22:15:40Z</cp:lastPrinted>
  <dcterms:created xsi:type="dcterms:W3CDTF">2016-07-07T17:22:29Z</dcterms:created>
  <dcterms:modified xsi:type="dcterms:W3CDTF">2019-05-18T21:08:51Z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0x0101006E56B4D1795A2E4DB2F0B01679ED314A0068E39B697837314491696B6DF643956D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