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96" yWindow="855" windowWidth="18765" windowHeight="11580" tabRatio="665" activeTab="1"/>
  </bookViews>
  <sheets>
    <sheet name="Summary" sheetId="1" r:id="rId1"/>
    <sheet name="ProF" sheetId="2" r:id="rId2"/>
    <sheet name="nonrg" sheetId="3" r:id="rId3"/>
    <sheet name="sum" sheetId="4" r:id="rId4"/>
    <sheet name="df" sheetId="5" r:id="rId5"/>
    <sheet name="pr" sheetId="6" r:id="rId6"/>
    <sheet name="oth" sheetId="7" r:id="rId7"/>
    <sheet name="debt" sheetId="8" r:id="rId8"/>
    <sheet name="Depr" sheetId="9" r:id="rId9"/>
    <sheet name="Bal Sh" sheetId="10" r:id="rId10"/>
    <sheet name="prcout_impact" sheetId="11" r:id="rId11"/>
    <sheet name="LGGarb" sheetId="12" r:id="rId12"/>
    <sheet name="Sheet1" sheetId="13" r:id="rId13"/>
  </sheets>
  <externalReferences>
    <externalReference r:id="rId16"/>
    <externalReference r:id="rId17"/>
  </externalReferences>
  <definedNames>
    <definedName name="AffilRent">'Depr'!$B$234:$P$249</definedName>
    <definedName name="Coststudy">#REF!</definedName>
    <definedName name="Depr">'Depr'!$B$10:$P$247</definedName>
    <definedName name="Detail">'ProF'!#REF!</definedName>
    <definedName name="DispRates">#REF!</definedName>
    <definedName name="Matrix">#REF!</definedName>
    <definedName name="NONRECAP">#REF!</definedName>
    <definedName name="OLE_LINK1" localSheetId="8">'Depr'!#REF!</definedName>
    <definedName name="Payroll">'pr'!#REF!</definedName>
    <definedName name="PFADJ">'ProF'!$Z$1:$AF$63</definedName>
    <definedName name="PFREVB4">#REF!</definedName>
    <definedName name="REVDETAIL">#REF!</definedName>
    <definedName name="RevEquipAlloc">'Depr'!$A$3:$AB$77</definedName>
    <definedName name="REVMAT">#REF!</definedName>
    <definedName name="RteStudy">#REF!</definedName>
    <definedName name="SEPARATE">#REF!</definedName>
    <definedName name="Separation">'ProF'!#REF!</definedName>
    <definedName name="STFPF">'ProF'!$C$1:$P$58</definedName>
    <definedName name="STFRESTATE">'ProF'!$S$1:$X$63</definedName>
  </definedNames>
  <calcPr fullCalcOnLoad="1" iterate="1" iterateCount="1" iterateDelta="0.001"/>
</workbook>
</file>

<file path=xl/comments10.xml><?xml version="1.0" encoding="utf-8"?>
<comments xmlns="http://schemas.openxmlformats.org/spreadsheetml/2006/main">
  <authors>
    <author>Bob</author>
  </authors>
  <commentList>
    <comment ref="A1" authorId="0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outside CPA info and calculations
</t>
        </r>
      </text>
    </comment>
  </commentList>
</comments>
</file>

<file path=xl/comments11.xml><?xml version="1.0" encoding="utf-8"?>
<comments xmlns="http://schemas.openxmlformats.org/spreadsheetml/2006/main">
  <authors>
    <author>Bob Cole</author>
  </authors>
  <commentList>
    <comment ref="A2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Client billing system used for various billing codes</t>
        </r>
      </text>
    </comment>
    <comment ref="B4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customer counts from billing system</t>
        </r>
      </text>
    </comment>
    <comment ref="G4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refuse rev generation</t>
        </r>
      </text>
    </comment>
    <comment ref="J4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impact proposed rates
</t>
        </r>
      </text>
    </comment>
  </commentList>
</comments>
</file>

<file path=xl/comments12.xml><?xml version="1.0" encoding="utf-8"?>
<comments xmlns="http://schemas.openxmlformats.org/spreadsheetml/2006/main">
  <authors>
    <author>Bob Cole</author>
  </authors>
  <commentList>
    <comment ref="G3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refuse operations information </t>
        </r>
      </text>
    </comment>
  </commentList>
</comments>
</file>

<file path=xl/comments2.xml><?xml version="1.0" encoding="utf-8"?>
<comments xmlns="http://schemas.openxmlformats.org/spreadsheetml/2006/main">
  <authors>
    <author>Bob Cole</author>
    <author>Bob</author>
  </authors>
  <commentList>
    <comment ref="H3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per removing restating information
</t>
        </r>
      </text>
    </comment>
    <comment ref="J3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calculated columns
</t>
        </r>
      </text>
    </comment>
    <comment ref="M3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 proposed percentage increases in rates
</t>
        </r>
      </text>
    </comment>
    <comment ref="N3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caluculated columns
</t>
        </r>
      </text>
    </comment>
    <comment ref="F3" authorId="1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Income/expenses from outside CPA prepared information statements
</t>
        </r>
      </text>
    </comment>
    <comment ref="G3" authorId="1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restating adjustments from restating info </t>
        </r>
      </text>
    </comment>
    <comment ref="I3" authorId="1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proforma adjustment from proforma column recap
</t>
        </r>
      </text>
    </comment>
    <comment ref="U5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df pass thru
</t>
        </r>
      </text>
    </comment>
    <comment ref="U6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remove scrap sales</t>
        </r>
      </text>
    </comment>
    <comment ref="U7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df pass thr per schedule</t>
        </r>
      </text>
    </comment>
    <comment ref="V11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adj int</t>
        </r>
      </text>
    </comment>
    <comment ref="U23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adjust scrap exp</t>
        </r>
      </text>
    </comment>
    <comment ref="U26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d/f pass thru</t>
        </r>
      </text>
    </comment>
    <comment ref="U27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df pass thru</t>
        </r>
      </text>
    </comment>
    <comment ref="W33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per depr sch/assets
</t>
        </r>
      </text>
    </comment>
    <comment ref="W41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remove 20% sal other work</t>
        </r>
      </text>
    </comment>
    <comment ref="V44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remove affil rent
</t>
        </r>
      </text>
    </comment>
    <comment ref="AB7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increas due to new tonnage rate</t>
        </r>
      </text>
    </comment>
    <comment ref="AB26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increase packer $</t>
        </r>
      </text>
    </comment>
    <comment ref="AB27" authorId="1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increase p/f</t>
        </r>
      </text>
    </comment>
    <comment ref="AD39" authorId="1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notice cost</t>
        </r>
      </text>
    </comment>
    <comment ref="AC43" authorId="1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case costs
</t>
        </r>
      </text>
    </comment>
  </commentList>
</comments>
</file>

<file path=xl/comments3.xml><?xml version="1.0" encoding="utf-8"?>
<comments xmlns="http://schemas.openxmlformats.org/spreadsheetml/2006/main">
  <authors>
    <author>Bob Cole</author>
    <author>Bob</author>
  </authors>
  <commentList>
    <comment ref="K17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calculated UTC regulated percentage </t>
        </r>
      </text>
    </comment>
    <comment ref="L17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math check for total</t>
        </r>
      </text>
    </comment>
    <comment ref="L18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math check</t>
        </r>
      </text>
    </comment>
    <comment ref="L19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math check</t>
        </r>
      </text>
    </comment>
    <comment ref="C3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company departmentalizes revenue
</t>
        </r>
      </text>
    </comment>
    <comment ref="H3" authorId="1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City contract revenue and expenses
</t>
        </r>
      </text>
    </comment>
    <comment ref="C17" authorId="1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city allocation per client
</t>
        </r>
      </text>
    </comment>
  </commentList>
</comments>
</file>

<file path=xl/comments5.xml><?xml version="1.0" encoding="utf-8"?>
<comments xmlns="http://schemas.openxmlformats.org/spreadsheetml/2006/main">
  <authors>
    <author>Bob Cole</author>
  </authors>
  <commentList>
    <comment ref="A2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tonnage per client detail per month
</t>
        </r>
      </text>
    </comment>
  </commentList>
</comments>
</file>

<file path=xl/comments6.xml><?xml version="1.0" encoding="utf-8"?>
<comments xmlns="http://schemas.openxmlformats.org/spreadsheetml/2006/main">
  <authors>
    <author>Bob</author>
  </authors>
  <commentList>
    <comment ref="B3" authorId="0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client data per their general ledger payroll module info
</t>
        </r>
      </text>
    </comment>
  </commentList>
</comments>
</file>

<file path=xl/comments7.xml><?xml version="1.0" encoding="utf-8"?>
<comments xmlns="http://schemas.openxmlformats.org/spreadsheetml/2006/main">
  <authors>
    <author>Bob</author>
  </authors>
  <commentList>
    <comment ref="A1" authorId="0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other proforma increases and calculations
</t>
        </r>
      </text>
    </comment>
  </commentList>
</comments>
</file>

<file path=xl/comments8.xml><?xml version="1.0" encoding="utf-8"?>
<comments xmlns="http://schemas.openxmlformats.org/spreadsheetml/2006/main">
  <authors>
    <author>Bob Cole</author>
  </authors>
  <commentList>
    <comment ref="A2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information from outside cpa financial and obligation documents supplied by company</t>
        </r>
      </text>
    </comment>
    <comment ref="A6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debt from outside cpa provided financial stmts</t>
        </r>
      </text>
    </comment>
    <comment ref="I8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average interest rate on long term debt from company info note info. </t>
        </r>
      </text>
    </comment>
  </commentList>
</comments>
</file>

<file path=xl/comments9.xml><?xml version="1.0" encoding="utf-8"?>
<comments xmlns="http://schemas.openxmlformats.org/spreadsheetml/2006/main">
  <authors>
    <author>Bob Cole</author>
    <author>White, Amy (UTC)</author>
  </authors>
  <commentList>
    <comment ref="B10" authorId="0">
      <text>
        <r>
          <rPr>
            <b/>
            <sz val="9"/>
            <rFont val="Tahoma"/>
            <family val="2"/>
          </rPr>
          <t>Bob Cole:</t>
        </r>
        <r>
          <rPr>
            <sz val="9"/>
            <rFont val="Tahoma"/>
            <family val="2"/>
          </rPr>
          <t xml:space="preserve">
depr schedule per client. Client uses other
method for book/tax.
</t>
        </r>
      </text>
    </comment>
    <comment ref="M123" authorId="1">
      <text>
        <r>
          <rPr>
            <b/>
            <sz val="9"/>
            <rFont val="Tahoma"/>
            <family val="2"/>
          </rPr>
          <t>White, Amy (UTC):</t>
        </r>
        <r>
          <rPr>
            <sz val="9"/>
            <rFont val="Tahoma"/>
            <family val="2"/>
          </rPr>
          <t xml:space="preserve">
Formula as entered by company is incorrect, does not include last item on list</t>
        </r>
      </text>
    </comment>
    <comment ref="Q123" authorId="1">
      <text>
        <r>
          <rPr>
            <b/>
            <sz val="9"/>
            <rFont val="Tahoma"/>
            <family val="2"/>
          </rPr>
          <t>White, Amy (UTC):</t>
        </r>
        <r>
          <rPr>
            <sz val="9"/>
            <rFont val="Tahoma"/>
            <family val="2"/>
          </rPr>
          <t xml:space="preserve">
Formula as entered by company is incorrect, does not include last item on list</t>
        </r>
      </text>
    </comment>
  </commentList>
</comments>
</file>

<file path=xl/sharedStrings.xml><?xml version="1.0" encoding="utf-8"?>
<sst xmlns="http://schemas.openxmlformats.org/spreadsheetml/2006/main" count="4621" uniqueCount="1925">
  <si>
    <t>Total Revenue</t>
  </si>
  <si>
    <t>Expenses</t>
  </si>
  <si>
    <t>Total Expenses</t>
  </si>
  <si>
    <t>NOI</t>
  </si>
  <si>
    <t>Op Ratio</t>
  </si>
  <si>
    <t>Total</t>
  </si>
  <si>
    <t>Per Books</t>
  </si>
  <si>
    <t>Restating</t>
  </si>
  <si>
    <t>ProForma</t>
  </si>
  <si>
    <t>Effect of</t>
  </si>
  <si>
    <t>Proforma</t>
  </si>
  <si>
    <t>RA-1</t>
  </si>
  <si>
    <t>PA-1</t>
  </si>
  <si>
    <t>PA-2</t>
  </si>
  <si>
    <t>PA-3</t>
  </si>
  <si>
    <t>Adjusted</t>
  </si>
  <si>
    <t>Rates</t>
  </si>
  <si>
    <t>Payroll</t>
  </si>
  <si>
    <t>Rate Case</t>
  </si>
  <si>
    <t>Revenue</t>
  </si>
  <si>
    <t>&amp; Related</t>
  </si>
  <si>
    <t>rate</t>
  </si>
  <si>
    <t>j</t>
  </si>
  <si>
    <t>f</t>
  </si>
  <si>
    <t>m</t>
  </si>
  <si>
    <t>a</t>
  </si>
  <si>
    <t>s</t>
  </si>
  <si>
    <t>o</t>
  </si>
  <si>
    <t>n</t>
  </si>
  <si>
    <t>d</t>
  </si>
  <si>
    <t>proforma</t>
  </si>
  <si>
    <t>Incr (dec)</t>
  </si>
  <si>
    <t>Disposal fees</t>
  </si>
  <si>
    <t>avg</t>
  </si>
  <si>
    <t>Adj</t>
  </si>
  <si>
    <t>Depreciation Sched.</t>
  </si>
  <si>
    <t>Life to 1st</t>
  </si>
  <si>
    <t>Reserve</t>
  </si>
  <si>
    <t>TY Depr</t>
  </si>
  <si>
    <t>Avg</t>
  </si>
  <si>
    <t>Asset</t>
  </si>
  <si>
    <t>Life</t>
  </si>
  <si>
    <t>Acq. Date</t>
  </si>
  <si>
    <t>day of TY</t>
  </si>
  <si>
    <t>Cost</t>
  </si>
  <si>
    <t>Salv</t>
  </si>
  <si>
    <t>Net</t>
  </si>
  <si>
    <t>Annl Depr</t>
  </si>
  <si>
    <t xml:space="preserve"> @ Begin</t>
  </si>
  <si>
    <t>Exp</t>
  </si>
  <si>
    <t xml:space="preserve"> @ End</t>
  </si>
  <si>
    <t>Rate Base</t>
  </si>
  <si>
    <t>Extras</t>
  </si>
  <si>
    <t>Allocated Depr Exp</t>
  </si>
  <si>
    <t>Allocated Rate Base</t>
  </si>
  <si>
    <t>RA-2</t>
  </si>
  <si>
    <t>Total  b/4</t>
  </si>
  <si>
    <t>Separations</t>
  </si>
  <si>
    <t>SubTotal</t>
  </si>
  <si>
    <t xml:space="preserve">Regulated </t>
  </si>
  <si>
    <t>mtd</t>
  </si>
  <si>
    <t xml:space="preserve"> % Revenue</t>
  </si>
  <si>
    <t>A</t>
  </si>
  <si>
    <t>B</t>
  </si>
  <si>
    <t>C</t>
  </si>
  <si>
    <t>dir</t>
  </si>
  <si>
    <t xml:space="preserve"> A</t>
  </si>
  <si>
    <t>Total Exp</t>
  </si>
  <si>
    <t>UTC Regulated Operations</t>
  </si>
  <si>
    <t>Refuse Collection</t>
  </si>
  <si>
    <t>X</t>
  </si>
  <si>
    <t>N/A</t>
  </si>
  <si>
    <t>Multi Fam Recy</t>
  </si>
  <si>
    <t>Res Yardwaste</t>
  </si>
  <si>
    <t>Non Regulated operations</t>
  </si>
  <si>
    <t>Tot Comp.</t>
  </si>
  <si>
    <t>b/4 Sep</t>
  </si>
  <si>
    <t>b/4 rates</t>
  </si>
  <si>
    <t>Proposed</t>
  </si>
  <si>
    <t>Description</t>
  </si>
  <si>
    <t xml:space="preserve"> %</t>
  </si>
  <si>
    <t xml:space="preserve"> w/rates</t>
  </si>
  <si>
    <t>Ofc mgr -  admin</t>
  </si>
  <si>
    <t xml:space="preserve">adj to </t>
  </si>
  <si>
    <t>Driver -</t>
  </si>
  <si>
    <t xml:space="preserve">Other </t>
  </si>
  <si>
    <t>Source: Balance Sheets/ loan obligation files/documents</t>
  </si>
  <si>
    <t>Total Assets</t>
  </si>
  <si>
    <t>current liab</t>
  </si>
  <si>
    <t>total debt</t>
  </si>
  <si>
    <t>equity</t>
  </si>
  <si>
    <t>int rate</t>
  </si>
  <si>
    <t xml:space="preserve"> # Cust </t>
  </si>
  <si>
    <t>Gar</t>
  </si>
  <si>
    <t>MFR</t>
  </si>
  <si>
    <t>Curb</t>
  </si>
  <si>
    <t>MW</t>
  </si>
  <si>
    <t>YW</t>
  </si>
  <si>
    <t>-</t>
  </si>
  <si>
    <t>Utc Case costs</t>
  </si>
  <si>
    <t>Prof fee regarding rates filing</t>
  </si>
  <si>
    <t>Non-Reg/oth</t>
  </si>
  <si>
    <t>First Day-Test Yr:</t>
  </si>
  <si>
    <t>tons</t>
  </si>
  <si>
    <t>LIST OF NON-REGULATED OPERATIONS</t>
  </si>
  <si>
    <t>Long Term debt</t>
  </si>
  <si>
    <t>Proforma payroll info</t>
  </si>
  <si>
    <t>Worksheet</t>
  </si>
  <si>
    <t>Address</t>
  </si>
  <si>
    <t>Formula</t>
  </si>
  <si>
    <t>Hardcoded Numbers</t>
  </si>
  <si>
    <t>line number</t>
  </si>
  <si>
    <t>comment</t>
  </si>
  <si>
    <t>M</t>
  </si>
  <si>
    <t>yes</t>
  </si>
  <si>
    <t xml:space="preserve">Equity </t>
  </si>
  <si>
    <t>Assets</t>
  </si>
  <si>
    <t xml:space="preserve">  Total Current Assets </t>
  </si>
  <si>
    <t>Fixed Assets</t>
  </si>
  <si>
    <t>Land</t>
  </si>
  <si>
    <t>Property and Equipment</t>
  </si>
  <si>
    <t>Acc Depr</t>
  </si>
  <si>
    <t xml:space="preserve">  Net Fixed Assets</t>
  </si>
  <si>
    <t>Other Assets</t>
  </si>
  <si>
    <t xml:space="preserve">  Net Other Assets </t>
  </si>
  <si>
    <t xml:space="preserve">TOTAL ASSETS </t>
  </si>
  <si>
    <t>Liabilities</t>
  </si>
  <si>
    <t>Current Liabilities</t>
  </si>
  <si>
    <t xml:space="preserve"> Total current liabilities </t>
  </si>
  <si>
    <t xml:space="preserve">Long-Term Liabilities </t>
  </si>
  <si>
    <t xml:space="preserve">  Total long-term liabilities </t>
  </si>
  <si>
    <t xml:space="preserve">Stockholders' Equity </t>
  </si>
  <si>
    <t xml:space="preserve">Common stock </t>
  </si>
  <si>
    <t xml:space="preserve">Retained earnings </t>
  </si>
  <si>
    <t xml:space="preserve">  Total Stockholders' Equity </t>
  </si>
  <si>
    <t>Company's actual per b/s</t>
  </si>
  <si>
    <t>Year-end</t>
  </si>
  <si>
    <t>Current Principal</t>
  </si>
  <si>
    <t>% of Total</t>
  </si>
  <si>
    <t>Interest Rate</t>
  </si>
  <si>
    <t>Weighted Cost</t>
  </si>
  <si>
    <t xml:space="preserve">     WEIGHTED AVERAGE COST OF CAPITAL </t>
  </si>
  <si>
    <t xml:space="preserve">NEW IMPROVED LURITO - GALLAGHER FORMULA </t>
  </si>
  <si>
    <t>Garb Only</t>
  </si>
  <si>
    <t>!??!</t>
  </si>
  <si>
    <t>OP/RATIO</t>
  </si>
  <si>
    <t xml:space="preserve">      curve</t>
  </si>
  <si>
    <t>Revenue Req.</t>
  </si>
  <si>
    <t>(calculated)</t>
  </si>
  <si>
    <t>Avg. Capital structure</t>
  </si>
  <si>
    <t>FORMULAS</t>
  </si>
  <si>
    <t>1st Revenue</t>
  </si>
  <si>
    <t>1st Turnover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</si>
  <si>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</si>
  <si>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</si>
  <si>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</si>
  <si>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</si>
  <si>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</si>
  <si>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</si>
  <si>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</si>
  <si>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</si>
  <si>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</si>
  <si>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</si>
  <si>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</si>
  <si>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 Debt Ratio</t>
  </si>
  <si>
    <t xml:space="preserve"> 1. less than 50</t>
  </si>
  <si>
    <t>@EXP(5.72260-(.68367*@LN(T)))</t>
  </si>
  <si>
    <t>Revenue Deficiency</t>
  </si>
  <si>
    <t xml:space="preserve">  Pfd. Ratio</t>
  </si>
  <si>
    <t xml:space="preserve"> 2. Between 50 and 125</t>
  </si>
  <si>
    <t>@EXP(5.70827-(.68367*@LN(T)))</t>
  </si>
  <si>
    <t>*</t>
  </si>
  <si>
    <t>* p/f before rates</t>
  </si>
  <si>
    <t xml:space="preserve">  Equity Ratio</t>
  </si>
  <si>
    <t xml:space="preserve"> 3. Between 125 and 140</t>
  </si>
  <si>
    <t>@EXP(5.69850-(.68367*@LN(T)))</t>
  </si>
  <si>
    <t xml:space="preserve">  Cost of Debt</t>
  </si>
  <si>
    <t xml:space="preserve"> 4. greater than 400</t>
  </si>
  <si>
    <t>@EXP(5.69220-(.68367*@LN(T)))</t>
  </si>
  <si>
    <t>Avg. Investment  -</t>
  </si>
  <si>
    <t xml:space="preserve">  Cost of Pfd.</t>
  </si>
  <si>
    <t>curve turnover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</si>
  <si>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</si>
  <si>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</si>
  <si>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</si>
  <si>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</si>
  <si>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</si>
  <si>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</si>
  <si>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</si>
  <si>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</si>
  <si>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</si>
  <si>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</si>
  <si>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</si>
  <si>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</si>
  <si>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</si>
  <si>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</si>
  <si>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</si>
  <si>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</si>
  <si>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</si>
  <si>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</si>
  <si>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</si>
  <si>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</si>
  <si>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</si>
  <si>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5th Turnover</t>
  </si>
  <si>
    <t>6th Turnover</t>
  </si>
  <si>
    <t>7th turnover</t>
  </si>
  <si>
    <t>8th turnover</t>
  </si>
  <si>
    <t>9th turnover</t>
  </si>
  <si>
    <t>Disposal fees/ d/f Pass through</t>
  </si>
  <si>
    <t>Other-Proforma increases</t>
  </si>
  <si>
    <t>Debt/ Equity Info</t>
  </si>
  <si>
    <t>Non reg/oth Operations</t>
  </si>
  <si>
    <t xml:space="preserve">P/R info/TY ended </t>
  </si>
  <si>
    <t>D/f pass thru</t>
  </si>
  <si>
    <t>Office exp</t>
  </si>
  <si>
    <t>WUTC  Garb</t>
  </si>
  <si>
    <t>Res Curb Recycle</t>
  </si>
  <si>
    <t xml:space="preserve">math ck </t>
  </si>
  <si>
    <t xml:space="preserve">avg debt/equity info from f/s </t>
  </si>
  <si>
    <t>per/hr</t>
  </si>
  <si>
    <t>Rate/ton</t>
  </si>
  <si>
    <t xml:space="preserve"> # Man hours</t>
  </si>
  <si>
    <t>oth</t>
  </si>
  <si>
    <t>New rate</t>
  </si>
  <si>
    <t>old rate</t>
  </si>
  <si>
    <t>incr</t>
  </si>
  <si>
    <t>Intangibles-net</t>
  </si>
  <si>
    <t>used</t>
  </si>
  <si>
    <t>Mthly</t>
  </si>
  <si>
    <t>Garbage</t>
  </si>
  <si>
    <t>Count</t>
  </si>
  <si>
    <t xml:space="preserve"> # cust</t>
  </si>
  <si>
    <t>impact</t>
  </si>
  <si>
    <t>Total Monthly Revenue</t>
  </si>
  <si>
    <t xml:space="preserve"> LG   rev req</t>
  </si>
  <si>
    <t>per unit</t>
  </si>
  <si>
    <t># mailings</t>
  </si>
  <si>
    <t>envelope</t>
  </si>
  <si>
    <t>paper</t>
  </si>
  <si>
    <t>handling</t>
  </si>
  <si>
    <t>postage</t>
  </si>
  <si>
    <t>Cost of notice info  first class  81/2 by 11</t>
  </si>
  <si>
    <t>labor</t>
  </si>
  <si>
    <t>Notification costs</t>
  </si>
  <si>
    <t>Proforma Insurance</t>
  </si>
  <si>
    <t>source: insurance billings:</t>
  </si>
  <si>
    <t>Insurance per policy prior</t>
  </si>
  <si>
    <t>Insurance per policy : proforma</t>
  </si>
  <si>
    <t xml:space="preserve"> Increase-proforma</t>
  </si>
  <si>
    <t xml:space="preserve">Source:  CPA balance sheets provided in filing </t>
  </si>
  <si>
    <t>used debt 40%/equity 60% used</t>
  </si>
  <si>
    <t xml:space="preserve">Total Liabilities and S/'E </t>
  </si>
  <si>
    <t>Reg-Refuse</t>
  </si>
  <si>
    <t>ProF</t>
  </si>
  <si>
    <t>$D$6</t>
  </si>
  <si>
    <t>$W$19</t>
  </si>
  <si>
    <t>$D$22</t>
  </si>
  <si>
    <t>$D$23</t>
  </si>
  <si>
    <t>$AC$35</t>
  </si>
  <si>
    <t>0.004275</t>
  </si>
  <si>
    <t>$D$35</t>
  </si>
  <si>
    <t>0.015</t>
  </si>
  <si>
    <t>0</t>
  </si>
  <si>
    <t>$AH$39</t>
  </si>
  <si>
    <t>$V$42</t>
  </si>
  <si>
    <t>$U$53</t>
  </si>
  <si>
    <t>$U$55</t>
  </si>
  <si>
    <t>$U$56</t>
  </si>
  <si>
    <t>nonrg</t>
  </si>
  <si>
    <t>$O$18</t>
  </si>
  <si>
    <t>=1-N18</t>
  </si>
  <si>
    <t>1</t>
  </si>
  <si>
    <t>$O$19</t>
  </si>
  <si>
    <t>$M$26</t>
  </si>
  <si>
    <t>$L$30</t>
  </si>
  <si>
    <t>$L$69</t>
  </si>
  <si>
    <t>$H$21</t>
  </si>
  <si>
    <t>$M$30</t>
  </si>
  <si>
    <t>$L$58</t>
  </si>
  <si>
    <t>$L$59</t>
  </si>
  <si>
    <t>$H$60</t>
  </si>
  <si>
    <t>$L$60</t>
  </si>
  <si>
    <t>$M$60</t>
  </si>
  <si>
    <t>$M$69</t>
  </si>
  <si>
    <t>$O$69</t>
  </si>
  <si>
    <t>$E$6</t>
  </si>
  <si>
    <t>$C$6</t>
  </si>
  <si>
    <t>$E$11</t>
  </si>
  <si>
    <t>$C$9</t>
  </si>
  <si>
    <t>$C$10</t>
  </si>
  <si>
    <t>$E$15</t>
  </si>
  <si>
    <t>$C$19</t>
  </si>
  <si>
    <t>$C$11</t>
  </si>
  <si>
    <t>$B$13</t>
  </si>
  <si>
    <t>$B$14</t>
  </si>
  <si>
    <t>$B$15</t>
  </si>
  <si>
    <t>$B$17</t>
  </si>
  <si>
    <t>$D$18</t>
  </si>
  <si>
    <t>$F$76</t>
  </si>
  <si>
    <t>$H$76</t>
  </si>
  <si>
    <t>$C$8</t>
  </si>
  <si>
    <t>$F$69</t>
  </si>
  <si>
    <t>$C$69</t>
  </si>
  <si>
    <t>$F$75</t>
  </si>
  <si>
    <t>$H$75</t>
  </si>
  <si>
    <t>$K$6</t>
  </si>
  <si>
    <t>$K$7</t>
  </si>
  <si>
    <t>$K$8</t>
  </si>
  <si>
    <t>$K$9</t>
  </si>
  <si>
    <t>$E$4</t>
  </si>
  <si>
    <t>$B$12</t>
  </si>
  <si>
    <t>$B$16</t>
  </si>
  <si>
    <t>0.041</t>
  </si>
  <si>
    <t>0.14</t>
  </si>
  <si>
    <t>0.26</t>
  </si>
  <si>
    <t>$C$12</t>
  </si>
  <si>
    <t>0.12</t>
  </si>
  <si>
    <t>debt</t>
  </si>
  <si>
    <t>$E$12</t>
  </si>
  <si>
    <t>=(D12+C12)/2</t>
  </si>
  <si>
    <t>2</t>
  </si>
  <si>
    <t>=(D15+C15)/2</t>
  </si>
  <si>
    <t>$E$16</t>
  </si>
  <si>
    <t>=(D16+C16)/2</t>
  </si>
  <si>
    <t>=SUM(D31:D33)/1</t>
  </si>
  <si>
    <t>$F$35</t>
  </si>
  <si>
    <t>=SUM(F31:F33)/1</t>
  </si>
  <si>
    <t>$E$21</t>
  </si>
  <si>
    <t>$C$33</t>
  </si>
  <si>
    <t>$F$33</t>
  </si>
  <si>
    <t xml:space="preserve">dues </t>
  </si>
  <si>
    <t xml:space="preserve"> ben</t>
  </si>
  <si>
    <t>4</t>
  </si>
  <si>
    <t>8</t>
  </si>
  <si>
    <t>Depr</t>
  </si>
  <si>
    <t>$L$18</t>
  </si>
  <si>
    <t>=IF(F18&lt;0,0,IF(F18&lt;=C18,J18*F18,I18))</t>
  </si>
  <si>
    <t>$M$18</t>
  </si>
  <si>
    <t>=IF(L18=0,(1+F18)*J18,IF(J18&lt;=(I18-L18),J18,(I18-L18)))</t>
  </si>
  <si>
    <t>0, 1</t>
  </si>
  <si>
    <t>=IF(L18=0,(G18/2)-(M18/2),G18-((N18+L18)/2))</t>
  </si>
  <si>
    <t>0, 2, 2, 2</t>
  </si>
  <si>
    <t>$L$19</t>
  </si>
  <si>
    <t>=IF(F19&lt;0,0,IF(F19&lt;=C19,J19*F19,I19))</t>
  </si>
  <si>
    <t>$M$19</t>
  </si>
  <si>
    <t>=IF(L19=0,(1+F19)*J19,IF(J19&lt;=(I19-L19),J19,(I19-L19)))</t>
  </si>
  <si>
    <t>=IF(L19=0,(G19/2)-(M19/2),G19-((N19+L19)/2))</t>
  </si>
  <si>
    <t>$L$20</t>
  </si>
  <si>
    <t>=IF(F20&lt;0,0,IF(F20&lt;=C20,J20*F20,I20))</t>
  </si>
  <si>
    <t>$M$20</t>
  </si>
  <si>
    <t>=IF(L20=0,(1+F20)*J20,IF(J20&lt;=(I20-L20),J20,(I20-L20)))</t>
  </si>
  <si>
    <t>$O$20</t>
  </si>
  <si>
    <t>=IF(L20=0,(G20/2)-(M20/2),G20-((N20+L20)/2))</t>
  </si>
  <si>
    <t>$F$18</t>
  </si>
  <si>
    <t>=($F$10-E18)/365</t>
  </si>
  <si>
    <t>365</t>
  </si>
  <si>
    <t>$F$19</t>
  </si>
  <si>
    <t>=($F$10-E19)/365</t>
  </si>
  <si>
    <t>$F$20</t>
  </si>
  <si>
    <t>=($F$10-E20)/365</t>
  </si>
  <si>
    <t>$F$23</t>
  </si>
  <si>
    <t>=($F$10-E23)/365</t>
  </si>
  <si>
    <t>$L$23</t>
  </si>
  <si>
    <t>=IF(F23&lt;0,0,IF(F23&lt;=C23,J23*F23,I23))</t>
  </si>
  <si>
    <t>$M$23</t>
  </si>
  <si>
    <t>=IF(L23=0,(1+F23)*J23,IF(J23&lt;=(I23-L23),J23,(I23-L23)))</t>
  </si>
  <si>
    <t>$O$23</t>
  </si>
  <si>
    <t>=IF(L23=0,(G23/2)-(M23/2),G23-((N23+L23)/2))</t>
  </si>
  <si>
    <t>$F$26</t>
  </si>
  <si>
    <t>=($F$10-E26)/365</t>
  </si>
  <si>
    <t>=IF(L26=0,(1+F26)*J26,IF(J26&lt;=(I26-L26),J26,(I26-L26)))</t>
  </si>
  <si>
    <t>$O$26</t>
  </si>
  <si>
    <t>=IF(L26=0,(G26/2)-(M26/2),G26-((N26+L26)/2))</t>
  </si>
  <si>
    <t>$F$30</t>
  </si>
  <si>
    <t>=($F$10-E30)/365</t>
  </si>
  <si>
    <t>=IF(F30&lt;0,0,IF(F30&lt;=C30,J30*F30,I30))</t>
  </si>
  <si>
    <t>=IF(L30=0,(1+F30)*J30,IF(J30&lt;=(I30-L30),J30,(I30-L30)))</t>
  </si>
  <si>
    <t>$O$30</t>
  </si>
  <si>
    <t>=IF(L30=0,(G30/2)-(M30/2),G30-((N30+L30)/2))</t>
  </si>
  <si>
    <t>$T$31</t>
  </si>
  <si>
    <t>=$M$31*nonrg!H17+8</t>
  </si>
  <si>
    <t>$L$33</t>
  </si>
  <si>
    <t>=IF(F33&lt;0,0,IF(F33&lt;=C33,J33*F33,I33))</t>
  </si>
  <si>
    <t>$M$33</t>
  </si>
  <si>
    <t>=IF(L33=0,(1+F33)*J33,IF(J33&lt;=(I33-L33),J33,(I33-L33)))</t>
  </si>
  <si>
    <t>$O$33</t>
  </si>
  <si>
    <t>=IF(L33=0,(G33/2)-(M33/2),G33-((N33+L33)/2))</t>
  </si>
  <si>
    <t>$L$34</t>
  </si>
  <si>
    <t>=IF(F34&lt;0,0,IF(F34&lt;=C34,J34*F34,I34))</t>
  </si>
  <si>
    <t>$M$34</t>
  </si>
  <si>
    <t>=IF(L34=0,(1+F34)*J34,IF(J34&lt;=(I34-L34),J34,(I34-L34)))</t>
  </si>
  <si>
    <t>$O$34</t>
  </si>
  <si>
    <t>=IF(L34=0,(G34/2)-(M34/2),G34-((N34+L34)/2))</t>
  </si>
  <si>
    <t>=($F$10-E33)/365</t>
  </si>
  <si>
    <t>$F$34</t>
  </si>
  <si>
    <t>=($F$10-E34)/365</t>
  </si>
  <si>
    <t>$F$37</t>
  </si>
  <si>
    <t>=($F$10-E37)/365</t>
  </si>
  <si>
    <t>$L$37</t>
  </si>
  <si>
    <t>=IF(F37&lt;0,0,IF(F37&lt;=C37,J37*F37,I37))</t>
  </si>
  <si>
    <t>$M$37</t>
  </si>
  <si>
    <t>=IF(L37=0,(1+F37)*J37,IF(J37&lt;=(I37-L37),J37,(I37-L37)))</t>
  </si>
  <si>
    <t>$O$37</t>
  </si>
  <si>
    <t>=IF(L37=0,(G37/2)-(M37/2),G37-((N37+L37)/2))</t>
  </si>
  <si>
    <t>$F$41</t>
  </si>
  <si>
    <t>=($F$10-E41)/365</t>
  </si>
  <si>
    <t>$M$41</t>
  </si>
  <si>
    <t>=IF(L41=0,(1+F41)*J41,IF(J41&lt;=(I41-L41),J41,(I41-L41)))</t>
  </si>
  <si>
    <t>$O$41</t>
  </si>
  <si>
    <t>=IF(L41=0,(G41/2)-(M41/2),G41-((N41+L41)/2))</t>
  </si>
  <si>
    <t>$F$46</t>
  </si>
  <si>
    <t>=($F$10-E46)/365</t>
  </si>
  <si>
    <t>$L$46</t>
  </si>
  <si>
    <t>=IF(F46&lt;0,0,IF(F46&lt;=C46,J46*F46,I46))</t>
  </si>
  <si>
    <t>$M$46</t>
  </si>
  <si>
    <t>=IF(L46=0,(1+F46)*J46,IF(J46&lt;=(I46-L46),J46,(I46-L46)))</t>
  </si>
  <si>
    <t>$O$46</t>
  </si>
  <si>
    <t>=IF(L46=0,(G46/2)-(M46/2),G46-((N46+L46)/2))</t>
  </si>
  <si>
    <t>$L$50</t>
  </si>
  <si>
    <t>=IF(F50&lt;0,0,IF(F50&lt;=C50,J50*F50,I50))</t>
  </si>
  <si>
    <t>$M$50</t>
  </si>
  <si>
    <t>=IF(L50=0,(1+F50)*J50,IF(J50&lt;=(I50-L50),J50,(I50-L50)))</t>
  </si>
  <si>
    <t>$O$50</t>
  </si>
  <si>
    <t>=IF(L50=0,(G50/2)-(M50/2),G50-((N50+L50)/2))</t>
  </si>
  <si>
    <t>$L$51</t>
  </si>
  <si>
    <t>=IF(F51&lt;0,0,IF(F51&lt;=C51,J51*F51,I51))</t>
  </si>
  <si>
    <t>$M$51</t>
  </si>
  <si>
    <t>=IF(L51=0,(1+F51)*J51,IF(J51&lt;=(I51-L51),J51,(I51-L51)))</t>
  </si>
  <si>
    <t>$O$51</t>
  </si>
  <si>
    <t>=IF(L51=0,(G51/2)-(M51/2),G51-((N51+L51)/2))</t>
  </si>
  <si>
    <t>$L$52</t>
  </si>
  <si>
    <t>=IF(F52&lt;0,0,IF(F52&lt;=C52,J52*F52,I52))</t>
  </si>
  <si>
    <t>$M$52</t>
  </si>
  <si>
    <t>=IF(L52=0,(1+F52)*J52,IF(J52&lt;=(I52-L52),J52,(I52-L52)))</t>
  </si>
  <si>
    <t>$O$52</t>
  </si>
  <si>
    <t>=IF(L52=0,(G52/2)-(M52/2),G52-((N52+L52)/2))</t>
  </si>
  <si>
    <t>$F$50</t>
  </si>
  <si>
    <t>=($F$10-E50)/365</t>
  </si>
  <si>
    <t>$F$51</t>
  </si>
  <si>
    <t>=($F$10-E51)/365</t>
  </si>
  <si>
    <t>$F$52</t>
  </si>
  <si>
    <t>=($F$10-E52)/365</t>
  </si>
  <si>
    <t>$S$51</t>
  </si>
  <si>
    <t>=M51*0.8</t>
  </si>
  <si>
    <t>0.8</t>
  </si>
  <si>
    <t>$Y$51</t>
  </si>
  <si>
    <t>=O51*0.8</t>
  </si>
  <si>
    <t>$L$56</t>
  </si>
  <si>
    <t>=IF(F56&lt;0,0,IF(F56&lt;=C56,J56*F56,I56))</t>
  </si>
  <si>
    <t>$M$56</t>
  </si>
  <si>
    <t>=IF(L56=0,(1+F56)*J56,IF(J56&lt;=(I56-L56),J56,(I56-L56)))</t>
  </si>
  <si>
    <t>$O$56</t>
  </si>
  <si>
    <t>=IF(L56=0,(G56/2)-(M56/2),G56-((N56+L56)/2))</t>
  </si>
  <si>
    <t>$L$57</t>
  </si>
  <si>
    <t>=IF(F57&lt;0,0,IF(F57&lt;=C57,J57*F57,I57))</t>
  </si>
  <si>
    <t>$M$57</t>
  </si>
  <si>
    <t>=IF(L57=0,(1+F57)*J57,IF(J57&lt;=(I57-L57),J57,(I57-L57)))</t>
  </si>
  <si>
    <t>$O$57</t>
  </si>
  <si>
    <t>=IF(L57=0,(G57/2)-(M57/2),G57-((N57+L57)/2))</t>
  </si>
  <si>
    <t>=IF(F58&lt;0,0,IF(F58&lt;=C58,J58*F58,I58))</t>
  </si>
  <si>
    <t>$M$58</t>
  </si>
  <si>
    <t>=IF(L58=0,(1+F58)*J58,IF(J58&lt;=(I58-L58),J58,(I58-L58)))</t>
  </si>
  <si>
    <t>$O$58</t>
  </si>
  <si>
    <t>=IF(L58=0,(G58/2)-(M58/2),G58-((N58+L58)/2))</t>
  </si>
  <si>
    <t>=IF(F59&lt;0,0,IF(F59&lt;=C59,J59*F59,I59))</t>
  </si>
  <si>
    <t>$M$59</t>
  </si>
  <si>
    <t>=IF(L59=0,(1+F59)*J59,IF(J59&lt;=(I59-L59),J59,(I59-L59)))</t>
  </si>
  <si>
    <t>$O$59</t>
  </si>
  <si>
    <t>=IF(L59=0,(G59/2)-(M59/2),G59-((N59+L59)/2))</t>
  </si>
  <si>
    <t>=IF(F60&lt;0,0,IF(F60&lt;=C60,J60*F60,I60))</t>
  </si>
  <si>
    <t>=IF(L60=0,(1+F60)*J60,IF(J60&lt;=(I60-L60),J60,(I60-L60)))</t>
  </si>
  <si>
    <t>$O$60</t>
  </si>
  <si>
    <t>=IF(L60=0,(G60/2)-(M60/2),G60-((N60+L60)/2))</t>
  </si>
  <si>
    <t>$Q$59</t>
  </si>
  <si>
    <t>=M59*0.25</t>
  </si>
  <si>
    <t>0.25</t>
  </si>
  <si>
    <t>$R$59</t>
  </si>
  <si>
    <t>=M59*0.5</t>
  </si>
  <si>
    <t>0.5</t>
  </si>
  <si>
    <t>$S$59</t>
  </si>
  <si>
    <t>$Q$60</t>
  </si>
  <si>
    <t>=M60*0.25</t>
  </si>
  <si>
    <t>$R$60</t>
  </si>
  <si>
    <t>=M60*0.5</t>
  </si>
  <si>
    <t>$S$60</t>
  </si>
  <si>
    <t>$W$59</t>
  </si>
  <si>
    <t>=O59*0.25</t>
  </si>
  <si>
    <t>$X$59</t>
  </si>
  <si>
    <t>=O59*0.5</t>
  </si>
  <si>
    <t>$Y$59</t>
  </si>
  <si>
    <t>$W$60</t>
  </si>
  <si>
    <t>=O60*0.25</t>
  </si>
  <si>
    <t>$X$60</t>
  </si>
  <si>
    <t>=O60*0.5</t>
  </si>
  <si>
    <t>$Y$60</t>
  </si>
  <si>
    <t>$F$56</t>
  </si>
  <si>
    <t>=($F$10-E56)/365</t>
  </si>
  <si>
    <t>$F$57</t>
  </si>
  <si>
    <t>=($F$10-E57)/365</t>
  </si>
  <si>
    <t>$F$58</t>
  </si>
  <si>
    <t>=($F$10-E58)/365</t>
  </si>
  <si>
    <t>$F$59</t>
  </si>
  <si>
    <t>=($F$10-E59)/365</t>
  </si>
  <si>
    <t>$F$60</t>
  </si>
  <si>
    <t>=($F$10-E60)/365</t>
  </si>
  <si>
    <t>$L$65</t>
  </si>
  <si>
    <t>=IF(F65&lt;0,0,IF(F65&lt;=C65,J65*F65,I65))</t>
  </si>
  <si>
    <t>$M$65</t>
  </si>
  <si>
    <t>=IF(L65=0,(1+F65)*J65,IF(J65&lt;=(I65-L65),J65,(I65-L65)))</t>
  </si>
  <si>
    <t>$O$65</t>
  </si>
  <si>
    <t>=IF(L65=0,(G65/2)-(M65/2),G65-((N65+L65)/2))</t>
  </si>
  <si>
    <t>$L$66</t>
  </si>
  <si>
    <t>=IF(F66&lt;0,0,IF(F66&lt;=C66,J66*F66,I66))</t>
  </si>
  <si>
    <t>$M$66</t>
  </si>
  <si>
    <t>=IF(L66=0,(1+F66)*J66,IF(J66&lt;=(I66-L66),J66,(I66-L66)))</t>
  </si>
  <si>
    <t>$O$66</t>
  </si>
  <si>
    <t>=IF(L66=0,(G66/2)-(M66/2),G66-((N66+L66)/2))</t>
  </si>
  <si>
    <t>$L$67</t>
  </si>
  <si>
    <t>=IF(F67&lt;0,0,IF(F67&lt;=C67,J67*F67,I67))</t>
  </si>
  <si>
    <t>$M$67</t>
  </si>
  <si>
    <t>=IF(L67=0,(1+F67)*J67,IF(J67&lt;=(I67-L67),J67,(I67-L67)))</t>
  </si>
  <si>
    <t>$O$67</t>
  </si>
  <si>
    <t>=IF(L67=0,(G67/2)-(M67/2),G67-((N67+L67)/2))</t>
  </si>
  <si>
    <t>$L$68</t>
  </si>
  <si>
    <t>=IF(F68&lt;0,0,IF(F68&lt;=C68,J68*F68,I68))</t>
  </si>
  <si>
    <t>$M$68</t>
  </si>
  <si>
    <t>=IF(L68=0,(1+F68)*J68,IF(J68&lt;=(I68-L68),J68,(I68-L68)))</t>
  </si>
  <si>
    <t>$O$68</t>
  </si>
  <si>
    <t>=IF(L68=0,(G68/2)-(M68/2),G68-((N68+L68)/2))</t>
  </si>
  <si>
    <t>=IF(F69&lt;0,0,IF(F69&lt;=C69,J69*F69,I69))</t>
  </si>
  <si>
    <t>=IF(L69=0,(1+F69)*J69,IF(J69&lt;=(I69-L69),J69,(I69-L69)))</t>
  </si>
  <si>
    <t>=IF(L69=0,(G69/2)-(M69/2),G69-((N69+L69)/2))</t>
  </si>
  <si>
    <t>$F$65</t>
  </si>
  <si>
    <t>=($F$10-E65)/365</t>
  </si>
  <si>
    <t>$F$66</t>
  </si>
  <si>
    <t>=($F$10-E66)/365</t>
  </si>
  <si>
    <t>$F$67</t>
  </si>
  <si>
    <t>=($F$10-E67)/365</t>
  </si>
  <si>
    <t>$F$68</t>
  </si>
  <si>
    <t>=($F$10-E68)/365</t>
  </si>
  <si>
    <t>=($F$10-E69)/365</t>
  </si>
  <si>
    <t>$L$73</t>
  </si>
  <si>
    <t>=IF(F73&lt;0,0,IF(F73&lt;=C73,J73*F73,I73))</t>
  </si>
  <si>
    <t>$M$73</t>
  </si>
  <si>
    <t>=IF(L73=0,(1+F73)*J73,IF(J73&lt;=(I73-L73),J73,(I73-L73)))</t>
  </si>
  <si>
    <t>$O$73</t>
  </si>
  <si>
    <t>=IF(L73=0,(G73/2)-(M73/2),G73-((N73+L73)/2))</t>
  </si>
  <si>
    <t>$L$74</t>
  </si>
  <si>
    <t>=IF(F74&lt;0,0,IF(F74&lt;=C74,J74*F74,I74))</t>
  </si>
  <si>
    <t>$M$74</t>
  </si>
  <si>
    <t>=IF(L74=0,(1+F74)*J74,IF(J74&lt;=(I74-L74),J74,(I74-L74)))</t>
  </si>
  <si>
    <t>$O$74</t>
  </si>
  <si>
    <t>=IF(L74=0,(G74/2)-(M74/2),G74-((N74+L74)/2))</t>
  </si>
  <si>
    <t>$L$75</t>
  </si>
  <si>
    <t>=IF(F75&lt;0,0,IF(F75&lt;=C75,J75*F75,I75))</t>
  </si>
  <si>
    <t>$M$75</t>
  </si>
  <si>
    <t>=IF(L75=0,(1+F75)*J75,IF(J75&lt;=(I75-L75),J75,(I75-L75)))</t>
  </si>
  <si>
    <t>$O$75</t>
  </si>
  <si>
    <t>=IF(L75=0,(G75/2)-(M75/2),G75-((N75+L75)/2))</t>
  </si>
  <si>
    <t>$L$76</t>
  </si>
  <si>
    <t>=IF(F76&lt;0,0,IF(F76&lt;=C76,J76*F76,I76))</t>
  </si>
  <si>
    <t>$M$76</t>
  </si>
  <si>
    <t>=IF(L76=0,(1+F76)*J76,IF(J76&lt;=(I76-L76),J76,(I76-L76)))</t>
  </si>
  <si>
    <t>$O$76</t>
  </si>
  <si>
    <t>=IF(L76=0,(G76/2)-(M76/2),G76-((N76+L76)/2))</t>
  </si>
  <si>
    <t>$L$77</t>
  </si>
  <si>
    <t>=IF(F77&lt;0,0,IF(F77&lt;=C77,J77*F77,I77))</t>
  </si>
  <si>
    <t>$M$77</t>
  </si>
  <si>
    <t>=IF(L77=0,(1+F77)*J77,IF(J77&lt;=(I77-L77),J77,(I77-L77)))</t>
  </si>
  <si>
    <t>$O$77</t>
  </si>
  <si>
    <t>=IF(L77=0,(G77/2)-(M77/2),G77-((N77+L77)/2))</t>
  </si>
  <si>
    <t>$L$78</t>
  </si>
  <si>
    <t>=IF(F78&lt;0,0,IF(F78&lt;=C78,J78*F78,I78))</t>
  </si>
  <si>
    <t>$M$78</t>
  </si>
  <si>
    <t>=IF(L78=0,(1+F78)*J78,IF(J78&lt;=(I78-L78),J78,(I78-L78)))</t>
  </si>
  <si>
    <t>$O$78</t>
  </si>
  <si>
    <t>=IF(L78=0,(G78/2)-(M78/2),G78-((N78+L78)/2))</t>
  </si>
  <si>
    <t>$L$79</t>
  </si>
  <si>
    <t>=IF(F79&lt;0,0,IF(F79&lt;=C79,J79*F79,I79))</t>
  </si>
  <si>
    <t>$M$79</t>
  </si>
  <si>
    <t>=IF(L79=0,(1+F79)*J79,IF(J79&lt;=(I79-L79),J79,(I79-L79)))</t>
  </si>
  <si>
    <t>$O$79</t>
  </si>
  <si>
    <t>=IF(L79=0,(G79/2)-(M79/2),G79-((N79+L79)/2))</t>
  </si>
  <si>
    <t>$F$73</t>
  </si>
  <si>
    <t>=($F$10-E73)/365</t>
  </si>
  <si>
    <t>$F$74</t>
  </si>
  <si>
    <t>=($F$10-E74)/365</t>
  </si>
  <si>
    <t>=($F$10-E75)/365</t>
  </si>
  <si>
    <t>=($F$10-E76)/365</t>
  </si>
  <si>
    <t>$F$77</t>
  </si>
  <si>
    <t>=($F$10-E77)/365</t>
  </si>
  <si>
    <t>$F$78</t>
  </si>
  <si>
    <t>=($F$10-E78)/365</t>
  </si>
  <si>
    <t>$F$79</t>
  </si>
  <si>
    <t>=($F$10-E79)/365</t>
  </si>
  <si>
    <t>$L$84</t>
  </si>
  <si>
    <t>=IF(F84&lt;0,0,IF(F84&lt;=C84,J84*F84,I84))</t>
  </si>
  <si>
    <t>$M$84</t>
  </si>
  <si>
    <t>=IF(L84=0,(1+F84)*J84,IF(J84&lt;=(I84-L84),J84,(I84-L84)))</t>
  </si>
  <si>
    <t>$O$84</t>
  </si>
  <si>
    <t>=IF(L84=0,(G84/2)-(M84/2),G84-((N84+L84)/2))</t>
  </si>
  <si>
    <t>$L$85</t>
  </si>
  <si>
    <t>=IF(F85&lt;0,0,IF(F85&lt;=C85,J85*F85,I85))</t>
  </si>
  <si>
    <t>$M$85</t>
  </si>
  <si>
    <t>=IF(L85=0,(1+F85)*J85,IF(J85&lt;=(I85-L85),J85,(I85-L85)))</t>
  </si>
  <si>
    <t>$O$85</t>
  </si>
  <si>
    <t>=IF(L85=0,(G85/2)-(M85/2),G85-((N85+L85)/2))</t>
  </si>
  <si>
    <t>$L$86</t>
  </si>
  <si>
    <t>=IF(F86&lt;0,0,IF(F86&lt;=C86,J86*F86,I86))</t>
  </si>
  <si>
    <t>$M$86</t>
  </si>
  <si>
    <t>=IF(L86=0,(1+F86)*J86,IF(J86&lt;=(I86-L86),J86,(I86-L86)))</t>
  </si>
  <si>
    <t>$O$86</t>
  </si>
  <si>
    <t>=IF(L86=0,(G86/2)-(M86/2),G86-((N86+L86)/2))</t>
  </si>
  <si>
    <t>$L$87</t>
  </si>
  <si>
    <t>=IF(F87&lt;0,0,IF(F87&lt;=C87,J87*F87,I87))</t>
  </si>
  <si>
    <t>$M$87</t>
  </si>
  <si>
    <t>=IF(L87=0,(1+F87)*J87,IF(J87&lt;=(I87-L87),J87,(I87-L87)))</t>
  </si>
  <si>
    <t>$O$87</t>
  </si>
  <si>
    <t>=IF(L87=0,(G87/2)-(M87/2),G87-((N87+L87)/2))</t>
  </si>
  <si>
    <t>$F$84</t>
  </si>
  <si>
    <t>=($F$10-E84)/365</t>
  </si>
  <si>
    <t>$F$85</t>
  </si>
  <si>
    <t>=($F$10-E85)/365</t>
  </si>
  <si>
    <t>$F$86</t>
  </si>
  <si>
    <t>=($F$10-E86)/365</t>
  </si>
  <si>
    <t>$F$87</t>
  </si>
  <si>
    <t>=($F$10-E87)/365</t>
  </si>
  <si>
    <t>$L$91</t>
  </si>
  <si>
    <t>=IF(F91&lt;0,0,IF(F91&lt;=C91,J91*F91,I91))</t>
  </si>
  <si>
    <t>$M$91</t>
  </si>
  <si>
    <t>=IF(L91=0,(1+F91)*J91,IF(J91&lt;=(I91-L91),J91,(I91-L91)))</t>
  </si>
  <si>
    <t>$O$91</t>
  </si>
  <si>
    <t>=IF(L91=0,(G91/2)-(M91/2),G91-((N91+L91)/2))</t>
  </si>
  <si>
    <t>$L$92</t>
  </si>
  <si>
    <t>=IF(F92&lt;0,0,IF(F92&lt;=C92,J92*F92,I92))</t>
  </si>
  <si>
    <t>$M$92</t>
  </si>
  <si>
    <t>=IF(L92=0,(1+F92)*J92,IF(J92&lt;=(I92-L92),J92,(I92-L92)))</t>
  </si>
  <si>
    <t>$O$92</t>
  </si>
  <si>
    <t>=IF(L92=0,(G92/2)-(M92/2),G92-((N92+L92)/2))</t>
  </si>
  <si>
    <t>$L$93</t>
  </si>
  <si>
    <t>=IF(F93&lt;0,0,IF(F93&lt;=C93,J93*F93,I93))</t>
  </si>
  <si>
    <t>$M$93</t>
  </si>
  <si>
    <t>=IF(L93=0,(1+F93)*J93,IF(J93&lt;=(I93-L93),J93,(I93-L93)))</t>
  </si>
  <si>
    <t>$O$93</t>
  </si>
  <si>
    <t>=IF(L93=0,(G93/2)-(M93/2),G93-((N93+L93)/2))</t>
  </si>
  <si>
    <t>$L$94</t>
  </si>
  <si>
    <t>=IF(F94&lt;0,0,IF(F94&lt;=C94,J94*F94,I94))</t>
  </si>
  <si>
    <t>$M$94</t>
  </si>
  <si>
    <t>=IF(L94=0,(1+F94)*J94,IF(J94&lt;=(I94-L94),J94,(I94-L94)))</t>
  </si>
  <si>
    <t>$O$94</t>
  </si>
  <si>
    <t>=IF(L94=0,(G94/2)-(M94/2),G94-((N94+L94)/2))</t>
  </si>
  <si>
    <t>$L$95</t>
  </si>
  <si>
    <t>=IF(F95&lt;0,0,IF(F95&lt;=C95,J95*F95,I95))</t>
  </si>
  <si>
    <t>$M$95</t>
  </si>
  <si>
    <t>=IF(L95=0,(1+F95)*J95,IF(J95&lt;=(I95-L95),J95,(I95-L95)))</t>
  </si>
  <si>
    <t>$O$95</t>
  </si>
  <si>
    <t>=IF(L95=0,(G95/2)-(M95/2),G95-((N95+L95)/2))</t>
  </si>
  <si>
    <t>$L$96</t>
  </si>
  <si>
    <t>=IF(F96&lt;0,0,IF(F96&lt;=C96,J96*F96,I96))</t>
  </si>
  <si>
    <t>$M$96</t>
  </si>
  <si>
    <t>=IF(L96=0,(1+F96)*J96,IF(J96&lt;=(I96-L96),J96,(I96-L96)))</t>
  </si>
  <si>
    <t>$O$96</t>
  </si>
  <si>
    <t>=IF(L96=0,(G96/2)-(M96/2),G96-((N96+L96)/2))</t>
  </si>
  <si>
    <t>$G$92</t>
  </si>
  <si>
    <t>=18149+2456+6200</t>
  </si>
  <si>
    <t>18149, 2456, 6200</t>
  </si>
  <si>
    <t>$G$94</t>
  </si>
  <si>
    <t>=40049+6469</t>
  </si>
  <si>
    <t>40049, 6469</t>
  </si>
  <si>
    <t>$G$95</t>
  </si>
  <si>
    <t>=13060+26120+2</t>
  </si>
  <si>
    <t>13060, 26120, 2</t>
  </si>
  <si>
    <t>$F$91</t>
  </si>
  <si>
    <t>=($F$10-E91)/365</t>
  </si>
  <si>
    <t>$F$92</t>
  </si>
  <si>
    <t>=($F$10-E92)/365</t>
  </si>
  <si>
    <t>$F$93</t>
  </si>
  <si>
    <t>=($F$10-E93)/365</t>
  </si>
  <si>
    <t>$F$94</t>
  </si>
  <si>
    <t>=($F$10-E94)/365</t>
  </si>
  <si>
    <t>$F$95</t>
  </si>
  <si>
    <t>=($F$10-E95)/365</t>
  </si>
  <si>
    <t>$F$96</t>
  </si>
  <si>
    <t>=($F$10-E96)/365</t>
  </si>
  <si>
    <t>$L$100</t>
  </si>
  <si>
    <t>=IF(F100&lt;0,0,IF(F100&lt;=C100,J100*F100,I100))</t>
  </si>
  <si>
    <t>$M$100</t>
  </si>
  <si>
    <t>=IF(L100=0,(1+F100)*J100,IF(J100&lt;=(I100-L100),J100,(I100-L100)))</t>
  </si>
  <si>
    <t>$O$100</t>
  </si>
  <si>
    <t>=IF(L100=0,(G100/2)-(M100/2),G100-((N100+L100)/2))</t>
  </si>
  <si>
    <t>$L$101</t>
  </si>
  <si>
    <t>=IF(F101&lt;0,0,IF(F101&lt;=C101,J101*F101,I101))</t>
  </si>
  <si>
    <t>$M$101</t>
  </si>
  <si>
    <t>=IF(L101=0,(1+F101)*J101,IF(J101&lt;=(I101-L101),J101,(I101-L101)))</t>
  </si>
  <si>
    <t>$O$101</t>
  </si>
  <si>
    <t>=IF(L101=0,(G101/2)-(M101/2),G101-((N101+L101)/2))</t>
  </si>
  <si>
    <t>$L$102</t>
  </si>
  <si>
    <t>=IF(F102&lt;0,0,IF(F102&lt;=C102,J102*F102,I102))</t>
  </si>
  <si>
    <t>$M$102</t>
  </si>
  <si>
    <t>=IF(L102=0,(1+F102)*J102,IF(J102&lt;=(I102-L102),J102,(I102-L102)))</t>
  </si>
  <si>
    <t>$O$102</t>
  </si>
  <si>
    <t>=IF(L102=0,(G102/2)-(M102/2),G102-((N102+L102)/2))</t>
  </si>
  <si>
    <t>$L$103</t>
  </si>
  <si>
    <t>=IF(F103&lt;0,0,IF(F103&lt;=C103,J103*F103,I103))</t>
  </si>
  <si>
    <t>$M$103</t>
  </si>
  <si>
    <t>=IF(L103=0,(1+F103)*J103,IF(J103&lt;=(I103-L103),J103,(I103-L103)))</t>
  </si>
  <si>
    <t>$O$103</t>
  </si>
  <si>
    <t>=IF(L103=0,(G103/2)-(M103/2),G103-((N103+L103)/2))</t>
  </si>
  <si>
    <t>$L$104</t>
  </si>
  <si>
    <t>=IF(F104&lt;0,0,IF(F104&lt;=C104,J104*F104,I104))</t>
  </si>
  <si>
    <t>$M$104</t>
  </si>
  <si>
    <t>=IF(L104=0,(1+F104)*J104,IF(J104&lt;=(I104-L104),J104,(I104-L104)))</t>
  </si>
  <si>
    <t>$O$104</t>
  </si>
  <si>
    <t>=IF(L104=0,(G104/2)-(M104/2),G104-((N104+L104)/2))</t>
  </si>
  <si>
    <t>$L$105</t>
  </si>
  <si>
    <t>=IF(F105&lt;0,0,IF(F105&lt;=C105,J105*F105,I105))</t>
  </si>
  <si>
    <t>$M$105</t>
  </si>
  <si>
    <t>=IF(L105=0,(1+F105)*J105,IF(J105&lt;=(I105-L105),J105,(I105-L105)))</t>
  </si>
  <si>
    <t>$O$105</t>
  </si>
  <si>
    <t>=IF(L105=0,(G105/2)-(M105/2),G105-((N105+L105)/2))</t>
  </si>
  <si>
    <t>$L$106</t>
  </si>
  <si>
    <t>=IF(F106&lt;0,0,IF(F106&lt;=C106,J106*F106,I106))</t>
  </si>
  <si>
    <t>$M$106</t>
  </si>
  <si>
    <t>=IF(L106=0,(1+F106)*J106,IF(J106&lt;=(I106-L106),J106,(I106-L106)))</t>
  </si>
  <si>
    <t>$O$106</t>
  </si>
  <si>
    <t>=IF(L106=0,(G106/2)-(M106/2),G106-((N106+L106)/2))</t>
  </si>
  <si>
    <t>$L$107</t>
  </si>
  <si>
    <t>=IF(F107&lt;0,0,IF(F107&lt;=C107,J107*F107,I107))</t>
  </si>
  <si>
    <t>$M$107</t>
  </si>
  <si>
    <t>=IF(L107=0,(1+F107)*J107,IF(J107&lt;=(I107-L107),J107,(I107-L107)))</t>
  </si>
  <si>
    <t>$O$107</t>
  </si>
  <si>
    <t>=IF(L107=0,(G107/2)-(M107/2),G107-((N107+L107)/2))</t>
  </si>
  <si>
    <t>$L$108</t>
  </si>
  <si>
    <t>=IF(F108&lt;0,0,IF(F108&lt;=C108,J108*F108,I108))</t>
  </si>
  <si>
    <t>$M$108</t>
  </si>
  <si>
    <t>=IF(L108=0,(1+F108)*J108,IF(J108&lt;=(I108-L108),J108,(I108-L108)))</t>
  </si>
  <si>
    <t>$O$108</t>
  </si>
  <si>
    <t>=IF(L108=0,(G108/2)-(M108/2),G108-((N108+L108)/2))</t>
  </si>
  <si>
    <t>$F$100</t>
  </si>
  <si>
    <t>=($F$10-E100)/365</t>
  </si>
  <si>
    <t>$F$101</t>
  </si>
  <si>
    <t>=($F$10-E101)/365</t>
  </si>
  <si>
    <t>$F$102</t>
  </si>
  <si>
    <t>=($F$10-E102)/365</t>
  </si>
  <si>
    <t>$F$103</t>
  </si>
  <si>
    <t>=($F$10-E103)/365</t>
  </si>
  <si>
    <t>$F$104</t>
  </si>
  <si>
    <t>=($F$10-E104)/365</t>
  </si>
  <si>
    <t>$F$105</t>
  </si>
  <si>
    <t>=($F$10-E105)/365</t>
  </si>
  <si>
    <t>$F$106</t>
  </si>
  <si>
    <t>=($F$10-E106)/365</t>
  </si>
  <si>
    <t>$F$107</t>
  </si>
  <si>
    <t>=($F$10-E107)/365</t>
  </si>
  <si>
    <t>$F$108</t>
  </si>
  <si>
    <t>=($F$10-E108)/365</t>
  </si>
  <si>
    <t>$L$112</t>
  </si>
  <si>
    <t>=IF(F112&lt;0,0,IF(F112&lt;=C112,J112*F112,I112))</t>
  </si>
  <si>
    <t>$M$112</t>
  </si>
  <si>
    <t>=IF(L112=0,(1+F112)*J112,IF(J112&lt;=(I112-L112),J112,(I112-L112)))</t>
  </si>
  <si>
    <t>$O$112</t>
  </si>
  <si>
    <t>=IF(L112=0,(G112/2)-(M112/2),G112-((N112+L112)/2))</t>
  </si>
  <si>
    <t>$L$113</t>
  </si>
  <si>
    <t>=IF(F113&lt;0,0,IF(F113&lt;=C113,J113*F113,I113))</t>
  </si>
  <si>
    <t>$M$113</t>
  </si>
  <si>
    <t>=IF(L113=0,(1+F113)*J113,IF(J113&lt;=(I113-L113),J113,(I113-L113)))</t>
  </si>
  <si>
    <t>$O$113</t>
  </si>
  <si>
    <t>=IF(L113=0,(G113/2)-(M113/2),G113-((N113+L113)/2))</t>
  </si>
  <si>
    <t>$L$114</t>
  </si>
  <si>
    <t>=IF(F114&lt;0,0,IF(F114&lt;=C114,J114*F114,I114))</t>
  </si>
  <si>
    <t>$M$114</t>
  </si>
  <si>
    <t>=IF(L114=0,(1+F114)*J114,IF(J114&lt;=(I114-L114),J114,(I114-L114)))</t>
  </si>
  <si>
    <t>$O$114</t>
  </si>
  <si>
    <t>=IF(L114=0,(G114/2)-(M114/2),G114-((N114+L114)/2))</t>
  </si>
  <si>
    <t>$L$115</t>
  </si>
  <si>
    <t>=IF(F115&lt;0,0,IF(F115&lt;=C115,J115*F115,I115))</t>
  </si>
  <si>
    <t>$M$115</t>
  </si>
  <si>
    <t>=IF(L115=0,(1+F115)*J115,IF(J115&lt;=(I115-L115),J115,(I115-L115)))</t>
  </si>
  <si>
    <t>$O$115</t>
  </si>
  <si>
    <t>=IF(L115=0,(G115/2)-(M115/2),G115-((N115+L115)/2))</t>
  </si>
  <si>
    <t>$L$116</t>
  </si>
  <si>
    <t>=IF(F116&lt;0,0,IF(F116&lt;=C116,J116*F116,I116))</t>
  </si>
  <si>
    <t>$M$116</t>
  </si>
  <si>
    <t>=IF(L116=0,(1+F116)*J116,IF(J116&lt;=(I116-L116),J116,(I116-L116)))</t>
  </si>
  <si>
    <t>$O$116</t>
  </si>
  <si>
    <t>=IF(L116=0,(G116/2)-(M116/2),G116-((N116+L116)/2))</t>
  </si>
  <si>
    <t>$L$117</t>
  </si>
  <si>
    <t>=IF(F117&lt;0,0,IF(F117&lt;=C117,J117*F117,I117))</t>
  </si>
  <si>
    <t>$M$117</t>
  </si>
  <si>
    <t>=IF(L117=0,(1+F117)*J117,IF(J117&lt;=(I117-L117),J117,(I117-L117)))</t>
  </si>
  <si>
    <t>$O$117</t>
  </si>
  <si>
    <t>=IF(L117=0,(G117/2)-(M117/2),G117-((N117+L117)/2))</t>
  </si>
  <si>
    <t>$L$118</t>
  </si>
  <si>
    <t>=IF(F118&lt;0,0,IF(F118&lt;=C118,J118*F118,I118))</t>
  </si>
  <si>
    <t>$M$118</t>
  </si>
  <si>
    <t>=IF(L118=0,(1+F118)*J118,IF(J118&lt;=(I118-L118),J118,(I118-L118)))</t>
  </si>
  <si>
    <t>$O$118</t>
  </si>
  <si>
    <t>=IF(L118=0,(G118/2)-(M118/2),G118-((N118+L118)/2))</t>
  </si>
  <si>
    <t>$L$119</t>
  </si>
  <si>
    <t>=IF(F119&lt;0,0,IF(F119&lt;=C119,J119*F119,I119))</t>
  </si>
  <si>
    <t>$M$119</t>
  </si>
  <si>
    <t>=IF(L119=0,(1+F119)*J119,IF(J119&lt;=(I119-L119),J119,(I119-L119)))</t>
  </si>
  <si>
    <t>$O$119</t>
  </si>
  <si>
    <t>=IF(L119=0,(G119/2)-(M119/2),G119-((N119+L119)/2))</t>
  </si>
  <si>
    <t>$F$112</t>
  </si>
  <si>
    <t>=($F$10-E112)/365</t>
  </si>
  <si>
    <t>$F$113</t>
  </si>
  <si>
    <t>=($F$10-E113)/365</t>
  </si>
  <si>
    <t>$F$114</t>
  </si>
  <si>
    <t>=($F$10-E114)/365</t>
  </si>
  <si>
    <t>$F$115</t>
  </si>
  <si>
    <t>=($F$10-E115)/365</t>
  </si>
  <si>
    <t>$F$116</t>
  </si>
  <si>
    <t>=($F$10-E116)/365</t>
  </si>
  <si>
    <t>$F$117</t>
  </si>
  <si>
    <t>=($F$10-E117)/365</t>
  </si>
  <si>
    <t>$F$118</t>
  </si>
  <si>
    <t>=($F$10-E118)/365</t>
  </si>
  <si>
    <t>$F$119</t>
  </si>
  <si>
    <t>=($F$10-E119)/365</t>
  </si>
  <si>
    <t>$G$112</t>
  </si>
  <si>
    <t>=330933+7</t>
  </si>
  <si>
    <t>330933, 7</t>
  </si>
  <si>
    <t>$G$113</t>
  </si>
  <si>
    <t>=33673+14128</t>
  </si>
  <si>
    <t>33673, 14128</t>
  </si>
  <si>
    <t>$G$114</t>
  </si>
  <si>
    <t>=8483</t>
  </si>
  <si>
    <t>8483</t>
  </si>
  <si>
    <t>$G$115</t>
  </si>
  <si>
    <t>=5723</t>
  </si>
  <si>
    <t>5723</t>
  </si>
  <si>
    <t>$G$116</t>
  </si>
  <si>
    <t>=35089+4258</t>
  </si>
  <si>
    <t>35089, 4258</t>
  </si>
  <si>
    <t>$G$117</t>
  </si>
  <si>
    <t>=6469</t>
  </si>
  <si>
    <t>6469</t>
  </si>
  <si>
    <t>$G$118</t>
  </si>
  <si>
    <t>=37616</t>
  </si>
  <si>
    <t>37616</t>
  </si>
  <si>
    <t>$G$119</t>
  </si>
  <si>
    <t>=14399</t>
  </si>
  <si>
    <t>14399</t>
  </si>
  <si>
    <t>$L$123</t>
  </si>
  <si>
    <t>=IF(F123&lt;0,0,IF(F123&lt;=C123,J123*F123,I123))</t>
  </si>
  <si>
    <t>$M$123</t>
  </si>
  <si>
    <t>=IF(L123=0,(1+F123)*J123,IF(J123&lt;=(I123-L123),J123,(I123-L123)))</t>
  </si>
  <si>
    <t>$O$123</t>
  </si>
  <si>
    <t>=IF(L123=0,(G123/2)-(M123/2),G123-((N123+L123)/2))</t>
  </si>
  <si>
    <t>$L$124</t>
  </si>
  <si>
    <t>=IF(F124&lt;0,0,IF(F124&lt;=C124,J124*F124,I124))</t>
  </si>
  <si>
    <t>$M$124</t>
  </si>
  <si>
    <t>=IF(L124=0,(1+F124)*J124,IF(J124&lt;=(I124-L124),J124,(I124-L124)))</t>
  </si>
  <si>
    <t>$O$124</t>
  </si>
  <si>
    <t>=IF(L124=0,(G124/2)-(M124/2),G124-((N124+L124)/2))</t>
  </si>
  <si>
    <t>$F$123</t>
  </si>
  <si>
    <t>=($F$10-E123)/365</t>
  </si>
  <si>
    <t>$F$124</t>
  </si>
  <si>
    <t>=($F$10-E124)/365</t>
  </si>
  <si>
    <t>$L$128</t>
  </si>
  <si>
    <t>=IF(F128&lt;0,0,IF(F128&lt;=C128,J128*F128,I128))</t>
  </si>
  <si>
    <t>$M$128</t>
  </si>
  <si>
    <t>=IF(L128=0,(1+F128)*J128,IF(J128&lt;=(I128-L128),J128,(I128-L128)))</t>
  </si>
  <si>
    <t>$O$128</t>
  </si>
  <si>
    <t>=IF(L128=0,(G128/2)-(M128/2),G128-((N128+L128)/2))</t>
  </si>
  <si>
    <t>$L$129</t>
  </si>
  <si>
    <t>=IF(F129&lt;0,0,IF(F129&lt;=C129,J129*F129,I129))</t>
  </si>
  <si>
    <t>$M$129</t>
  </si>
  <si>
    <t>=IF(L129=0,(1+F129)*J129,IF(J129&lt;=(I129-L129),J129,(I129-L129)))</t>
  </si>
  <si>
    <t>$O$129</t>
  </si>
  <si>
    <t>=IF(L129=0,(G129/2)-(M129/2),G129-((N129+L129)/2))</t>
  </si>
  <si>
    <t>$F$128</t>
  </si>
  <si>
    <t>=($F$10-E128)/365</t>
  </si>
  <si>
    <t>$F$129</t>
  </si>
  <si>
    <t>=($F$10-E129)/365</t>
  </si>
  <si>
    <t>$F$132</t>
  </si>
  <si>
    <t>=($F$10-E132)/365</t>
  </si>
  <si>
    <t>$L$132</t>
  </si>
  <si>
    <t>=IF(F132&lt;0,0,IF(F132&lt;=C132,J132*F132,I132))</t>
  </si>
  <si>
    <t>$M$132</t>
  </si>
  <si>
    <t>=IF(L132=0,(1+F132)*J132,IF(J132&lt;=(I132-L132),J132,(I132-L132)))</t>
  </si>
  <si>
    <t>$O$132</t>
  </si>
  <si>
    <t>=IF(L132=0,(G132/2)-(M132/2),G132-((N132+L132)/2))</t>
  </si>
  <si>
    <t>$G$136</t>
  </si>
  <si>
    <t>=674068-170048</t>
  </si>
  <si>
    <t>674068, 170048</t>
  </si>
  <si>
    <t>$L$136</t>
  </si>
  <si>
    <t>=IF(F136&lt;0,0,IF(F136&lt;=C136,J136*F136,I136))</t>
  </si>
  <si>
    <t>$M$136</t>
  </si>
  <si>
    <t>=IF(L136=0,(1+F136)*J136,IF(J136&lt;=(I136-L136),J136,(I136-L136)))</t>
  </si>
  <si>
    <t>$O$136</t>
  </si>
  <si>
    <t>=IF(L136=0,(G136/2)-(M136/2),G136-((N136+L136)/2))</t>
  </si>
  <si>
    <t>$L$137</t>
  </si>
  <si>
    <t>=IF(F137&lt;0,0,IF(F137&lt;=C137,J137*F137,I137))</t>
  </si>
  <si>
    <t>$M$137</t>
  </si>
  <si>
    <t>=IF(L137=0,(1+F137)*J137,IF(J137&lt;=(I137-L137),J137,(I137-L137)))</t>
  </si>
  <si>
    <t>$O$137</t>
  </si>
  <si>
    <t>=IF(L137=0,(G137/2)-(M137/2),G137-((N137+L137)/2))</t>
  </si>
  <si>
    <t>$L$138</t>
  </si>
  <si>
    <t>=IF(F138&lt;0,0,IF(F138&lt;=C138,J138*F138,I138))</t>
  </si>
  <si>
    <t>$M$138</t>
  </si>
  <si>
    <t>=IF(L138=0,(1+F138)*J138,IF(J138&lt;=(I138-L138),J138,(I138-L138)))</t>
  </si>
  <si>
    <t>$O$138</t>
  </si>
  <si>
    <t>=IF(L138=0,(G138/2)-(M138/2),G138-((N138+L138)/2))</t>
  </si>
  <si>
    <t>$L$139</t>
  </si>
  <si>
    <t>=IF(F139&lt;0,0,IF(F139&lt;=C139,J139*F139,I139))</t>
  </si>
  <si>
    <t>$M$139</t>
  </si>
  <si>
    <t>=IF(L139=0,(1+F139)*J139,IF(J139&lt;=(I139-L139),J139,(I139-L139)))</t>
  </si>
  <si>
    <t>$O$139</t>
  </si>
  <si>
    <t>=IF(L139=0,(G139/2)-(M139/2),G139-((N139+L139)/2))</t>
  </si>
  <si>
    <t>$V$136</t>
  </si>
  <si>
    <t>=0</t>
  </si>
  <si>
    <t>$F$136</t>
  </si>
  <si>
    <t>=($F$10-E136)/365</t>
  </si>
  <si>
    <t>$F$137</t>
  </si>
  <si>
    <t>=($F$10-E137)/365</t>
  </si>
  <si>
    <t>$F$138</t>
  </si>
  <si>
    <t>=($F$10-E138)/365</t>
  </si>
  <si>
    <t>$F$139</t>
  </si>
  <si>
    <t>=($F$10-E139)/365</t>
  </si>
  <si>
    <t>$L$143</t>
  </si>
  <si>
    <t>=IF(F143&lt;0,0,IF(F143&lt;=C143,J143*F143,I143))</t>
  </si>
  <si>
    <t>$M$143</t>
  </si>
  <si>
    <t>=IF(L143=0,(1+F143)*J143,IF(J143&lt;=(I143-L143),J143,(I143-L143)))</t>
  </si>
  <si>
    <t>$O$143</t>
  </si>
  <si>
    <t>=IF(L143=0,(G143/2)-(M143/2),G143-((N143+L143)/2))</t>
  </si>
  <si>
    <t>$M$144</t>
  </si>
  <si>
    <t>=IF(L144=0,(1+F144)*J144,IF(J144&lt;=(I144-L144),J144,(I144-L144)))</t>
  </si>
  <si>
    <t>$O$144</t>
  </si>
  <si>
    <t>=IF(L144=0,(G144/2)-(M144/2),G144-((N144+L144)/2))</t>
  </si>
  <si>
    <t>$L$145</t>
  </si>
  <si>
    <t>=IF(F145&lt;0,0,IF(F145&lt;=C145,J145*F145,I145))</t>
  </si>
  <si>
    <t>$M$145</t>
  </si>
  <si>
    <t>=IF(L145=0,(1+F145)*J145,IF(J145&lt;=(I145-L145),J145,(I145-L145)))</t>
  </si>
  <si>
    <t>$O$145</t>
  </si>
  <si>
    <t>=IF(L145=0,(G145/2)-(M145/2),G145-((N145+L145)/2))</t>
  </si>
  <si>
    <t>$L$146</t>
  </si>
  <si>
    <t>=IF(F146&lt;0,0,IF(F146&lt;=C146,J146*F146,I146))</t>
  </si>
  <si>
    <t>$M$146</t>
  </si>
  <si>
    <t>=IF(L146=0,(1+F146)*J146,IF(J146&lt;=(I146-L146),J146,(I146-L146)))</t>
  </si>
  <si>
    <t>$O$146</t>
  </si>
  <si>
    <t>=IF(L146=0,(G146/2)-(M146/2),G146-((N146+L146)/2))</t>
  </si>
  <si>
    <t>$L$147</t>
  </si>
  <si>
    <t>=IF(F147&lt;0,0,IF(F147&lt;=C147,J147*F147,I147))</t>
  </si>
  <si>
    <t>$M$147</t>
  </si>
  <si>
    <t>=IF(L147=0,(1+F147)*J147,IF(J147&lt;=(I147-L147),J147,(I147-L147)))</t>
  </si>
  <si>
    <t>$O$147</t>
  </si>
  <si>
    <t>=IF(L147=0,(G147/2)-(M147/2),G147-((N147+L147)/2))</t>
  </si>
  <si>
    <t>$L$148</t>
  </si>
  <si>
    <t>=IF(F148&lt;0,0,IF(F148&lt;=C148,J148*F148,I148))</t>
  </si>
  <si>
    <t>$M$148</t>
  </si>
  <si>
    <t>=IF(L148=0,(1+F148)*J148,IF(J148&lt;=(I148-L148),J148,(I148-L148)))</t>
  </si>
  <si>
    <t>$O$148</t>
  </si>
  <si>
    <t>=IF(L148=0,(G148/2)-(M148/2),G148-((N148+L148)/2))</t>
  </si>
  <si>
    <t>$F$143</t>
  </si>
  <si>
    <t>=($F$10-E143)/365</t>
  </si>
  <si>
    <t>$F$144</t>
  </si>
  <si>
    <t>=($F$10-E144)/365</t>
  </si>
  <si>
    <t>$F$145</t>
  </si>
  <si>
    <t>=($F$10-E145)/365</t>
  </si>
  <si>
    <t>$F$146</t>
  </si>
  <si>
    <t>=($F$10-E146)/365</t>
  </si>
  <si>
    <t>$F$147</t>
  </si>
  <si>
    <t>=($F$10-E147)/365</t>
  </si>
  <si>
    <t>$F$148</t>
  </si>
  <si>
    <t>=($F$10-E148)/365</t>
  </si>
  <si>
    <t>$H$18</t>
  </si>
  <si>
    <t>$H$19</t>
  </si>
  <si>
    <t>$H$20</t>
  </si>
  <si>
    <t>7</t>
  </si>
  <si>
    <t>$C$20</t>
  </si>
  <si>
    <t>5</t>
  </si>
  <si>
    <t>$Y$30</t>
  </si>
  <si>
    <t>$H$34</t>
  </si>
  <si>
    <t>$C$34</t>
  </si>
  <si>
    <t>$H$37</t>
  </si>
  <si>
    <t>$C$41</t>
  </si>
  <si>
    <t>$H$52</t>
  </si>
  <si>
    <t>$C$50</t>
  </si>
  <si>
    <t>$C$51</t>
  </si>
  <si>
    <t>$C$52</t>
  </si>
  <si>
    <t>$C$56</t>
  </si>
  <si>
    <t>$C$57</t>
  </si>
  <si>
    <t>$C$58</t>
  </si>
  <si>
    <t>$C$59</t>
  </si>
  <si>
    <t>$C$60</t>
  </si>
  <si>
    <t>$C$65</t>
  </si>
  <si>
    <t>10</t>
  </si>
  <si>
    <t>$C$66</t>
  </si>
  <si>
    <t>$C$67</t>
  </si>
  <si>
    <t>$C$68</t>
  </si>
  <si>
    <t>$H$73</t>
  </si>
  <si>
    <t>$H$74</t>
  </si>
  <si>
    <t>$H$77</t>
  </si>
  <si>
    <t>$H$78</t>
  </si>
  <si>
    <t>$C$73</t>
  </si>
  <si>
    <t>$C$74</t>
  </si>
  <si>
    <t>$C$75</t>
  </si>
  <si>
    <t>$C$76</t>
  </si>
  <si>
    <t>$C$77</t>
  </si>
  <si>
    <t>$C$78</t>
  </si>
  <si>
    <t>$C$79</t>
  </si>
  <si>
    <t>$H$91</t>
  </si>
  <si>
    <t>$H$92</t>
  </si>
  <si>
    <t>$H$93</t>
  </si>
  <si>
    <t>$H$94</t>
  </si>
  <si>
    <t>$H$95</t>
  </si>
  <si>
    <t>$C$91</t>
  </si>
  <si>
    <t>$C$92</t>
  </si>
  <si>
    <t>$C$93</t>
  </si>
  <si>
    <t>$C$94</t>
  </si>
  <si>
    <t>$C$95</t>
  </si>
  <si>
    <t>$C$96</t>
  </si>
  <si>
    <t>$H$96</t>
  </si>
  <si>
    <t>$C$100</t>
  </si>
  <si>
    <t>$C$101</t>
  </si>
  <si>
    <t>$C$102</t>
  </si>
  <si>
    <t>$C$103</t>
  </si>
  <si>
    <t>$C$104</t>
  </si>
  <si>
    <t>$C$105</t>
  </si>
  <si>
    <t>$C$106</t>
  </si>
  <si>
    <t>$C$107</t>
  </si>
  <si>
    <t>$C$108</t>
  </si>
  <si>
    <t>$E$100</t>
  </si>
  <si>
    <t>8/24/2003</t>
  </si>
  <si>
    <t>$H$100</t>
  </si>
  <si>
    <t>$H$101</t>
  </si>
  <si>
    <t>$H$102</t>
  </si>
  <si>
    <t>$H$103</t>
  </si>
  <si>
    <t>$H$104</t>
  </si>
  <si>
    <t>$H$105</t>
  </si>
  <si>
    <t>$H$106</t>
  </si>
  <si>
    <t>$H$107</t>
  </si>
  <si>
    <t>$H$108</t>
  </si>
  <si>
    <t>$C$112</t>
  </si>
  <si>
    <t>$C$113</t>
  </si>
  <si>
    <t>$C$114</t>
  </si>
  <si>
    <t>$C$115</t>
  </si>
  <si>
    <t>$C$116</t>
  </si>
  <si>
    <t>$C$117</t>
  </si>
  <si>
    <t>$C$118</t>
  </si>
  <si>
    <t>$C$119</t>
  </si>
  <si>
    <t>$H$112</t>
  </si>
  <si>
    <t>$H$113</t>
  </si>
  <si>
    <t>$H$114</t>
  </si>
  <si>
    <t>$H$115</t>
  </si>
  <si>
    <t>$H$116</t>
  </si>
  <si>
    <t>$H$117</t>
  </si>
  <si>
    <t>$H$118</t>
  </si>
  <si>
    <t>$H$119</t>
  </si>
  <si>
    <t>$X$138</t>
  </si>
  <si>
    <t>$Z$138</t>
  </si>
  <si>
    <t>$AB$136</t>
  </si>
  <si>
    <t>$AB$137</t>
  </si>
  <si>
    <t>$AB$138</t>
  </si>
  <si>
    <t>$C$136</t>
  </si>
  <si>
    <t>$C$137</t>
  </si>
  <si>
    <t>$C$138</t>
  </si>
  <si>
    <t>$C$139</t>
  </si>
  <si>
    <t>$Y$138</t>
  </si>
  <si>
    <t>$Y$139</t>
  </si>
  <si>
    <t>$C$143</t>
  </si>
  <si>
    <t>$C$144</t>
  </si>
  <si>
    <t>$C$145</t>
  </si>
  <si>
    <t>$C$146</t>
  </si>
  <si>
    <t>$C$147</t>
  </si>
  <si>
    <t>$C$148</t>
  </si>
  <si>
    <t>prcout</t>
  </si>
  <si>
    <t>1, 1</t>
  </si>
  <si>
    <t>6</t>
  </si>
  <si>
    <t>5, 1</t>
  </si>
  <si>
    <t>3</t>
  </si>
  <si>
    <t>50</t>
  </si>
  <si>
    <t>$U$5</t>
  </si>
  <si>
    <t>1.25</t>
  </si>
  <si>
    <t>$V$5</t>
  </si>
  <si>
    <t>100</t>
  </si>
  <si>
    <t>$W$5</t>
  </si>
  <si>
    <t>5.7226, 0.68367</t>
  </si>
  <si>
    <t>$X$5</t>
  </si>
  <si>
    <t>$Y$5</t>
  </si>
  <si>
    <t>100, 100, 100, 0.03574, 0.03574, 0.00619, 0.344</t>
  </si>
  <si>
    <t>$U$6</t>
  </si>
  <si>
    <t>$V$6</t>
  </si>
  <si>
    <t>$W$6</t>
  </si>
  <si>
    <t>5.70827, 0.68367</t>
  </si>
  <si>
    <t>$X$6</t>
  </si>
  <si>
    <t>$Y$6</t>
  </si>
  <si>
    <t>$U$7</t>
  </si>
  <si>
    <t>$V$7</t>
  </si>
  <si>
    <t>$W$7</t>
  </si>
  <si>
    <t>5.6985, 0.68367</t>
  </si>
  <si>
    <t>$X$7</t>
  </si>
  <si>
    <t>$Y$7</t>
  </si>
  <si>
    <t>$U$8</t>
  </si>
  <si>
    <t>$V$8</t>
  </si>
  <si>
    <t>$W$8</t>
  </si>
  <si>
    <t>5.6922, 0.68367</t>
  </si>
  <si>
    <t>$X$8</t>
  </si>
  <si>
    <t>$Y$8</t>
  </si>
  <si>
    <t>100, 100, 1</t>
  </si>
  <si>
    <t>100, 1</t>
  </si>
  <si>
    <t>$V$11</t>
  </si>
  <si>
    <t>$W$11</t>
  </si>
  <si>
    <t>$X$11</t>
  </si>
  <si>
    <t>$Y$11</t>
  </si>
  <si>
    <t>$V$12</t>
  </si>
  <si>
    <t>$W$12</t>
  </si>
  <si>
    <t>$X$12</t>
  </si>
  <si>
    <t>$Y$12</t>
  </si>
  <si>
    <t>$V$13</t>
  </si>
  <si>
    <t>$W$13</t>
  </si>
  <si>
    <t>$X$13</t>
  </si>
  <si>
    <t>$Y$13</t>
  </si>
  <si>
    <t>$V$14</t>
  </si>
  <si>
    <t>$W$14</t>
  </si>
  <si>
    <t>$X$14</t>
  </si>
  <si>
    <t>$Y$14</t>
  </si>
  <si>
    <t>$V$17</t>
  </si>
  <si>
    <t>$W$17</t>
  </si>
  <si>
    <t>$X$17</t>
  </si>
  <si>
    <t>$Y$17</t>
  </si>
  <si>
    <t>$V$18</t>
  </si>
  <si>
    <t>$W$18</t>
  </si>
  <si>
    <t>$X$18</t>
  </si>
  <si>
    <t>$Y$18</t>
  </si>
  <si>
    <t>$V$19</t>
  </si>
  <si>
    <t>$X$19</t>
  </si>
  <si>
    <t>$Y$19</t>
  </si>
  <si>
    <t>$V$20</t>
  </si>
  <si>
    <t>$W$20</t>
  </si>
  <si>
    <t>$X$20</t>
  </si>
  <si>
    <t>$Y$20</t>
  </si>
  <si>
    <t>$AJ$19</t>
  </si>
  <si>
    <t>$AK$19</t>
  </si>
  <si>
    <t>2, 1</t>
  </si>
  <si>
    <t>$AL$19</t>
  </si>
  <si>
    <t>3, 1</t>
  </si>
  <si>
    <t>$AM$19</t>
  </si>
  <si>
    <t>4, 1</t>
  </si>
  <si>
    <t>$AN$19</t>
  </si>
  <si>
    <t>$AO$19</t>
  </si>
  <si>
    <t>6, 1</t>
  </si>
  <si>
    <t>$AP$19</t>
  </si>
  <si>
    <t>7, 1</t>
  </si>
  <si>
    <t>$AQ$19</t>
  </si>
  <si>
    <t>8, 1</t>
  </si>
  <si>
    <t>9</t>
  </si>
  <si>
    <t>9, 1</t>
  </si>
  <si>
    <t>$V$23</t>
  </si>
  <si>
    <t>$W$23</t>
  </si>
  <si>
    <t>$X$23</t>
  </si>
  <si>
    <t>$Y$23</t>
  </si>
  <si>
    <t>$V$24</t>
  </si>
  <si>
    <t>$W$24</t>
  </si>
  <si>
    <t>$X$24</t>
  </si>
  <si>
    <t>$Y$24</t>
  </si>
  <si>
    <t>$V$25</t>
  </si>
  <si>
    <t>$W$25</t>
  </si>
  <si>
    <t>$X$25</t>
  </si>
  <si>
    <t>$Y$25</t>
  </si>
  <si>
    <t>$V$30</t>
  </si>
  <si>
    <t>$W$30</t>
  </si>
  <si>
    <t>$X$30</t>
  </si>
  <si>
    <t>$V$31</t>
  </si>
  <si>
    <t>$W$31</t>
  </si>
  <si>
    <t>$X$31</t>
  </si>
  <si>
    <t>$Y$31</t>
  </si>
  <si>
    <t>$V$32</t>
  </si>
  <si>
    <t>$W$32</t>
  </si>
  <si>
    <t>$X$32</t>
  </si>
  <si>
    <t>$Y$32</t>
  </si>
  <si>
    <t>$V$36</t>
  </si>
  <si>
    <t>$W$36</t>
  </si>
  <si>
    <t>$X$36</t>
  </si>
  <si>
    <t>$Y$36</t>
  </si>
  <si>
    <t>$V$37</t>
  </si>
  <si>
    <t>$W$37</t>
  </si>
  <si>
    <t>$X$37</t>
  </si>
  <si>
    <t>$Y$37</t>
  </si>
  <si>
    <t>$V$38</t>
  </si>
  <si>
    <t>$W$38</t>
  </si>
  <si>
    <t>$X$38</t>
  </si>
  <si>
    <t>$Y$38</t>
  </si>
  <si>
    <t>1, 0</t>
  </si>
  <si>
    <t>$W$42</t>
  </si>
  <si>
    <t>$X$42</t>
  </si>
  <si>
    <t>$Y$42</t>
  </si>
  <si>
    <t>$V$43</t>
  </si>
  <si>
    <t>$W$43</t>
  </si>
  <si>
    <t>$X$43</t>
  </si>
  <si>
    <t>$Y$43</t>
  </si>
  <si>
    <t>$V$44</t>
  </si>
  <si>
    <t>$W$44</t>
  </si>
  <si>
    <t>$X$44</t>
  </si>
  <si>
    <t>$Y$44</t>
  </si>
  <si>
    <t>$AD$42</t>
  </si>
  <si>
    <t>$AE$42</t>
  </si>
  <si>
    <t>$AD$43</t>
  </si>
  <si>
    <t>$AE$43</t>
  </si>
  <si>
    <t>5, 5</t>
  </si>
  <si>
    <t>$AD$44</t>
  </si>
  <si>
    <t>$AE$44</t>
  </si>
  <si>
    <t>$V$48</t>
  </si>
  <si>
    <t>$W$48</t>
  </si>
  <si>
    <t>$X$48</t>
  </si>
  <si>
    <t>$Y$48</t>
  </si>
  <si>
    <t>$V$49</t>
  </si>
  <si>
    <t>$W$49</t>
  </si>
  <si>
    <t>$X$49</t>
  </si>
  <si>
    <t>$Y$49</t>
  </si>
  <si>
    <t>$V$50</t>
  </si>
  <si>
    <t>$W$50</t>
  </si>
  <si>
    <t>$X$50</t>
  </si>
  <si>
    <t>$Y$50</t>
  </si>
  <si>
    <t>$AD$48</t>
  </si>
  <si>
    <t>$AE$48</t>
  </si>
  <si>
    <t>$AD$49</t>
  </si>
  <si>
    <t>$AE$49</t>
  </si>
  <si>
    <t>$AD$50</t>
  </si>
  <si>
    <t>$AE$50</t>
  </si>
  <si>
    <t>$V$54</t>
  </si>
  <si>
    <t>$W$54</t>
  </si>
  <si>
    <t>$X$54</t>
  </si>
  <si>
    <t>$Y$54</t>
  </si>
  <si>
    <t>$V$55</t>
  </si>
  <si>
    <t>$W$55</t>
  </si>
  <si>
    <t>$X$55</t>
  </si>
  <si>
    <t>$Y$55</t>
  </si>
  <si>
    <t>$V$56</t>
  </si>
  <si>
    <t>$W$56</t>
  </si>
  <si>
    <t>$X$56</t>
  </si>
  <si>
    <t>$Y$56</t>
  </si>
  <si>
    <t>$AD$54</t>
  </si>
  <si>
    <t>$AE$54</t>
  </si>
  <si>
    <t>$AD$55</t>
  </si>
  <si>
    <t>$AE$55</t>
  </si>
  <si>
    <t>$AD$56</t>
  </si>
  <si>
    <t>$AE$56</t>
  </si>
  <si>
    <t>$AI$5</t>
  </si>
  <si>
    <t>$AI$6</t>
  </si>
  <si>
    <t>$AI$7</t>
  </si>
  <si>
    <t>125</t>
  </si>
  <si>
    <t>$AI$8</t>
  </si>
  <si>
    <t>401</t>
  </si>
  <si>
    <t>0.95</t>
  </si>
  <si>
    <t>0.095</t>
  </si>
  <si>
    <t>$AJ$13</t>
  </si>
  <si>
    <t>$AK$13</t>
  </si>
  <si>
    <t>$AL$13</t>
  </si>
  <si>
    <t>$AM$13</t>
  </si>
  <si>
    <t>$AN$13</t>
  </si>
  <si>
    <t>$AO$13</t>
  </si>
  <si>
    <t>$AP$13</t>
  </si>
  <si>
    <t>$AQ$13</t>
  </si>
  <si>
    <t>0.35</t>
  </si>
  <si>
    <t>0.005</t>
  </si>
  <si>
    <t>LGGarb</t>
  </si>
  <si>
    <t>$T$5</t>
  </si>
  <si>
    <t>=$E$8*1.25</t>
  </si>
  <si>
    <t>=100*(+T5/$E$9)</t>
  </si>
  <si>
    <t>=EXP(5.7226-(0.68367*LN(+U5)))</t>
  </si>
  <si>
    <t>=(+V5*U5)/100</t>
  </si>
  <si>
    <t>=100*((((W5/100)-((W5/100)-0.03574)*$E$21)-0.03574-0.00619)/0.344)</t>
  </si>
  <si>
    <t>$T$6</t>
  </si>
  <si>
    <t>=100*(+T6/$E$9)</t>
  </si>
  <si>
    <t>=EXP(5.70827-(0.68367*LN(+U6)))</t>
  </si>
  <si>
    <t>=(+V6*U6)/100</t>
  </si>
  <si>
    <t>=100*((((W6/100)-((W6/100)-0.03574)*$E$21)-0.03574-0.00619)/0.344)</t>
  </si>
  <si>
    <t>$T$7</t>
  </si>
  <si>
    <t>=100*(+T7/$E$9)</t>
  </si>
  <si>
    <t>=EXP(5.6985-(0.68367*LN(U7)))</t>
  </si>
  <si>
    <t>=(+V7*U7)/100</t>
  </si>
  <si>
    <t>=100*((((W7/100)-((W7/100)-0.03574)*$E$21)-0.03574-0.00619)/0.344)</t>
  </si>
  <si>
    <t>$T$8</t>
  </si>
  <si>
    <t>=100*(+T8/$E$9)</t>
  </si>
  <si>
    <t>=EXP(5.6922-(0.68367*LN(U8)))</t>
  </si>
  <si>
    <t>=(+V8*U8)/100</t>
  </si>
  <si>
    <t>=100*((((W8/100)-((W8/100)-0.03574)*$E$21)-0.03574-0.00619)/0.344)</t>
  </si>
  <si>
    <t>$AA$5</t>
  </si>
  <si>
    <t>=100*($E$17*$E$19+($E$18*(Z5/100))/(1-$E$21))</t>
  </si>
  <si>
    <t>$AC$5</t>
  </si>
  <si>
    <t>=$E$8/(1-AB5)</t>
  </si>
  <si>
    <t>$AE$5</t>
  </si>
  <si>
    <t>=100*(1-AB5)</t>
  </si>
  <si>
    <t>$AA$6</t>
  </si>
  <si>
    <t>=100*($E$17*$E$19+($E$18*(Z6/100))/(1-$E$21))</t>
  </si>
  <si>
    <t>$AC$6</t>
  </si>
  <si>
    <t>=$E$8/(1-AB6)</t>
  </si>
  <si>
    <t>$AE$6</t>
  </si>
  <si>
    <t>=100*(1-AB6)</t>
  </si>
  <si>
    <t>$AA$7</t>
  </si>
  <si>
    <t>=100*($E$17*$E$19+($E$18*(Z7/100))/(1-$E$21))</t>
  </si>
  <si>
    <t>$AC$7</t>
  </si>
  <si>
    <t>=$E$8/(1-AB7)</t>
  </si>
  <si>
    <t>$AE$7</t>
  </si>
  <si>
    <t>=100*(1-AB7)</t>
  </si>
  <si>
    <t>$AA$8</t>
  </si>
  <si>
    <t>=100*($E$17*$E$19+($E$18*(Z8/100))/(1-$E$21))</t>
  </si>
  <si>
    <t>$AC$8</t>
  </si>
  <si>
    <t>=$E$8/(1-AB8)</t>
  </si>
  <si>
    <t>$AE$8</t>
  </si>
  <si>
    <t>=100*(1-AB8)</t>
  </si>
  <si>
    <t>$U$11</t>
  </si>
  <si>
    <t>=100*(+AC5/$E$9)</t>
  </si>
  <si>
    <t>=EXP(5.7226-(0.68367*LN(+U11)))</t>
  </si>
  <si>
    <t>=(+V11*U11)/100</t>
  </si>
  <si>
    <t>=100*((((W11/100)-((W11/100)-0.03574)*$E$21)-0.03574-0.00619)/0.344)</t>
  </si>
  <si>
    <t>$U$12</t>
  </si>
  <si>
    <t>=100*(+AC6/$E$9)</t>
  </si>
  <si>
    <t>=EXP(5.70827-(0.68367*LN(+U12)))</t>
  </si>
  <si>
    <t>=(+V12*U12)/100</t>
  </si>
  <si>
    <t>=100*((((W12/100)-((W12/100)-0.03574)*$E$21)-0.03574-0.00619)/0.344)</t>
  </si>
  <si>
    <t>$U$13</t>
  </si>
  <si>
    <t>=100*(+AC7/$E$9)</t>
  </si>
  <si>
    <t>=EXP(5.6985-(0.68367*LN(U13)))</t>
  </si>
  <si>
    <t>=(+V13*U13)/100</t>
  </si>
  <si>
    <t>=100*((((W13/100)-((W13/100)-0.03574)*$E$21)-0.03574-0.00619)/0.344)</t>
  </si>
  <si>
    <t>$U$14</t>
  </si>
  <si>
    <t>=100*(+AC8/$E$9)</t>
  </si>
  <si>
    <t>=EXP(5.6922-(0.68367*LN(U14)))</t>
  </si>
  <si>
    <t>=(+V14*U14)/100</t>
  </si>
  <si>
    <t>=100*((((W14/100)-((W14/100)-0.03574)*$E$21)-0.03574-0.00619)/0.344)</t>
  </si>
  <si>
    <t>$AA$11</t>
  </si>
  <si>
    <t>=100*($E$17*$E$19+($E$18*(Z11/100))/(1-$E$21))</t>
  </si>
  <si>
    <t>$AC$11</t>
  </si>
  <si>
    <t>=$E$8/(1-AB11)</t>
  </si>
  <si>
    <t>$AE$11</t>
  </si>
  <si>
    <t>=100*(1-AB11)</t>
  </si>
  <si>
    <t>$AA$12</t>
  </si>
  <si>
    <t>=100*($E$17*$E$19+($E$18*(Z12/100))/(1-$E$21))</t>
  </si>
  <si>
    <t>$AC$12</t>
  </si>
  <si>
    <t>=$E$8/(1-AB12)</t>
  </si>
  <si>
    <t>$AE$12</t>
  </si>
  <si>
    <t>=100*(1-AB12)</t>
  </si>
  <si>
    <t>$AA$13</t>
  </si>
  <si>
    <t>=100*($E$17*$E$19+($E$18*(Z13/100))/(1-$E$21))</t>
  </si>
  <si>
    <t>$AC$13</t>
  </si>
  <si>
    <t>=$E$8/(1-AB13)</t>
  </si>
  <si>
    <t>$AE$13</t>
  </si>
  <si>
    <t>=100*(1-AB13)</t>
  </si>
  <si>
    <t>$AA$14</t>
  </si>
  <si>
    <t>=100*($E$17*$E$19+($E$18*(Z14/100))/(1-$E$21))</t>
  </si>
  <si>
    <t>$AC$14</t>
  </si>
  <si>
    <t>=$E$8/(1-AB14)</t>
  </si>
  <si>
    <t>$AE$14</t>
  </si>
  <si>
    <t>=100*(1-AB14)</t>
  </si>
  <si>
    <t>=HLOOKUP($AI$34,$AI$37:$AP$41,($E$12)+1)</t>
  </si>
  <si>
    <t>=(+E8-((H15/100)*E7))/H25</t>
  </si>
  <si>
    <t>=HLOOKUP($AI$34,$AI$28:$AQ$32,($E$12)+1)</t>
  </si>
  <si>
    <t>=VLOOKUP(E10,AH5:AI8,2)</t>
  </si>
  <si>
    <t>$H$15</t>
  </si>
  <si>
    <t>=HLOOKUP($AI$25,$AI$19:$AQ$23,($E$12)+1)</t>
  </si>
  <si>
    <t>$U$17</t>
  </si>
  <si>
    <t>=100*(+AC11/$E$9)</t>
  </si>
  <si>
    <t>=EXP(5.7226-(0.68367*LN(+U17)))</t>
  </si>
  <si>
    <t>=(+V17*U17)/100</t>
  </si>
  <si>
    <t>=100*((((W17/100)-((W17/100)-0.03574)*$E$21)-0.03574-0.00619)/0.344)</t>
  </si>
  <si>
    <t>$U$18</t>
  </si>
  <si>
    <t>=100*(+AC12/$E$9)</t>
  </si>
  <si>
    <t>=EXP(5.70827-(0.68367*LN(+U18)))</t>
  </si>
  <si>
    <t>=(+V18*U18)/100</t>
  </si>
  <si>
    <t>=100*((((W18/100)-((W18/100)-0.03574)*$E$21)-0.03574-0.00619)/0.344)</t>
  </si>
  <si>
    <t>$U$19</t>
  </si>
  <si>
    <t>=100*(+AC13/$E$9)</t>
  </si>
  <si>
    <t>=EXP(5.6985-(0.68367*LN(U19)))</t>
  </si>
  <si>
    <t>=(+V19*U19)/100</t>
  </si>
  <si>
    <t>=100*((((W19/100)-((W19/100)-0.03574)*$E$21)-0.03574-0.00619)/0.344)</t>
  </si>
  <si>
    <t>$U$20</t>
  </si>
  <si>
    <t>=100*(+AC14/$E$9)</t>
  </si>
  <si>
    <t>=EXP(5.6922-(0.68367*LN(U20)))</t>
  </si>
  <si>
    <t>=(+V20*U20)/100</t>
  </si>
  <si>
    <t>=100*((((W20/100)-((W20/100)-0.03574)*$E$21)-0.03574-0.00619)/0.344)</t>
  </si>
  <si>
    <t>$AA$17</t>
  </si>
  <si>
    <t>=100*($E$17*$E$19+($E$18*(Z17/100))/(1-$E$21))</t>
  </si>
  <si>
    <t>$AC$17</t>
  </si>
  <si>
    <t>=$E$8/(1-AB17)</t>
  </si>
  <si>
    <t>$AE$17</t>
  </si>
  <si>
    <t>=100*(1-AB17)</t>
  </si>
  <si>
    <t>$AA$18</t>
  </si>
  <si>
    <t>=100*($E$17*$E$19+($E$18*(Z18/100))/(1-$E$21))</t>
  </si>
  <si>
    <t>$AC$18</t>
  </si>
  <si>
    <t>=$E$8/(1-AB18)</t>
  </si>
  <si>
    <t>$AE$18</t>
  </si>
  <si>
    <t>=100*(1-AB18)</t>
  </si>
  <si>
    <t>$AA$19</t>
  </si>
  <si>
    <t>=100*($E$17*$E$19+($E$18*(Z19/100))/(1-$E$21))</t>
  </si>
  <si>
    <t>$AC$19</t>
  </si>
  <si>
    <t>=$E$8/(1-AB19)</t>
  </si>
  <si>
    <t>$AE$19</t>
  </si>
  <si>
    <t>=100*(1-AB19)</t>
  </si>
  <si>
    <t>$AA$20</t>
  </si>
  <si>
    <t>=100*($E$17*$E$19+($E$18*(Z20/100))/(1-$E$21))</t>
  </si>
  <si>
    <t>$AC$20</t>
  </si>
  <si>
    <t>=$E$8/(1-AB20)</t>
  </si>
  <si>
    <t>$AE$20</t>
  </si>
  <si>
    <t>=100*(1-AB20)</t>
  </si>
  <si>
    <t>$AI$19</t>
  </si>
  <si>
    <t>=HLOOKUP(1,$AI$13:$AQ$17,($E$12)+1)</t>
  </si>
  <si>
    <t>=HLOOKUP(2,$AI$13:$AQ$17,($E$12)+1)</t>
  </si>
  <si>
    <t>=HLOOKUP(3,$AI$13:$AQ$17,($E$12)+1)</t>
  </si>
  <si>
    <t>=HLOOKUP(4,$AI$13:$AQ$17,($E$12)+1)</t>
  </si>
  <si>
    <t>=HLOOKUP(5,$AI$13:$AQ$17,($E$12)+1)</t>
  </si>
  <si>
    <t>=HLOOKUP(6,$AI$13:$AQ$17,($E$12)+1)</t>
  </si>
  <si>
    <t>=HLOOKUP(7,$AI$13:$AQ$17,($E$12)+1)</t>
  </si>
  <si>
    <t>=HLOOKUP(8,$AI$13:$AQ$17,($E$12)+1)</t>
  </si>
  <si>
    <t>=HLOOKUP(9,$AI$13:$AQ$17,($E$12)+1)</t>
  </si>
  <si>
    <t>$U$23</t>
  </si>
  <si>
    <t>=100*(+AC17/$E$9)</t>
  </si>
  <si>
    <t>=EXP(5.7226-(0.68367*LN(+U23)))</t>
  </si>
  <si>
    <t>=(+V23*U23)/100</t>
  </si>
  <si>
    <t>=100*((((W23/100)-((W23/100)-0.03574)*$E$21)-0.03574-0.00619)/0.344)</t>
  </si>
  <si>
    <t>$U$24</t>
  </si>
  <si>
    <t>=100*(+AC18/$E$9)</t>
  </si>
  <si>
    <t>=EXP(5.70827-(0.68367*LN(+U24)))</t>
  </si>
  <si>
    <t>=(+V24*U24)/100</t>
  </si>
  <si>
    <t>=100*((((W24/100)-((W24/100)-0.03574)*$E$21)-0.03574-0.00619)/0.344)</t>
  </si>
  <si>
    <t>$U$25</t>
  </si>
  <si>
    <t>=100*(+AC19/$E$9)</t>
  </si>
  <si>
    <t>=EXP(5.6985-(0.68367*LN(U25)))</t>
  </si>
  <si>
    <t>=(+V25*U25)/100</t>
  </si>
  <si>
    <t>=100*((((W25/100)-((W25/100)-0.03574)*$E$21)-0.03574-0.00619)/0.344)</t>
  </si>
  <si>
    <t>$U$26</t>
  </si>
  <si>
    <t>=100*(+AC20/$E$9)</t>
  </si>
  <si>
    <t>$V$26</t>
  </si>
  <si>
    <t>=EXP(5.6922-(0.68367*LN(U26)))</t>
  </si>
  <si>
    <t>$W$26</t>
  </si>
  <si>
    <t>=(+V26*U26)/100</t>
  </si>
  <si>
    <t>$X$26</t>
  </si>
  <si>
    <t>=100*((((W26/100)-((W26/100)-0.03574)*$E$21)-0.03574-0.00619)/0.344)</t>
  </si>
  <si>
    <t>$AA$23</t>
  </si>
  <si>
    <t>=100*($E$17*$E$19+($E$18*(Z23/100))/(1-$E$21))</t>
  </si>
  <si>
    <t>$AC$23</t>
  </si>
  <si>
    <t>=$E$8/(1-AB23)</t>
  </si>
  <si>
    <t>$AE$23</t>
  </si>
  <si>
    <t>=100*(1-AB23)</t>
  </si>
  <si>
    <t>$AA$24</t>
  </si>
  <si>
    <t>=100*($E$17*$E$19+($E$18*(Z24/100))/(1-$E$21))</t>
  </si>
  <si>
    <t>$AC$24</t>
  </si>
  <si>
    <t>=$E$8/(1-AB24)</t>
  </si>
  <si>
    <t>$AE$24</t>
  </si>
  <si>
    <t>=100*(1-AB24)</t>
  </si>
  <si>
    <t>$AA$25</t>
  </si>
  <si>
    <t>=100*($E$17*$E$19+($E$18*(Z25/100))/(1-$E$21))</t>
  </si>
  <si>
    <t>$AC$25</t>
  </si>
  <si>
    <t>=$E$8/(1-AB25)</t>
  </si>
  <si>
    <t>$AE$25</t>
  </si>
  <si>
    <t>=100*(1-AB25)</t>
  </si>
  <si>
    <t>$AA$26</t>
  </si>
  <si>
    <t>=100*($E$17*$E$19+($E$18*(Z26/100))/(1-$E$21))</t>
  </si>
  <si>
    <t>$AC$26</t>
  </si>
  <si>
    <t>=$E$8/(1-AB26)</t>
  </si>
  <si>
    <t>$AE$26</t>
  </si>
  <si>
    <t>=100*(1-AB26)</t>
  </si>
  <si>
    <t>$H$25</t>
  </si>
  <si>
    <t>=((+H15/100)-H23)</t>
  </si>
  <si>
    <t>$AI$26</t>
  </si>
  <si>
    <t>$AI$28</t>
  </si>
  <si>
    <t>$AJ$28</t>
  </si>
  <si>
    <t>$AK$28</t>
  </si>
  <si>
    <t>$AL$28</t>
  </si>
  <si>
    <t>$AM$28</t>
  </si>
  <si>
    <t>$AN$28</t>
  </si>
  <si>
    <t>$AO$28</t>
  </si>
  <si>
    <t>$AP$28</t>
  </si>
  <si>
    <t>$AQ$28</t>
  </si>
  <si>
    <t>$U$29</t>
  </si>
  <si>
    <t>=100*(+AC23/$E$9)</t>
  </si>
  <si>
    <t>$V$29</t>
  </si>
  <si>
    <t>=EXP(5.7226-(0.68367*LN(+U29)))</t>
  </si>
  <si>
    <t>$W$29</t>
  </si>
  <si>
    <t>=(+V29*U29)/100</t>
  </si>
  <si>
    <t>$X$29</t>
  </si>
  <si>
    <t>=100*((((W29/100)-((W29/100)-0.03574)*$E$21)-0.03574-0.00619)/0.344)</t>
  </si>
  <si>
    <t>$U$30</t>
  </si>
  <si>
    <t>=100*(+AC24/$E$9)</t>
  </si>
  <si>
    <t>=EXP(5.70827-(0.68367*LN(+U30)))</t>
  </si>
  <si>
    <t>=(+V30*U30)/100</t>
  </si>
  <si>
    <t>=100*((((W30/100)-((W30/100)-0.03574)*$E$21)-0.03574-0.00619)/0.344)</t>
  </si>
  <si>
    <t>$U$31</t>
  </si>
  <si>
    <t>=100*(+AC25/$E$9)</t>
  </si>
  <si>
    <t>=EXP(5.6985-(0.68367*LN(U31)))</t>
  </si>
  <si>
    <t>=(+V31*U31)/100</t>
  </si>
  <si>
    <t>=100*((((W31/100)-((W31/100)-0.03574)*$E$21)-0.03574-0.00619)/0.344)</t>
  </si>
  <si>
    <t>$U$32</t>
  </si>
  <si>
    <t>=100*(+AC26/$E$9)</t>
  </si>
  <si>
    <t>=EXP(5.6922-(0.68367*LN(U32)))</t>
  </si>
  <si>
    <t>=(+V32*U32)/100</t>
  </si>
  <si>
    <t>=100*((((W32/100)-((W32/100)-0.03574)*$E$21)-0.03574-0.00619)/0.344)</t>
  </si>
  <si>
    <t>$AA$29</t>
  </si>
  <si>
    <t>=100*($E$17*$E$19+($E$18*(Z29/100))/(1-$E$21))</t>
  </si>
  <si>
    <t>$AC$29</t>
  </si>
  <si>
    <t>=$E$8/(1-AB29)</t>
  </si>
  <si>
    <t>$AE$29</t>
  </si>
  <si>
    <t>=100*(1-AB29)</t>
  </si>
  <si>
    <t>$AA$30</t>
  </si>
  <si>
    <t>=100*($E$17*$E$19+($E$18*(Z30/100))/(1-$E$21))</t>
  </si>
  <si>
    <t>$AC$30</t>
  </si>
  <si>
    <t>=$E$8/(1-AB30)</t>
  </si>
  <si>
    <t>$AE$30</t>
  </si>
  <si>
    <t>=100*(1-AB30)</t>
  </si>
  <si>
    <t>$AA$31</t>
  </si>
  <si>
    <t>=100*($E$17*$E$19+($E$18*(Z31/100))/(1-$E$21))</t>
  </si>
  <si>
    <t>$AC$31</t>
  </si>
  <si>
    <t>=$E$8/(1-AB31)</t>
  </si>
  <si>
    <t>$AE$31</t>
  </si>
  <si>
    <t>=100*(1-AB31)</t>
  </si>
  <si>
    <t>$AA$32</t>
  </si>
  <si>
    <t>=100*($E$17*$E$19+($E$18*(Z32/100))/(1-$E$21))</t>
  </si>
  <si>
    <t>$AC$32</t>
  </si>
  <si>
    <t>=$E$8/(1-AB32)</t>
  </si>
  <si>
    <t>$AE$32</t>
  </si>
  <si>
    <t>=100*(1-AB32)</t>
  </si>
  <si>
    <t>$U$35</t>
  </si>
  <si>
    <t>=100*(+AC29/$E$9)</t>
  </si>
  <si>
    <t>$V$35</t>
  </si>
  <si>
    <t>=EXP(5.7226-(0.68367*LN(+U35)))</t>
  </si>
  <si>
    <t>$W$35</t>
  </si>
  <si>
    <t>=(+V35*U35)/100</t>
  </si>
  <si>
    <t>$X$35</t>
  </si>
  <si>
    <t>=100*((((W35/100)-((W35/100)-0.03574)*$E$21)-0.03574-0.00619)/0.344)</t>
  </si>
  <si>
    <t>$U$36</t>
  </si>
  <si>
    <t>=100*(+AC30/$E$9)</t>
  </si>
  <si>
    <t>=EXP(5.70827-(0.68367*LN(+U36)))</t>
  </si>
  <si>
    <t>=(+V36*U36)/100</t>
  </si>
  <si>
    <t>=100*((((W36/100)-((W36/100)-0.03574)*$E$21)-0.03574-0.00619)/0.344)</t>
  </si>
  <si>
    <t>$U$37</t>
  </si>
  <si>
    <t>=100*(+AC31/$E$9)</t>
  </si>
  <si>
    <t>=EXP(5.6985-(0.68367*LN(U37)))</t>
  </si>
  <si>
    <t>=(+V37*U37)/100</t>
  </si>
  <si>
    <t>=100*((((W37/100)-((W37/100)-0.03574)*$E$21)-0.03574-0.00619)/0.344)</t>
  </si>
  <si>
    <t>$U$38</t>
  </si>
  <si>
    <t>=100*(+AC32/$E$9)</t>
  </si>
  <si>
    <t>=EXP(5.6922-(0.68367*LN(U38)))</t>
  </si>
  <si>
    <t>=(+V38*U38)/100</t>
  </si>
  <si>
    <t>=100*((((W38/100)-((W38/100)-0.03574)*$E$21)-0.03574-0.00619)/0.344)</t>
  </si>
  <si>
    <t>$AA$35</t>
  </si>
  <si>
    <t>=100*($E$17*$E$19+($E$18*(Z35/100))/(1-$E$21))</t>
  </si>
  <si>
    <t>=ROUND($E$8/(1-AB35),0)</t>
  </si>
  <si>
    <t>$AE$35</t>
  </si>
  <si>
    <t>=100*(1-AB35)</t>
  </si>
  <si>
    <t>$AA$36</t>
  </si>
  <si>
    <t>=100*($E$17*$E$19+($E$18*(Z36/100))/(1-$E$21))</t>
  </si>
  <si>
    <t>$AC$36</t>
  </si>
  <si>
    <t>=ROUND($E$8/(1-AB36),0)</t>
  </si>
  <si>
    <t>$AE$36</t>
  </si>
  <si>
    <t>=100*(1-AB36)</t>
  </si>
  <si>
    <t>$AA$37</t>
  </si>
  <si>
    <t>=100*($E$17*$E$19+($E$18*(Z37/100))/(1-$E$21))</t>
  </si>
  <si>
    <t>$AC$37</t>
  </si>
  <si>
    <t>=ROUND($E$8/(1-AB37),0)</t>
  </si>
  <si>
    <t>$AE$37</t>
  </si>
  <si>
    <t>=100*(1-AB37)</t>
  </si>
  <si>
    <t>$AA$38</t>
  </si>
  <si>
    <t>=100*($E$17*$E$19+($E$18*(Z38/100))/(1-$E$21))</t>
  </si>
  <si>
    <t>$AC$38</t>
  </si>
  <si>
    <t>=ROUND($E$8/(1-AB38),0)</t>
  </si>
  <si>
    <t>$AE$38</t>
  </si>
  <si>
    <t>=100*(1-AB38)</t>
  </si>
  <si>
    <t>$AI$35</t>
  </si>
  <si>
    <t>$AI$37</t>
  </si>
  <si>
    <t>$AJ$37</t>
  </si>
  <si>
    <t>$AK$37</t>
  </si>
  <si>
    <t>$AL$37</t>
  </si>
  <si>
    <t>$AM$37</t>
  </si>
  <si>
    <t>$AN$37</t>
  </si>
  <si>
    <t>$AO$37</t>
  </si>
  <si>
    <t>$AP$37</t>
  </si>
  <si>
    <t>$AQ$37</t>
  </si>
  <si>
    <t>$U$41</t>
  </si>
  <si>
    <t>=100*(+AC35/$E$9)</t>
  </si>
  <si>
    <t>$V$41</t>
  </si>
  <si>
    <t>=EXP(5.7226-(0.68367*LN(+U41)))</t>
  </si>
  <si>
    <t>$W$41</t>
  </si>
  <si>
    <t>=(+V41*U41)/100</t>
  </si>
  <si>
    <t>$X$41</t>
  </si>
  <si>
    <t>=100*((((W41/100)-((W41/100)-0.03574)*$E$21)-0.03574-0.00619)/0.344)</t>
  </si>
  <si>
    <t>$U$42</t>
  </si>
  <si>
    <t>=100*(+AC36/$E$9)</t>
  </si>
  <si>
    <t>=EXP(5.70827-(0.68367*LN(+U42)))</t>
  </si>
  <si>
    <t>=(+V42*U42)/100</t>
  </si>
  <si>
    <t>=100*((((W42/100)-((W42/100)-0.03574)*$E$21)-0.03574-0.00619)/0.344)</t>
  </si>
  <si>
    <t>$U$43</t>
  </si>
  <si>
    <t>=100*(+AC37/$E$9)</t>
  </si>
  <si>
    <t>=EXP(5.6985-(0.68367*LN(U43)))</t>
  </si>
  <si>
    <t>=(+V43*U43)/100</t>
  </si>
  <si>
    <t>=100*((((W43/100)-((W43/100)-0.03574)*$E$21)-0.03574-0.00619)/0.344)</t>
  </si>
  <si>
    <t>$U$44</t>
  </si>
  <si>
    <t>=100*(+AC38/$E$9)</t>
  </si>
  <si>
    <t>=EXP(5.6922-(0.68367*LN(U44)))</t>
  </si>
  <si>
    <t>=(+V44*U44)/100</t>
  </si>
  <si>
    <t>=100*((((W44/100)-((W44/100)-0.03574)*$E$21)-0.03574-0.00619)/0.344)</t>
  </si>
  <si>
    <t>$AA$41</t>
  </si>
  <si>
    <t>=100*($E$17*$E$19+($E$18*(Z41/100))/(1-$E$21))</t>
  </si>
  <si>
    <t>$AC$41</t>
  </si>
  <si>
    <t>=ROUND($E$8/(1-AB41),0)</t>
  </si>
  <si>
    <t>$AD$41</t>
  </si>
  <si>
    <t>=IF(OR(OR(AC41=AC35,AC41=(AC35+1)),AC41=(AC27-1)),"yes","not yet")</t>
  </si>
  <si>
    <t>$AE$41</t>
  </si>
  <si>
    <t>=100*(1-AB41)</t>
  </si>
  <si>
    <t>$AA$42</t>
  </si>
  <si>
    <t>=100*($E$17*$E$19+($E$18*(Z42/100))/(1-$E$21))</t>
  </si>
  <si>
    <t>$AC$42</t>
  </si>
  <si>
    <t>=ROUND($E$8/(1-AB42),0)</t>
  </si>
  <si>
    <t>=IF(OR(OR(AC42=AC36,AC42=(AC36+5)),AC42=(AC28-5)),"yes","not yet")</t>
  </si>
  <si>
    <t>=100*(1-AB42)</t>
  </si>
  <si>
    <t>$AA$43</t>
  </si>
  <si>
    <t>=100*($E$17*$E$19+($E$18*(Z43/100))/(1-$E$21))</t>
  </si>
  <si>
    <t>$AC$43</t>
  </si>
  <si>
    <t>=ROUND($E$8/(1-AB43),0)</t>
  </si>
  <si>
    <t>=IF(OR(OR(AC43=AC37,AC43=(AC37+5)),AC43=(AC29-5)),"yes","not yet")</t>
  </si>
  <si>
    <t>=100*(1-AB43)</t>
  </si>
  <si>
    <t>$AA$44</t>
  </si>
  <si>
    <t>=100*($E$17*$E$19+($E$18*(Z44/100))/(1-$E$21))</t>
  </si>
  <si>
    <t>$AC$44</t>
  </si>
  <si>
    <t>=ROUND($E$8/(1-AB44),0)</t>
  </si>
  <si>
    <t>=IF(OR(OR(AC44=AC38,AC44=(AC38+5)),AC44=(AC30-5)),"yes","not yet")</t>
  </si>
  <si>
    <t>=100*(1-AB44)</t>
  </si>
  <si>
    <t>$AI$44</t>
  </si>
  <si>
    <t>=HLOOKUP($AI$34,$AI$37:$AQ$41,($E$12)+1)</t>
  </si>
  <si>
    <t>$U$47</t>
  </si>
  <si>
    <t>=100*(+AC41/$E$9)</t>
  </si>
  <si>
    <t>$V$47</t>
  </si>
  <si>
    <t>=EXP(5.7226-(0.68367*LN(+U47)))</t>
  </si>
  <si>
    <t>$W$47</t>
  </si>
  <si>
    <t>=(+V47*U47)/100</t>
  </si>
  <si>
    <t>$X$47</t>
  </si>
  <si>
    <t>=100*((((W47/100)-((W47/100)-0.03574)*$E$21)-0.03574-0.00619)/0.344)</t>
  </si>
  <si>
    <t>$U$48</t>
  </si>
  <si>
    <t>=100*(+AC42/$E$9)</t>
  </si>
  <si>
    <t>=EXP(5.70827-(0.68367*LN(+U48)))</t>
  </si>
  <si>
    <t>=(+V48*U48)/100</t>
  </si>
  <si>
    <t>=100*((((W48/100)-((W48/100)-0.03574)*$E$21)-0.03574-0.00619)/0.344)</t>
  </si>
  <si>
    <t>$U$49</t>
  </si>
  <si>
    <t>=100*(+AC43/$E$9)</t>
  </si>
  <si>
    <t>=EXP(5.6985-(0.68367*LN(U49)))</t>
  </si>
  <si>
    <t>=(+V49*U49)/100</t>
  </si>
  <si>
    <t>=100*((((W49/100)-((W49/100)-0.03574)*$E$21)-0.03574-0.00619)/0.344)</t>
  </si>
  <si>
    <t>$U$50</t>
  </si>
  <si>
    <t>=100*(+AC44/$E$9)</t>
  </si>
  <si>
    <t>=EXP(5.6922-(0.68367*LN(U50)))</t>
  </si>
  <si>
    <t>=(+V50*U50)/100</t>
  </si>
  <si>
    <t>=100*((((W50/100)-((W50/100)-0.03574)*$E$21)-0.03574-0.00619)/0.344)</t>
  </si>
  <si>
    <t>$AA$47</t>
  </si>
  <si>
    <t>=100*($E$17*$E$19+($E$18*(Z47/100))/(1-$E$21))</t>
  </si>
  <si>
    <t>$AC$47</t>
  </si>
  <si>
    <t>=ROUND($E$8/(1-AB47),0)</t>
  </si>
  <si>
    <t>$AD$47</t>
  </si>
  <si>
    <t>=IF(OR(OR(AC47=AC41,AC47=(AC41+1)),AC47=(AC33-1)),"yes","not yet")</t>
  </si>
  <si>
    <t>$AE$47</t>
  </si>
  <si>
    <t>=100*(1-AB47)</t>
  </si>
  <si>
    <t>$AA$48</t>
  </si>
  <si>
    <t>=100*($E$17*$E$19+($E$18*(Z48/100))/(1-$E$21))</t>
  </si>
  <si>
    <t>$AC$48</t>
  </si>
  <si>
    <t>=ROUND($E$8/(1-AB48),0)</t>
  </si>
  <si>
    <t>=IF(OR(OR(AC48=AC42,AC48=(AC42+1)),AC48=(AC42-1)),"yes","not yet")</t>
  </si>
  <si>
    <t>=100*(1-AB48)</t>
  </si>
  <si>
    <t>$AA$49</t>
  </si>
  <si>
    <t>=100*($E$17*$E$19+($E$18*(Z49/100))/(1-$E$21))</t>
  </si>
  <si>
    <t>$AC$49</t>
  </si>
  <si>
    <t>=ROUND($E$8/(1-AB49),0)</t>
  </si>
  <si>
    <t>=IF(OR(OR(AC49=AC43,AC49=(AC43+1)),AC49=(AC43-1)),"yes","not yet")</t>
  </si>
  <si>
    <t>=100*(1-AB49)</t>
  </si>
  <si>
    <t>$AA$50</t>
  </si>
  <si>
    <t>=100*($E$17*$E$19+($E$18*(Z50/100))/(1-$E$21))</t>
  </si>
  <si>
    <t>$AC$50</t>
  </si>
  <si>
    <t>=ROUND($E$8/(1-AB50),0)</t>
  </si>
  <si>
    <t>=IF(OR(OR(AC50=AC44,AC50=(AC44+1)),AC50=(AC44-1)),"yes","not yet")</t>
  </si>
  <si>
    <t>=100*(1-AB50)</t>
  </si>
  <si>
    <t>=100*(+AC47/$E$9)</t>
  </si>
  <si>
    <t>$V$53</t>
  </si>
  <si>
    <t>=EXP(5.7226-(0.68367*LN(+U53)))</t>
  </si>
  <si>
    <t>$W$53</t>
  </si>
  <si>
    <t>=(+V53*U53)/100</t>
  </si>
  <si>
    <t>$X$53</t>
  </si>
  <si>
    <t>=100*((((W53/100)-((W53/100)-0.03574)*$E$21)-0.03574-0.00619)/0.344)</t>
  </si>
  <si>
    <t>$U$54</t>
  </si>
  <si>
    <t>=100*(+AC48/$E$9)</t>
  </si>
  <si>
    <t>=EXP(5.70827-(0.68367*LN(+U54)))</t>
  </si>
  <si>
    <t>=(+V54*U54)/100</t>
  </si>
  <si>
    <t>=100*((((W54/100)-((W54/100)-0.03574)*$E$21)-0.03574-0.00619)/0.344)</t>
  </si>
  <si>
    <t>=100*(+AC49/$E$9)</t>
  </si>
  <si>
    <t>=EXP(5.6985-(0.68367*LN(U55)))</t>
  </si>
  <si>
    <t>=(+V55*U55)/100</t>
  </si>
  <si>
    <t>=100*((((W55/100)-((W55/100)-0.03574)*$E$21)-0.03574-0.00619)/0.344)</t>
  </si>
  <si>
    <t>=100*(+AC50/$E$9)</t>
  </si>
  <si>
    <t>=EXP(5.6922-(0.68367*LN(U56)))</t>
  </si>
  <si>
    <t>=(+V56*U56)/100</t>
  </si>
  <si>
    <t>=100*((((W56/100)-((W56/100)-0.03574)*$E$21)-0.03574-0.00619)/0.344)</t>
  </si>
  <si>
    <t>$AA$53</t>
  </si>
  <si>
    <t>=100*($E$17*$E$19+($E$18*(Z53/100))/(1-$E$21))</t>
  </si>
  <si>
    <t>$AC$53</t>
  </si>
  <si>
    <t>=ROUND($E$8/(1-AB53),0)</t>
  </si>
  <si>
    <t>$AD$53</t>
  </si>
  <si>
    <t>=IF(OR(OR(AC53=AC47,AC53=(AC47+1)),AC53=(AC39-1)),"yes","not yet")</t>
  </si>
  <si>
    <t>$AE$53</t>
  </si>
  <si>
    <t>=100*(1-AB53)</t>
  </si>
  <si>
    <t>$AA$54</t>
  </si>
  <si>
    <t>=100*($E$17*$E$19+($E$18*(Z54/100))/(1-$E$21))</t>
  </si>
  <si>
    <t>$AC$54</t>
  </si>
  <si>
    <t>=ROUND($E$8/(1-AB54),0)</t>
  </si>
  <si>
    <t>=IF(OR(OR(AC54=AC48,AC54=(AC48+1)),AC54=(AC48-1)),"yes","not yet")</t>
  </si>
  <si>
    <t>=100*(1-AB54)</t>
  </si>
  <si>
    <t>$AA$55</t>
  </si>
  <si>
    <t>=100*($E$17*$E$19+($E$18*(Z55/100))/(1-$E$21))</t>
  </si>
  <si>
    <t>$AC$55</t>
  </si>
  <si>
    <t>=ROUND($E$8/(1-AB55),0)</t>
  </si>
  <si>
    <t>=IF(OR(OR(AC55=AC49,AC55=(AC49+1)),AC55=(AC49-1)),"yes","not yet")</t>
  </si>
  <si>
    <t>=100*(1-AB55)</t>
  </si>
  <si>
    <t>$AA$56</t>
  </si>
  <si>
    <t>=100*($E$17*$E$19+($E$18*(Z56/100))/(1-$E$21))</t>
  </si>
  <si>
    <t>$AC$56</t>
  </si>
  <si>
    <t>=ROUND($E$8/(1-AB56),0)</t>
  </si>
  <si>
    <t>=IF(OR(OR(AC56=AC50,AC56=(AC50+1)),AC56=(AC50-1)),"yes","not yet")</t>
  </si>
  <si>
    <t>=100*(1-AB56)</t>
  </si>
  <si>
    <t>$AH$5</t>
  </si>
  <si>
    <t>$AH$6</t>
  </si>
  <si>
    <t>$AH$7</t>
  </si>
  <si>
    <t>$AH$8</t>
  </si>
  <si>
    <t>$K$5</t>
  </si>
  <si>
    <t>$AI$13</t>
  </si>
  <si>
    <t>$AH$20</t>
  </si>
  <si>
    <t>$AH$21</t>
  </si>
  <si>
    <t>$AH$22</t>
  </si>
  <si>
    <t>$AH$23</t>
  </si>
  <si>
    <t>$Y$26</t>
  </si>
  <si>
    <t>$Y$29</t>
  </si>
  <si>
    <t>$AH$29</t>
  </si>
  <si>
    <t>$AH$30</t>
  </si>
  <si>
    <t>$AH$31</t>
  </si>
  <si>
    <t>$AH$32</t>
  </si>
  <si>
    <t>$Y$35</t>
  </si>
  <si>
    <t>$AH$38</t>
  </si>
  <si>
    <t>$AH$40</t>
  </si>
  <si>
    <t>$AH$41</t>
  </si>
  <si>
    <t>$Y$41</t>
  </si>
  <si>
    <t>$Y$47</t>
  </si>
  <si>
    <t>$Y$53</t>
  </si>
  <si>
    <t>remove/reclassify interest expense</t>
  </si>
  <si>
    <t>formula to calculate regulated refuse portion</t>
  </si>
  <si>
    <t>company directly allocated expense</t>
  </si>
  <si>
    <t># of notices to be printed mailed</t>
  </si>
  <si>
    <t>envelope cost from outside printer source</t>
  </si>
  <si>
    <t>professional fees regarding rate case</t>
  </si>
  <si>
    <t>calculate average debt</t>
  </si>
  <si>
    <t>calculations to begin average weighted debt</t>
  </si>
  <si>
    <t>insurance costs from outside supplier</t>
  </si>
  <si>
    <t>test year formula, test yr depr, test avg investment</t>
  </si>
  <si>
    <t>applicable monthls of test year</t>
  </si>
  <si>
    <t>client depreciation summary, older equipment</t>
  </si>
  <si>
    <t>number days in test year applicable</t>
  </si>
  <si>
    <t>client depr schedules older equip grouped</t>
  </si>
  <si>
    <t>salvage value %</t>
  </si>
  <si>
    <t>estimated life truck</t>
  </si>
  <si>
    <t>est useful life</t>
  </si>
  <si>
    <t>acquisition date asset</t>
  </si>
  <si>
    <t>allocated rate base</t>
  </si>
  <si>
    <t>Lurito formula calculations</t>
  </si>
  <si>
    <t>bad debt %</t>
  </si>
  <si>
    <t>tax rate %</t>
  </si>
  <si>
    <t>b&amp;o rate %</t>
  </si>
  <si>
    <t>reg fee %</t>
  </si>
  <si>
    <t>example % not used-ignore</t>
  </si>
  <si>
    <t xml:space="preserve"> depr, older equipment grouped</t>
  </si>
  <si>
    <t>Trf stn</t>
  </si>
  <si>
    <t>Advertising</t>
  </si>
  <si>
    <t>Prop taxes</t>
  </si>
  <si>
    <t>Rent</t>
  </si>
  <si>
    <t>Source: postal info</t>
  </si>
  <si>
    <t>Roll-off</t>
  </si>
  <si>
    <t>source: monthly reports from County Landfill</t>
  </si>
  <si>
    <t>D/F pass through(current)</t>
  </si>
  <si>
    <t>less p/t</t>
  </si>
  <si>
    <t>proforma incr</t>
  </si>
  <si>
    <t>tot increase</t>
  </si>
  <si>
    <t>Refuse Equipment</t>
  </si>
  <si>
    <t>Current</t>
  </si>
  <si>
    <t>Annual  Revenue-Res</t>
  </si>
  <si>
    <t>30 yd-pickups</t>
  </si>
  <si>
    <t>mileage</t>
  </si>
  <si>
    <t>Annual  Revenue-Drop Box</t>
  </si>
  <si>
    <t>Source:Client</t>
  </si>
  <si>
    <t>Payroll $</t>
  </si>
  <si>
    <t>Route Mgr</t>
  </si>
  <si>
    <t>Helper</t>
  </si>
  <si>
    <t>ofc- billing</t>
  </si>
  <si>
    <t>Officer</t>
  </si>
  <si>
    <t>Note: since only files rate cases every 5-6 yrs</t>
  </si>
  <si>
    <t>entire year was used</t>
  </si>
  <si>
    <t>other assets</t>
  </si>
  <si>
    <t>Notes payable</t>
  </si>
  <si>
    <t xml:space="preserve">  Impact</t>
  </si>
  <si>
    <t>$F$53</t>
  </si>
  <si>
    <t>Client &amp; outside cpa financial statement,revenue,expense</t>
  </si>
  <si>
    <t>$F$49</t>
  </si>
  <si>
    <t>customer counts per  billing system</t>
  </si>
  <si>
    <t>$G$53</t>
  </si>
  <si>
    <t xml:space="preserve"> </t>
  </si>
  <si>
    <t>West Waste/Recycling G-251/Proforma Inc Stmt/TY 9/18</t>
  </si>
  <si>
    <t>West Waste/Recycling G-251/Restating adj 9/18</t>
  </si>
  <si>
    <t>West Waste/Recycling G-251 proforma adj 9/18</t>
  </si>
  <si>
    <t>Scrap sales</t>
  </si>
  <si>
    <t>Finance chgs</t>
  </si>
  <si>
    <t>interest earned</t>
  </si>
  <si>
    <t>Wages</t>
  </si>
  <si>
    <t>Shop wages</t>
  </si>
  <si>
    <t>Fuel expense</t>
  </si>
  <si>
    <t>Insurance</t>
  </si>
  <si>
    <t>Sanitation exp</t>
  </si>
  <si>
    <t>Septic exp</t>
  </si>
  <si>
    <t>Shop expense</t>
  </si>
  <si>
    <t>Scrap expenses</t>
  </si>
  <si>
    <t>Rep &amp; Maint</t>
  </si>
  <si>
    <t>Supplies</t>
  </si>
  <si>
    <t>Bad Debt</t>
  </si>
  <si>
    <t>Bank fees</t>
  </si>
  <si>
    <t>Contrib</t>
  </si>
  <si>
    <t>Computer support</t>
  </si>
  <si>
    <t>Depreciation</t>
  </si>
  <si>
    <t>Dues &amp; Subs</t>
  </si>
  <si>
    <t>Employee Benefits</t>
  </si>
  <si>
    <t>Interest exp</t>
  </si>
  <si>
    <t>Office wages</t>
  </si>
  <si>
    <t>Ofcr Salary</t>
  </si>
  <si>
    <t>Postage</t>
  </si>
  <si>
    <t>Prof fees</t>
  </si>
  <si>
    <t>B&amp;O taxes</t>
  </si>
  <si>
    <t>Payroll taxes</t>
  </si>
  <si>
    <t>State use taxes</t>
  </si>
  <si>
    <t>Taxes,Lic,Permits</t>
  </si>
  <si>
    <t>Meals, Ent</t>
  </si>
  <si>
    <t>Business traves</t>
  </si>
  <si>
    <t>Utilities</t>
  </si>
  <si>
    <t>West Waste &amp; Recycling G-251</t>
  </si>
  <si>
    <t xml:space="preserve"> G-251 - Operating Area</t>
  </si>
  <si>
    <t>Transfer stn</t>
  </si>
  <si>
    <t>Septic</t>
  </si>
  <si>
    <t>x</t>
  </si>
  <si>
    <t>Sanitation</t>
  </si>
  <si>
    <t>West Waste-Recycling/residential priceout/9-18</t>
  </si>
  <si>
    <t>source: Quickbooks billing system/client excel inputs</t>
  </si>
  <si>
    <t>Residt'l-Mini</t>
  </si>
  <si>
    <t>$</t>
  </si>
  <si>
    <t>total $</t>
  </si>
  <si>
    <t>84 intl</t>
  </si>
  <si>
    <t>drop box truck</t>
  </si>
  <si>
    <t>2000 garb tr</t>
  </si>
  <si>
    <t>intl 4700</t>
  </si>
  <si>
    <t>79 ford</t>
  </si>
  <si>
    <t>pump</t>
  </si>
  <si>
    <t>68 frehauf</t>
  </si>
  <si>
    <t>2003 intl</t>
  </si>
  <si>
    <t>axles/box</t>
  </si>
  <si>
    <t>shop truck</t>
  </si>
  <si>
    <t>pete rolloff</t>
  </si>
  <si>
    <t>ford pu</t>
  </si>
  <si>
    <t>peterbilt</t>
  </si>
  <si>
    <t>ford 450/oth</t>
  </si>
  <si>
    <t>2007 truck/packer</t>
  </si>
  <si>
    <t>pete truck</t>
  </si>
  <si>
    <t>2009 f150</t>
  </si>
  <si>
    <t>04 pete</t>
  </si>
  <si>
    <t>2012 intl</t>
  </si>
  <si>
    <t>f55o</t>
  </si>
  <si>
    <t>90 pete</t>
  </si>
  <si>
    <t>trlr</t>
  </si>
  <si>
    <t>f150</t>
  </si>
  <si>
    <t>office f&amp;f/sftware</t>
  </si>
  <si>
    <t>trf eq</t>
  </si>
  <si>
    <t>containers pre tp</t>
  </si>
  <si>
    <t>2007 containers</t>
  </si>
  <si>
    <t>2008 containers</t>
  </si>
  <si>
    <t>2009 containers</t>
  </si>
  <si>
    <t>2010 containers</t>
  </si>
  <si>
    <t>2011 containers</t>
  </si>
  <si>
    <t>2012 containers</t>
  </si>
  <si>
    <t>2013 containers</t>
  </si>
  <si>
    <t>2014 containers</t>
  </si>
  <si>
    <t>2015 containers</t>
  </si>
  <si>
    <t>misc equip</t>
  </si>
  <si>
    <t>Dump fee pass/thru</t>
  </si>
  <si>
    <t>Solid Waste Rev</t>
  </si>
  <si>
    <t>D/F pass through(incr)</t>
  </si>
  <si>
    <t>SW TRUCK</t>
  </si>
  <si>
    <t>new containers</t>
  </si>
  <si>
    <t>1-can</t>
  </si>
  <si>
    <t>2-can</t>
  </si>
  <si>
    <t>3-can</t>
  </si>
  <si>
    <t>4-can</t>
  </si>
  <si>
    <t>5-can</t>
  </si>
  <si>
    <t>1-can eow</t>
  </si>
  <si>
    <t>2-can eow</t>
  </si>
  <si>
    <t>3-can eow</t>
  </si>
  <si>
    <t>1-can monthly</t>
  </si>
  <si>
    <t>1-can on call</t>
  </si>
  <si>
    <t>Comml-Rev</t>
  </si>
  <si>
    <t>1 yd-pickups weekly</t>
  </si>
  <si>
    <t>1 yd-2 pickups weekly</t>
  </si>
  <si>
    <t>1 yd-eow</t>
  </si>
  <si>
    <t>1 yd monthly</t>
  </si>
  <si>
    <t>1 yd on call</t>
  </si>
  <si>
    <t>1.5 yd-pickups weekly</t>
  </si>
  <si>
    <t>1.5 yd-2 pickups weekly</t>
  </si>
  <si>
    <t>1.5 yd-eow</t>
  </si>
  <si>
    <t>1.5 yd on call</t>
  </si>
  <si>
    <t>2 yd-pickups weekly</t>
  </si>
  <si>
    <t>2 yd-2 pickups weekly</t>
  </si>
  <si>
    <t>2 yd-3 pickups weekly</t>
  </si>
  <si>
    <t>2 yd-eow</t>
  </si>
  <si>
    <t>2 yd monthly</t>
  </si>
  <si>
    <t>2 yd on call</t>
  </si>
  <si>
    <t>4 yd-pickups weekly</t>
  </si>
  <si>
    <t>4 yd-2 pickups weekly</t>
  </si>
  <si>
    <t>4 yd-eow</t>
  </si>
  <si>
    <t>Drop Box</t>
  </si>
  <si>
    <t>delivery</t>
  </si>
  <si>
    <t>rent</t>
  </si>
  <si>
    <t>rent-temp</t>
  </si>
  <si>
    <t>40 yd-pickups</t>
  </si>
  <si>
    <t>time</t>
  </si>
  <si>
    <t>per  TB</t>
  </si>
  <si>
    <t xml:space="preserve"> % of  Rev</t>
  </si>
  <si>
    <t>12mos</t>
  </si>
  <si>
    <t>Proforma  (p/t)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</si>
</sst>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_);_(* \(#,##0\);_(* &quot;-&quot;??_);_(@_)"/>
    <numFmt numFmtId="167" formatCode="0.0%"/>
    <numFmt numFmtId="168" formatCode="0.000%"/>
    <numFmt numFmtId="169" formatCode="0_);\(0\)"/>
    <numFmt numFmtId="170" formatCode="#,##0.00;\-#,##0.00"/>
    <numFmt numFmtId="171" formatCode="_(* #,##0.0000_);_(* \(#,##0.0000\);_(* &quot;-&quot;??_);_(@_)"/>
    <numFmt numFmtId="172" formatCode="#,##0.000_);\(#,##0.000\)"/>
    <numFmt numFmtId="173" formatCode="[$-409]mmm\-yy;@"/>
    <numFmt numFmtId="174" formatCode="mm/dd/yy"/>
    <numFmt numFmtId="175" formatCode="_(&quot;$&quot;* #,##0.000_);_(&quot;$&quot;* \(#,##0.000\);_(&quot;$&quot;* &quot;-&quot;??_);_(@_)"/>
    <numFmt numFmtId="176" formatCode="#,##0.0000_);\(#,##0.0000\)"/>
    <numFmt numFmtId="177" formatCode="#,##0.00000_);\(#,##0.00000\)"/>
    <numFmt numFmtId="178" formatCode="0.0000000"/>
    <numFmt numFmtId="179" formatCode="#,##0.0000"/>
    <numFmt numFmtId="180" formatCode="mm/dd/yyyy"/>
    <numFmt numFmtId="181" formatCode="#,##0;\-#,##0"/>
    <numFmt numFmtId="182" formatCode="0.0000%"/>
    <numFmt numFmtId="183" formatCode="_(&quot;$&quot;* #,##0_);_(&quot;$&quot;* \(#,##0\);_(&quot;$&quot;* &quot;-&quot;???_);_(@_)"/>
    <numFmt numFmtId="184" formatCode="_(* #,##0.0_);_(* \(#,##0.0\);_(* &quot;-&quot;??_);_(@_)"/>
    <numFmt numFmtId="185" formatCode="0.000"/>
    <numFmt numFmtId="186" formatCode="0.0"/>
    <numFmt numFmtId="187" formatCode="_(* #,##0.000_);_(* \(#,##0.000\);_(* &quot;-&quot;???_);_(@_)"/>
    <numFmt numFmtId="188" formatCode="#,##0.0"/>
  </numFmts>
  <fonts count="6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0.4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4"/>
      <color indexed="49"/>
      <name val="Arial"/>
      <family val="2"/>
    </font>
    <font>
      <sz val="12"/>
      <color indexed="4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theme="4"/>
      <name val="Arial"/>
      <family val="2"/>
    </font>
    <font>
      <sz val="12"/>
      <color theme="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/>
      <bottom style="double">
        <color indexed="8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0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5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7" fontId="0" fillId="0" borderId="0" xfId="67" applyNumberFormat="1" applyFont="1" applyAlignment="1">
      <alignment/>
    </xf>
    <xf numFmtId="0" fontId="0" fillId="0" borderId="0" xfId="0" applyBorder="1" applyAlignment="1">
      <alignment/>
    </xf>
    <xf numFmtId="166" fontId="3" fillId="0" borderId="0" xfId="42" applyNumberFormat="1" applyFont="1" applyAlignment="1" applyProtection="1">
      <alignment/>
      <protection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10" fontId="0" fillId="0" borderId="0" xfId="67" applyNumberFormat="1" applyFont="1" applyAlignment="1">
      <alignment/>
    </xf>
    <xf numFmtId="1" fontId="0" fillId="0" borderId="0" xfId="0" applyNumberFormat="1" applyAlignment="1">
      <alignment/>
    </xf>
    <xf numFmtId="166" fontId="0" fillId="0" borderId="11" xfId="42" applyNumberFormat="1" applyFont="1" applyBorder="1" applyAlignment="1">
      <alignment/>
    </xf>
    <xf numFmtId="0" fontId="0" fillId="0" borderId="0" xfId="0" applyAlignment="1">
      <alignment horizontal="center"/>
    </xf>
    <xf numFmtId="166" fontId="3" fillId="0" borderId="0" xfId="42" applyNumberFormat="1" applyFont="1" applyAlignment="1" applyProtection="1">
      <alignment/>
      <protection/>
    </xf>
    <xf numFmtId="166" fontId="3" fillId="0" borderId="0" xfId="42" applyNumberFormat="1" applyFont="1" applyAlignment="1" applyProtection="1">
      <alignment horizontal="center"/>
      <protection/>
    </xf>
    <xf numFmtId="166" fontId="0" fillId="0" borderId="0" xfId="42" applyNumberFormat="1" applyFont="1" applyAlignment="1">
      <alignment/>
    </xf>
    <xf numFmtId="166" fontId="3" fillId="0" borderId="12" xfId="42" applyNumberFormat="1" applyFont="1" applyBorder="1" applyAlignment="1" applyProtection="1">
      <alignment/>
      <protection/>
    </xf>
    <xf numFmtId="166" fontId="3" fillId="0" borderId="11" xfId="42" applyNumberFormat="1" applyFont="1" applyBorder="1" applyAlignment="1" applyProtection="1">
      <alignment/>
      <protection/>
    </xf>
    <xf numFmtId="10" fontId="3" fillId="0" borderId="0" xfId="67" applyNumberFormat="1" applyFont="1" applyAlignment="1" applyProtection="1">
      <alignment/>
      <protection/>
    </xf>
    <xf numFmtId="166" fontId="4" fillId="0" borderId="0" xfId="42" applyNumberFormat="1" applyFont="1" applyAlignment="1" applyProtection="1">
      <alignment/>
      <protection/>
    </xf>
    <xf numFmtId="166" fontId="0" fillId="0" borderId="0" xfId="42" applyNumberFormat="1" applyFont="1" applyBorder="1" applyAlignment="1">
      <alignment/>
    </xf>
    <xf numFmtId="167" fontId="0" fillId="0" borderId="0" xfId="67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3" fillId="0" borderId="0" xfId="42" applyNumberFormat="1" applyFont="1" applyAlignment="1" applyProtection="1">
      <alignment horizontal="center"/>
      <protection/>
    </xf>
    <xf numFmtId="166" fontId="3" fillId="0" borderId="10" xfId="42" applyNumberFormat="1" applyFont="1" applyBorder="1" applyAlignment="1" applyProtection="1">
      <alignment/>
      <protection/>
    </xf>
    <xf numFmtId="166" fontId="3" fillId="0" borderId="12" xfId="42" applyNumberFormat="1" applyFont="1" applyBorder="1" applyAlignment="1" applyProtection="1">
      <alignment/>
      <protection/>
    </xf>
    <xf numFmtId="166" fontId="0" fillId="0" borderId="13" xfId="42" applyNumberFormat="1" applyFont="1" applyBorder="1" applyAlignment="1">
      <alignment/>
    </xf>
    <xf numFmtId="0" fontId="0" fillId="0" borderId="11" xfId="0" applyBorder="1" applyAlignment="1">
      <alignment/>
    </xf>
    <xf numFmtId="167" fontId="3" fillId="0" borderId="0" xfId="67" applyNumberFormat="1" applyFont="1" applyAlignment="1" applyProtection="1">
      <alignment/>
      <protection/>
    </xf>
    <xf numFmtId="0" fontId="0" fillId="0" borderId="0" xfId="0" applyAlignment="1">
      <alignment horizontal="right"/>
    </xf>
    <xf numFmtId="166" fontId="3" fillId="0" borderId="0" xfId="42" applyNumberFormat="1" applyFont="1" applyBorder="1" applyAlignment="1" applyProtection="1">
      <alignment/>
      <protection/>
    </xf>
    <xf numFmtId="43" fontId="0" fillId="0" borderId="0" xfId="42" applyFont="1" applyAlignment="1">
      <alignment/>
    </xf>
    <xf numFmtId="166" fontId="0" fillId="0" borderId="0" xfId="0" applyNumberFormat="1" applyAlignment="1">
      <alignment/>
    </xf>
    <xf numFmtId="166" fontId="3" fillId="0" borderId="0" xfId="42" applyNumberFormat="1" applyFont="1" applyAlignment="1" applyProtection="1" quotePrefix="1">
      <alignment/>
      <protection/>
    </xf>
    <xf numFmtId="14" fontId="0" fillId="0" borderId="0" xfId="0" applyNumberFormat="1" applyAlignment="1">
      <alignment/>
    </xf>
    <xf numFmtId="9" fontId="0" fillId="0" borderId="0" xfId="67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3" fillId="0" borderId="0" xfId="0" applyNumberFormat="1" applyFont="1" applyAlignment="1" applyProtection="1">
      <alignment/>
      <protection/>
    </xf>
    <xf numFmtId="173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6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10" fontId="3" fillId="0" borderId="0" xfId="67" applyNumberFormat="1" applyFont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10" fontId="3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7" fontId="8" fillId="0" borderId="0" xfId="56" applyNumberFormat="1" applyFont="1" applyAlignment="1" applyProtection="1">
      <alignment/>
      <protection/>
    </xf>
    <xf numFmtId="166" fontId="0" fillId="0" borderId="0" xfId="42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166" fontId="56" fillId="0" borderId="0" xfId="42" applyNumberFormat="1" applyFont="1" applyAlignment="1">
      <alignment/>
    </xf>
    <xf numFmtId="0" fontId="56" fillId="0" borderId="0" xfId="0" applyFont="1" applyBorder="1" applyAlignment="1">
      <alignment/>
    </xf>
    <xf numFmtId="171" fontId="56" fillId="0" borderId="0" xfId="42" applyNumberFormat="1" applyFont="1" applyAlignment="1">
      <alignment/>
    </xf>
    <xf numFmtId="0" fontId="5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1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66" fontId="0" fillId="0" borderId="0" xfId="42" applyNumberFormat="1" applyFont="1" applyAlignment="1" applyProtection="1">
      <alignment horizontal="center"/>
      <protection/>
    </xf>
    <xf numFmtId="5" fontId="0" fillId="0" borderId="0" xfId="0" applyNumberFormat="1" applyFont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166" fontId="0" fillId="0" borderId="0" xfId="42" applyNumberFormat="1" applyFont="1" applyFill="1" applyAlignment="1" applyProtection="1">
      <alignment/>
      <protection/>
    </xf>
    <xf numFmtId="171" fontId="0" fillId="0" borderId="0" xfId="42" applyNumberFormat="1" applyFont="1" applyAlignment="1" applyProtection="1">
      <alignment/>
      <protection/>
    </xf>
    <xf numFmtId="166" fontId="0" fillId="0" borderId="11" xfId="42" applyNumberFormat="1" applyFont="1" applyBorder="1" applyAlignment="1" applyProtection="1">
      <alignment/>
      <protection/>
    </xf>
    <xf numFmtId="166" fontId="0" fillId="0" borderId="10" xfId="42" applyNumberFormat="1" applyFont="1" applyBorder="1" applyAlignment="1" applyProtection="1">
      <alignment/>
      <protection/>
    </xf>
    <xf numFmtId="166" fontId="0" fillId="0" borderId="13" xfId="42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66" fontId="0" fillId="0" borderId="12" xfId="42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10" fontId="0" fillId="0" borderId="0" xfId="67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7" fontId="0" fillId="0" borderId="0" xfId="0" applyNumberFormat="1" applyFont="1" applyAlignment="1" applyProtection="1">
      <alignment/>
      <protection/>
    </xf>
    <xf numFmtId="166" fontId="0" fillId="0" borderId="14" xfId="42" applyNumberFormat="1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66" fontId="0" fillId="0" borderId="11" xfId="42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10" fontId="0" fillId="0" borderId="0" xfId="67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56" fillId="0" borderId="16" xfId="0" applyFont="1" applyBorder="1" applyAlignment="1" applyProtection="1">
      <alignment/>
      <protection/>
    </xf>
    <xf numFmtId="166" fontId="56" fillId="0" borderId="16" xfId="42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17" fontId="0" fillId="0" borderId="0" xfId="0" applyNumberFormat="1" applyAlignment="1">
      <alignment/>
    </xf>
    <xf numFmtId="9" fontId="0" fillId="0" borderId="11" xfId="67" applyFont="1" applyBorder="1" applyAlignment="1">
      <alignment/>
    </xf>
    <xf numFmtId="44" fontId="0" fillId="0" borderId="0" xfId="46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NumberFormat="1" applyFont="1" applyAlignment="1">
      <alignment horizontal="center"/>
    </xf>
    <xf numFmtId="10" fontId="0" fillId="0" borderId="0" xfId="67" applyNumberFormat="1" applyFont="1" applyAlignment="1">
      <alignment/>
    </xf>
    <xf numFmtId="1" fontId="4" fillId="0" borderId="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13" xfId="0" applyBorder="1" applyAlignment="1">
      <alignment/>
    </xf>
    <xf numFmtId="16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166" fontId="0" fillId="0" borderId="0" xfId="42" applyNumberFormat="1" applyFont="1" applyBorder="1" applyAlignment="1">
      <alignment/>
    </xf>
    <xf numFmtId="173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9" fontId="0" fillId="0" borderId="0" xfId="67" applyNumberFormat="1" applyFont="1" applyAlignment="1">
      <alignment/>
    </xf>
    <xf numFmtId="44" fontId="0" fillId="0" borderId="13" xfId="46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9" fontId="0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0" fillId="0" borderId="0" xfId="0" applyAlignment="1" quotePrefix="1">
      <alignment/>
    </xf>
    <xf numFmtId="18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0" fontId="12" fillId="0" borderId="0" xfId="0" applyFont="1" applyAlignment="1">
      <alignment/>
    </xf>
    <xf numFmtId="169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66" fontId="11" fillId="0" borderId="0" xfId="42" applyNumberFormat="1" applyFont="1" applyAlignment="1">
      <alignment/>
    </xf>
    <xf numFmtId="166" fontId="0" fillId="0" borderId="0" xfId="42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3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39" fontId="5" fillId="0" borderId="0" xfId="0" applyNumberFormat="1" applyFont="1" applyAlignment="1">
      <alignment/>
    </xf>
    <xf numFmtId="0" fontId="0" fillId="0" borderId="0" xfId="0" applyNumberFormat="1" applyAlignment="1">
      <alignment horizontal="fill"/>
    </xf>
    <xf numFmtId="37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" fontId="57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166" fontId="3" fillId="0" borderId="0" xfId="42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6" fontId="0" fillId="0" borderId="0" xfId="42" applyNumberFormat="1" applyFont="1" applyFill="1" applyAlignment="1">
      <alignment/>
    </xf>
    <xf numFmtId="166" fontId="3" fillId="0" borderId="0" xfId="42" applyNumberFormat="1" applyFont="1" applyFill="1" applyAlignment="1" applyProtection="1">
      <alignment/>
      <protection/>
    </xf>
    <xf numFmtId="5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43" fontId="0" fillId="0" borderId="0" xfId="42" applyFont="1" applyFill="1" applyAlignment="1">
      <alignment/>
    </xf>
    <xf numFmtId="166" fontId="3" fillId="0" borderId="17" xfId="42" applyNumberFormat="1" applyFont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166" fontId="0" fillId="0" borderId="0" xfId="42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/>
    </xf>
    <xf numFmtId="17" fontId="0" fillId="0" borderId="0" xfId="0" applyNumberFormat="1" applyFont="1" applyAlignment="1">
      <alignment/>
    </xf>
    <xf numFmtId="9" fontId="0" fillId="0" borderId="0" xfId="67" applyFont="1" applyBorder="1" applyAlignment="1">
      <alignment/>
    </xf>
    <xf numFmtId="166" fontId="0" fillId="0" borderId="11" xfId="42" applyNumberFormat="1" applyFont="1" applyBorder="1" applyAlignment="1">
      <alignment/>
    </xf>
    <xf numFmtId="43" fontId="0" fillId="0" borderId="0" xfId="42" applyFont="1" applyAlignment="1">
      <alignment horizontal="center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67" fontId="0" fillId="0" borderId="0" xfId="67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42" applyFont="1" applyFill="1" applyAlignment="1">
      <alignment horizontal="left"/>
    </xf>
    <xf numFmtId="0" fontId="2" fillId="0" borderId="0" xfId="0" applyFont="1" applyFill="1" applyAlignment="1">
      <alignment/>
    </xf>
    <xf numFmtId="166" fontId="0" fillId="0" borderId="0" xfId="42" applyNumberFormat="1" applyFont="1" applyAlignment="1">
      <alignment horizontal="right"/>
    </xf>
    <xf numFmtId="167" fontId="0" fillId="0" borderId="0" xfId="67" applyNumberFormat="1" applyFont="1" applyBorder="1" applyAlignment="1">
      <alignment/>
    </xf>
    <xf numFmtId="44" fontId="0" fillId="0" borderId="0" xfId="46" applyFont="1" applyBorder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6" fontId="5" fillId="0" borderId="14" xfId="42" applyNumberFormat="1" applyFont="1" applyBorder="1" applyAlignment="1">
      <alignment/>
    </xf>
    <xf numFmtId="174" fontId="1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67" fontId="0" fillId="0" borderId="0" xfId="67" applyNumberFormat="1" applyFont="1" applyFill="1" applyAlignment="1">
      <alignment/>
    </xf>
    <xf numFmtId="9" fontId="0" fillId="0" borderId="0" xfId="67" applyFont="1" applyAlignment="1">
      <alignment/>
    </xf>
    <xf numFmtId="1" fontId="0" fillId="0" borderId="0" xfId="0" applyNumberFormat="1" applyFont="1" applyFill="1" applyAlignment="1">
      <alignment/>
    </xf>
    <xf numFmtId="166" fontId="0" fillId="0" borderId="14" xfId="42" applyNumberFormat="1" applyFont="1" applyFill="1" applyBorder="1" applyAlignment="1">
      <alignment/>
    </xf>
    <xf numFmtId="166" fontId="59" fillId="0" borderId="0" xfId="0" applyNumberFormat="1" applyFont="1" applyAlignment="1">
      <alignment/>
    </xf>
    <xf numFmtId="167" fontId="59" fillId="0" borderId="0" xfId="67" applyNumberFormat="1" applyFont="1" applyAlignment="1">
      <alignment/>
    </xf>
    <xf numFmtId="10" fontId="59" fillId="0" borderId="0" xfId="0" applyNumberFormat="1" applyFont="1" applyAlignment="1">
      <alignment/>
    </xf>
    <xf numFmtId="10" fontId="59" fillId="0" borderId="0" xfId="67" applyNumberFormat="1" applyFont="1" applyAlignment="1">
      <alignment/>
    </xf>
    <xf numFmtId="0" fontId="59" fillId="0" borderId="0" xfId="0" applyFont="1" applyAlignment="1">
      <alignment/>
    </xf>
    <xf numFmtId="166" fontId="59" fillId="0" borderId="14" xfId="42" applyNumberFormat="1" applyFont="1" applyBorder="1" applyAlignment="1">
      <alignment/>
    </xf>
    <xf numFmtId="9" fontId="59" fillId="0" borderId="14" xfId="67" applyFont="1" applyBorder="1" applyAlignment="1">
      <alignment/>
    </xf>
    <xf numFmtId="10" fontId="59" fillId="0" borderId="14" xfId="67" applyNumberFormat="1" applyFont="1" applyBorder="1" applyAlignment="1">
      <alignment/>
    </xf>
    <xf numFmtId="166" fontId="0" fillId="0" borderId="15" xfId="42" applyNumberFormat="1" applyFont="1" applyFill="1" applyBorder="1" applyAlignment="1">
      <alignment/>
    </xf>
    <xf numFmtId="9" fontId="59" fillId="0" borderId="0" xfId="67" applyFont="1" applyBorder="1" applyAlignment="1">
      <alignment/>
    </xf>
    <xf numFmtId="0" fontId="59" fillId="0" borderId="0" xfId="0" applyFont="1" applyFill="1" applyAlignment="1">
      <alignment horizontal="center" wrapText="1"/>
    </xf>
    <xf numFmtId="179" fontId="0" fillId="0" borderId="14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7" fontId="15" fillId="0" borderId="0" xfId="0" applyNumberFormat="1" applyFont="1" applyAlignment="1" applyProtection="1">
      <alignment horizontal="left"/>
      <protection/>
    </xf>
    <xf numFmtId="37" fontId="15" fillId="0" borderId="0" xfId="0" applyNumberFormat="1" applyFont="1" applyAlignment="1">
      <alignment/>
    </xf>
    <xf numFmtId="43" fontId="15" fillId="0" borderId="0" xfId="44" applyFont="1" applyAlignment="1">
      <alignment/>
    </xf>
    <xf numFmtId="37" fontId="15" fillId="0" borderId="0" xfId="0" applyNumberFormat="1" applyFont="1" applyAlignment="1" applyProtection="1">
      <alignment horizontal="center"/>
      <protection/>
    </xf>
    <xf numFmtId="37" fontId="15" fillId="0" borderId="11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166" fontId="15" fillId="0" borderId="0" xfId="44" applyNumberFormat="1" applyFont="1" applyAlignment="1">
      <alignment/>
    </xf>
    <xf numFmtId="37" fontId="15" fillId="0" borderId="0" xfId="0" applyNumberFormat="1" applyFont="1" applyAlignment="1" applyProtection="1">
      <alignment horizontal="fill"/>
      <protection/>
    </xf>
    <xf numFmtId="43" fontId="0" fillId="0" borderId="0" xfId="44" applyFont="1" applyAlignment="1">
      <alignment/>
    </xf>
    <xf numFmtId="37" fontId="15" fillId="0" borderId="13" xfId="0" applyNumberFormat="1" applyFont="1" applyBorder="1" applyAlignment="1" applyProtection="1">
      <alignment/>
      <protection/>
    </xf>
    <xf numFmtId="37" fontId="16" fillId="0" borderId="0" xfId="0" applyNumberFormat="1" applyFont="1" applyAlignment="1">
      <alignment/>
    </xf>
    <xf numFmtId="37" fontId="15" fillId="0" borderId="13" xfId="0" applyNumberFormat="1" applyFont="1" applyBorder="1" applyAlignment="1">
      <alignment/>
    </xf>
    <xf numFmtId="37" fontId="15" fillId="0" borderId="11" xfId="0" applyNumberFormat="1" applyFont="1" applyBorder="1" applyAlignment="1">
      <alignment/>
    </xf>
    <xf numFmtId="37" fontId="15" fillId="0" borderId="15" xfId="0" applyNumberFormat="1" applyFont="1" applyBorder="1" applyAlignment="1">
      <alignment/>
    </xf>
    <xf numFmtId="37" fontId="60" fillId="0" borderId="13" xfId="0" applyNumberFormat="1" applyFont="1" applyFill="1" applyBorder="1" applyAlignment="1">
      <alignment/>
    </xf>
    <xf numFmtId="167" fontId="17" fillId="0" borderId="0" xfId="67" applyNumberFormat="1" applyFont="1" applyBorder="1" applyAlignment="1">
      <alignment/>
    </xf>
    <xf numFmtId="37" fontId="17" fillId="0" borderId="13" xfId="0" applyNumberFormat="1" applyFont="1" applyBorder="1" applyAlignment="1">
      <alignment/>
    </xf>
    <xf numFmtId="39" fontId="15" fillId="0" borderId="0" xfId="0" applyNumberFormat="1" applyFont="1" applyAlignment="1">
      <alignment/>
    </xf>
    <xf numFmtId="175" fontId="0" fillId="0" borderId="0" xfId="46" applyNumberFormat="1" applyFont="1" applyAlignment="1">
      <alignment/>
    </xf>
    <xf numFmtId="175" fontId="0" fillId="0" borderId="0" xfId="0" applyNumberFormat="1" applyAlignment="1">
      <alignment/>
    </xf>
    <xf numFmtId="0" fontId="0" fillId="0" borderId="14" xfId="0" applyBorder="1" applyAlignment="1">
      <alignment/>
    </xf>
    <xf numFmtId="37" fontId="16" fillId="0" borderId="0" xfId="0" applyNumberFormat="1" applyFont="1" applyAlignment="1" applyProtection="1">
      <alignment horizontal="left"/>
      <protection/>
    </xf>
    <xf numFmtId="43" fontId="0" fillId="0" borderId="14" xfId="42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Alignment="1">
      <alignment/>
    </xf>
    <xf numFmtId="43" fontId="0" fillId="0" borderId="0" xfId="42" applyFont="1" applyFill="1" applyAlignment="1">
      <alignment horizontal="left"/>
    </xf>
    <xf numFmtId="43" fontId="0" fillId="0" borderId="11" xfId="42" applyFont="1" applyFill="1" applyBorder="1" applyAlignment="1">
      <alignment horizontal="left"/>
    </xf>
    <xf numFmtId="43" fontId="0" fillId="0" borderId="0" xfId="0" applyNumberFormat="1" applyFill="1" applyAlignment="1">
      <alignment horizontal="left"/>
    </xf>
    <xf numFmtId="43" fontId="0" fillId="0" borderId="0" xfId="42" applyFont="1" applyFill="1" applyAlignment="1">
      <alignment/>
    </xf>
    <xf numFmtId="43" fontId="0" fillId="0" borderId="11" xfId="42" applyNumberFormat="1" applyFont="1" applyFill="1" applyBorder="1" applyAlignment="1">
      <alignment/>
    </xf>
    <xf numFmtId="183" fontId="0" fillId="0" borderId="13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left"/>
    </xf>
    <xf numFmtId="43" fontId="15" fillId="0" borderId="0" xfId="44" applyNumberFormat="1" applyFont="1" applyAlignment="1">
      <alignment/>
    </xf>
    <xf numFmtId="167" fontId="15" fillId="0" borderId="0" xfId="68" applyNumberFormat="1" applyFont="1" applyBorder="1" applyAlignment="1">
      <alignment/>
    </xf>
    <xf numFmtId="37" fontId="15" fillId="0" borderId="0" xfId="0" applyNumberFormat="1" applyFont="1" applyBorder="1" applyAlignment="1" applyProtection="1">
      <alignment/>
      <protection/>
    </xf>
    <xf numFmtId="167" fontId="16" fillId="0" borderId="15" xfId="68" applyNumberFormat="1" applyFont="1" applyBorder="1" applyAlignment="1">
      <alignment/>
    </xf>
    <xf numFmtId="167" fontId="15" fillId="0" borderId="0" xfId="67" applyNumberFormat="1" applyFont="1" applyAlignment="1">
      <alignment/>
    </xf>
    <xf numFmtId="166" fontId="3" fillId="0" borderId="0" xfId="0" applyNumberFormat="1" applyFont="1" applyFill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33</xdr:row>
      <xdr:rowOff>161925</xdr:rowOff>
    </xdr:from>
    <xdr:to>
      <xdr:col>6</xdr:col>
      <xdr:colOff>9525</xdr:colOff>
      <xdr:row>34</xdr:row>
      <xdr:rowOff>19050</xdr:rowOff>
    </xdr:to>
    <xdr:sp>
      <xdr:nvSpPr>
        <xdr:cNvPr id="1" name="AutoShape 3"/>
        <xdr:cNvSpPr>
          <a:spLocks/>
        </xdr:cNvSpPr>
      </xdr:nvSpPr>
      <xdr:spPr>
        <a:xfrm flipV="1">
          <a:off x="4114800" y="552450"/>
          <a:ext cx="0" cy="0"/>
        </a:xfrm>
        <a:prstGeom prst="wedgeRectCallout">
          <a:avLst>
            <a:gd name="adj1" fmla="val 104055"/>
            <a:gd name="adj2" fmla="val 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161925</xdr:rowOff>
    </xdr:from>
    <xdr:to>
      <xdr:col>6</xdr:col>
      <xdr:colOff>9525</xdr:colOff>
      <xdr:row>41</xdr:row>
      <xdr:rowOff>19050</xdr:rowOff>
    </xdr:to>
    <xdr:sp>
      <xdr:nvSpPr>
        <xdr:cNvPr id="2" name="AutoShape 3"/>
        <xdr:cNvSpPr>
          <a:spLocks/>
        </xdr:cNvSpPr>
      </xdr:nvSpPr>
      <xdr:spPr>
        <a:xfrm flipV="1">
          <a:off x="4114800" y="552450"/>
          <a:ext cx="0" cy="0"/>
        </a:xfrm>
        <a:prstGeom prst="wedgeRectCallout">
          <a:avLst>
            <a:gd name="adj1" fmla="val 104055"/>
            <a:gd name="adj2" fmla="val 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</xdr:row>
      <xdr:rowOff>161925</xdr:rowOff>
    </xdr:from>
    <xdr:to>
      <xdr:col>6</xdr:col>
      <xdr:colOff>9525</xdr:colOff>
      <xdr:row>42</xdr:row>
      <xdr:rowOff>19050</xdr:rowOff>
    </xdr:to>
    <xdr:sp>
      <xdr:nvSpPr>
        <xdr:cNvPr id="3" name="AutoShape 3"/>
        <xdr:cNvSpPr>
          <a:spLocks/>
        </xdr:cNvSpPr>
      </xdr:nvSpPr>
      <xdr:spPr>
        <a:xfrm flipV="1">
          <a:off x="4114800" y="552450"/>
          <a:ext cx="0" cy="0"/>
        </a:xfrm>
        <a:prstGeom prst="wedgeRectCallout">
          <a:avLst>
            <a:gd name="adj1" fmla="val 104055"/>
            <a:gd name="adj2" fmla="val 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SI\CDSI_UTC_cases\CDSI_Rate_Case_2011\CDSIrop063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DS\UTC_rates_2013\accounting%20info\Pullman-Lurito_2013_Combin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"/>
      <sheetName val="matrix"/>
      <sheetName val="stats"/>
      <sheetName val="fuel"/>
      <sheetName val="depr"/>
      <sheetName val="Lurito"/>
      <sheetName val="rev"/>
      <sheetName val="pr"/>
      <sheetName val="oth"/>
      <sheetName val="ben"/>
      <sheetName val="imp"/>
      <sheetName val="debt"/>
    </sheetNames>
    <sheetDataSet>
      <sheetData sheetId="0">
        <row r="13">
          <cell r="A13" t="str">
            <v>Total Revenue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Combined"/>
      <sheetName val="Combined"/>
      <sheetName val="GarbOnly"/>
      <sheetName val="MFam"/>
      <sheetName val="CurbRecy"/>
      <sheetName val="YWaste"/>
      <sheetName val="MedWaste"/>
      <sheetName val="CmlEW"/>
      <sheetName val="lt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865"/>
  <sheetViews>
    <sheetView zoomScale="110" zoomScaleNormal="110" zoomScalePageLayoutView="0" workbookViewId="0" topLeftCell="A1">
      <pane xSplit="1" ySplit="1" topLeftCell="B9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3" sqref="D63:G63"/>
    </sheetView>
  </sheetViews>
  <sheetFormatPr defaultColWidth="8.88671875" defaultRowHeight="15"/>
  <cols>
    <col min="1" max="1" width="13.4453125" style="0" customWidth="1"/>
    <col min="3" max="3" width="51.99609375" style="0" customWidth="1"/>
    <col min="4" max="4" width="17.10546875" style="0" customWidth="1"/>
  </cols>
  <sheetData>
    <row r="1" spans="1:8" ht="15">
      <c r="A1" t="s">
        <v>107</v>
      </c>
      <c r="B1" t="s">
        <v>108</v>
      </c>
      <c r="C1" t="s">
        <v>109</v>
      </c>
      <c r="D1" t="s">
        <v>110</v>
      </c>
      <c r="E1" t="s">
        <v>112</v>
      </c>
      <c r="H1" t="s">
        <v>112</v>
      </c>
    </row>
    <row r="2" spans="1:5" ht="15">
      <c r="A2" t="s">
        <v>253</v>
      </c>
      <c r="B2" t="s">
        <v>1793</v>
      </c>
      <c r="C2" s="284">
        <v>709104</v>
      </c>
      <c r="D2" s="284"/>
      <c r="E2" t="s">
        <v>1794</v>
      </c>
    </row>
    <row r="3" spans="1:6" ht="15">
      <c r="A3" t="s">
        <v>253</v>
      </c>
      <c r="B3" t="s">
        <v>1793</v>
      </c>
      <c r="C3" s="284">
        <v>17089</v>
      </c>
      <c r="D3" s="284"/>
      <c r="E3" t="s">
        <v>1794</v>
      </c>
      <c r="F3" t="s">
        <v>1794</v>
      </c>
    </row>
    <row r="4" spans="1:6" ht="15">
      <c r="A4" t="s">
        <v>253</v>
      </c>
      <c r="B4" t="s">
        <v>1793</v>
      </c>
      <c r="C4" s="284">
        <v>211221</v>
      </c>
      <c r="D4" s="284"/>
      <c r="E4" t="s">
        <v>1794</v>
      </c>
      <c r="F4" t="s">
        <v>1794</v>
      </c>
    </row>
    <row r="5" spans="1:6" ht="15">
      <c r="A5" t="s">
        <v>253</v>
      </c>
      <c r="B5" t="s">
        <v>1793</v>
      </c>
      <c r="C5" s="284">
        <v>60305</v>
      </c>
      <c r="D5" s="284"/>
      <c r="E5" t="s">
        <v>1794</v>
      </c>
      <c r="F5" t="s">
        <v>1794</v>
      </c>
    </row>
    <row r="6" spans="1:6" ht="15">
      <c r="A6" t="s">
        <v>253</v>
      </c>
      <c r="B6" t="s">
        <v>1793</v>
      </c>
      <c r="C6" s="284">
        <v>9739</v>
      </c>
      <c r="D6" s="284"/>
      <c r="E6" t="s">
        <v>1794</v>
      </c>
      <c r="F6" t="s">
        <v>1794</v>
      </c>
    </row>
    <row r="7" spans="1:6" ht="15">
      <c r="A7" t="s">
        <v>253</v>
      </c>
      <c r="B7" t="s">
        <v>1793</v>
      </c>
      <c r="C7" s="284">
        <v>44098</v>
      </c>
      <c r="D7" s="284"/>
      <c r="E7" t="s">
        <v>1794</v>
      </c>
      <c r="F7" t="s">
        <v>1794</v>
      </c>
    </row>
    <row r="8" spans="1:6" ht="15">
      <c r="A8" t="s">
        <v>253</v>
      </c>
      <c r="B8" t="s">
        <v>1793</v>
      </c>
      <c r="C8" s="284">
        <v>63443</v>
      </c>
      <c r="D8" s="284"/>
      <c r="E8" t="s">
        <v>1794</v>
      </c>
      <c r="F8" t="s">
        <v>1794</v>
      </c>
    </row>
    <row r="9" spans="1:6" ht="15">
      <c r="A9" t="s">
        <v>253</v>
      </c>
      <c r="B9" t="s">
        <v>1793</v>
      </c>
      <c r="C9" s="284">
        <v>25698</v>
      </c>
      <c r="D9" s="284"/>
      <c r="E9" t="s">
        <v>1794</v>
      </c>
      <c r="F9" t="s">
        <v>1794</v>
      </c>
    </row>
    <row r="10" spans="1:6" ht="15">
      <c r="A10" t="s">
        <v>253</v>
      </c>
      <c r="B10" t="s">
        <v>1793</v>
      </c>
      <c r="C10" s="284">
        <v>8659</v>
      </c>
      <c r="D10" s="284"/>
      <c r="E10" t="s">
        <v>1794</v>
      </c>
      <c r="F10" t="s">
        <v>1794</v>
      </c>
    </row>
    <row r="11" spans="1:6" ht="15">
      <c r="A11" t="s">
        <v>253</v>
      </c>
      <c r="B11" t="s">
        <v>1793</v>
      </c>
      <c r="C11" s="284">
        <v>1860</v>
      </c>
      <c r="D11" s="284"/>
      <c r="E11" t="s">
        <v>1794</v>
      </c>
      <c r="F11" t="s">
        <v>1794</v>
      </c>
    </row>
    <row r="12" spans="1:6" ht="15">
      <c r="A12" t="s">
        <v>253</v>
      </c>
      <c r="B12" t="s">
        <v>1793</v>
      </c>
      <c r="C12" s="284">
        <v>91128</v>
      </c>
      <c r="D12" s="284"/>
      <c r="E12" t="s">
        <v>1794</v>
      </c>
      <c r="F12" t="s">
        <v>1794</v>
      </c>
    </row>
    <row r="13" spans="1:6" ht="15">
      <c r="A13" t="s">
        <v>253</v>
      </c>
      <c r="B13" t="s">
        <v>1793</v>
      </c>
      <c r="C13" s="284">
        <v>9024</v>
      </c>
      <c r="D13" s="284"/>
      <c r="E13" t="s">
        <v>1794</v>
      </c>
      <c r="F13" t="s">
        <v>1794</v>
      </c>
    </row>
    <row r="14" spans="1:6" ht="15">
      <c r="A14" t="s">
        <v>253</v>
      </c>
      <c r="B14" t="s">
        <v>1793</v>
      </c>
      <c r="C14" s="284">
        <v>5325</v>
      </c>
      <c r="D14" s="284"/>
      <c r="E14" t="s">
        <v>1794</v>
      </c>
      <c r="F14" t="s">
        <v>1794</v>
      </c>
    </row>
    <row r="15" spans="1:6" ht="15">
      <c r="A15" t="s">
        <v>253</v>
      </c>
      <c r="B15" t="s">
        <v>1793</v>
      </c>
      <c r="C15" s="284">
        <v>4429</v>
      </c>
      <c r="D15" s="284"/>
      <c r="E15" t="s">
        <v>1794</v>
      </c>
      <c r="F15" t="s">
        <v>1794</v>
      </c>
    </row>
    <row r="16" spans="1:6" ht="15">
      <c r="A16" t="s">
        <v>253</v>
      </c>
      <c r="B16" t="s">
        <v>1793</v>
      </c>
      <c r="C16" s="284">
        <v>6455</v>
      </c>
      <c r="D16" s="284"/>
      <c r="E16" t="s">
        <v>1794</v>
      </c>
      <c r="F16" t="s">
        <v>1794</v>
      </c>
    </row>
    <row r="17" spans="1:6" ht="15">
      <c r="A17" t="s">
        <v>253</v>
      </c>
      <c r="B17" t="s">
        <v>1793</v>
      </c>
      <c r="C17" s="284">
        <v>4588</v>
      </c>
      <c r="D17" s="284"/>
      <c r="E17" t="s">
        <v>1794</v>
      </c>
      <c r="F17" t="s">
        <v>1794</v>
      </c>
    </row>
    <row r="18" spans="1:6" ht="15">
      <c r="A18" t="s">
        <v>253</v>
      </c>
      <c r="B18" t="s">
        <v>1793</v>
      </c>
      <c r="C18" s="284">
        <v>2202</v>
      </c>
      <c r="D18" s="284"/>
      <c r="E18" t="s">
        <v>1794</v>
      </c>
      <c r="F18" t="s">
        <v>1794</v>
      </c>
    </row>
    <row r="19" spans="1:6" ht="15">
      <c r="A19" t="s">
        <v>253</v>
      </c>
      <c r="B19" t="s">
        <v>1793</v>
      </c>
      <c r="C19" s="284">
        <v>1171</v>
      </c>
      <c r="D19" s="284"/>
      <c r="E19" t="s">
        <v>1794</v>
      </c>
      <c r="F19" t="s">
        <v>1794</v>
      </c>
    </row>
    <row r="20" spans="1:6" ht="15">
      <c r="A20" t="s">
        <v>253</v>
      </c>
      <c r="B20" t="s">
        <v>1793</v>
      </c>
      <c r="C20" s="284">
        <v>1046</v>
      </c>
      <c r="D20" s="284"/>
      <c r="E20" t="s">
        <v>1794</v>
      </c>
      <c r="F20" t="s">
        <v>1794</v>
      </c>
    </row>
    <row r="21" spans="1:6" ht="15">
      <c r="A21" t="s">
        <v>253</v>
      </c>
      <c r="B21" t="s">
        <v>1793</v>
      </c>
      <c r="C21" s="284">
        <v>5980</v>
      </c>
      <c r="D21" s="284"/>
      <c r="E21" t="s">
        <v>1794</v>
      </c>
      <c r="F21" t="s">
        <v>1794</v>
      </c>
    </row>
    <row r="22" spans="1:6" ht="15">
      <c r="A22" t="s">
        <v>253</v>
      </c>
      <c r="B22" t="s">
        <v>1793</v>
      </c>
      <c r="C22" s="284">
        <v>77782</v>
      </c>
      <c r="D22" s="284"/>
      <c r="E22" t="s">
        <v>1794</v>
      </c>
      <c r="F22" t="s">
        <v>1794</v>
      </c>
    </row>
    <row r="23" spans="1:6" ht="15">
      <c r="A23" t="s">
        <v>253</v>
      </c>
      <c r="B23" t="s">
        <v>1793</v>
      </c>
      <c r="C23" s="284">
        <v>8708</v>
      </c>
      <c r="D23" s="284"/>
      <c r="E23" t="s">
        <v>1794</v>
      </c>
      <c r="F23" t="s">
        <v>1794</v>
      </c>
    </row>
    <row r="24" spans="1:6" ht="15">
      <c r="A24" t="s">
        <v>253</v>
      </c>
      <c r="B24" t="s">
        <v>1793</v>
      </c>
      <c r="C24" s="284">
        <v>15771</v>
      </c>
      <c r="D24" s="284"/>
      <c r="E24" t="s">
        <v>1794</v>
      </c>
      <c r="F24" t="s">
        <v>1794</v>
      </c>
    </row>
    <row r="25" spans="1:6" ht="15">
      <c r="A25" t="s">
        <v>253</v>
      </c>
      <c r="B25" t="s">
        <v>1793</v>
      </c>
      <c r="C25" s="284">
        <v>8460</v>
      </c>
      <c r="D25" s="284"/>
      <c r="E25" t="s">
        <v>1794</v>
      </c>
      <c r="F25" t="s">
        <v>1794</v>
      </c>
    </row>
    <row r="26" spans="1:6" ht="15">
      <c r="A26" t="s">
        <v>253</v>
      </c>
      <c r="B26" t="s">
        <v>1793</v>
      </c>
      <c r="C26" s="284">
        <v>2246</v>
      </c>
      <c r="D26" s="284"/>
      <c r="E26" t="s">
        <v>1794</v>
      </c>
      <c r="F26" t="s">
        <v>1794</v>
      </c>
    </row>
    <row r="27" spans="1:6" ht="15">
      <c r="A27" t="s">
        <v>253</v>
      </c>
      <c r="B27" t="s">
        <v>1793</v>
      </c>
      <c r="C27" s="284">
        <v>1212</v>
      </c>
      <c r="D27" s="284"/>
      <c r="E27" t="s">
        <v>1794</v>
      </c>
      <c r="F27" t="s">
        <v>1794</v>
      </c>
    </row>
    <row r="28" spans="1:6" ht="15">
      <c r="A28" t="s">
        <v>253</v>
      </c>
      <c r="B28" t="s">
        <v>1793</v>
      </c>
      <c r="C28" s="284">
        <v>76115</v>
      </c>
      <c r="D28" s="284"/>
      <c r="E28" t="s">
        <v>1794</v>
      </c>
      <c r="F28" t="s">
        <v>1794</v>
      </c>
    </row>
    <row r="29" spans="1:6" ht="15">
      <c r="A29" t="s">
        <v>253</v>
      </c>
      <c r="B29" t="s">
        <v>1793</v>
      </c>
      <c r="C29" s="284">
        <v>250849</v>
      </c>
      <c r="D29" s="284"/>
      <c r="E29" t="s">
        <v>1794</v>
      </c>
      <c r="F29" t="s">
        <v>1794</v>
      </c>
    </row>
    <row r="30" spans="1:6" ht="15">
      <c r="A30" t="s">
        <v>253</v>
      </c>
      <c r="B30" t="s">
        <v>1793</v>
      </c>
      <c r="C30" s="284">
        <v>22068</v>
      </c>
      <c r="D30" s="284"/>
      <c r="E30" t="s">
        <v>1794</v>
      </c>
      <c r="F30" t="s">
        <v>1794</v>
      </c>
    </row>
    <row r="31" spans="1:6" ht="15">
      <c r="A31" t="s">
        <v>253</v>
      </c>
      <c r="B31" t="s">
        <v>1793</v>
      </c>
      <c r="C31" s="284">
        <v>1920</v>
      </c>
      <c r="D31" s="284"/>
      <c r="E31" t="s">
        <v>1794</v>
      </c>
      <c r="F31" t="s">
        <v>1794</v>
      </c>
    </row>
    <row r="32" spans="1:6" ht="15">
      <c r="A32" t="s">
        <v>253</v>
      </c>
      <c r="B32" t="s">
        <v>1793</v>
      </c>
      <c r="C32" s="284">
        <v>21658</v>
      </c>
      <c r="D32" s="284"/>
      <c r="E32" t="s">
        <v>1794</v>
      </c>
      <c r="F32" t="s">
        <v>1794</v>
      </c>
    </row>
    <row r="33" spans="1:6" ht="15">
      <c r="A33" t="s">
        <v>253</v>
      </c>
      <c r="B33" t="s">
        <v>1793</v>
      </c>
      <c r="C33" s="284">
        <v>15192</v>
      </c>
      <c r="D33" s="284"/>
      <c r="E33" t="s">
        <v>1794</v>
      </c>
      <c r="F33" t="s">
        <v>1794</v>
      </c>
    </row>
    <row r="34" spans="1:6" ht="15">
      <c r="A34" t="s">
        <v>253</v>
      </c>
      <c r="B34" t="s">
        <v>1793</v>
      </c>
      <c r="C34" s="284">
        <v>7215</v>
      </c>
      <c r="D34" s="284"/>
      <c r="E34" t="s">
        <v>1794</v>
      </c>
      <c r="F34" t="s">
        <v>1794</v>
      </c>
    </row>
    <row r="35" spans="1:6" ht="15">
      <c r="A35" t="s">
        <v>253</v>
      </c>
      <c r="B35" t="s">
        <v>1793</v>
      </c>
      <c r="C35" s="284">
        <v>4150</v>
      </c>
      <c r="D35" s="284"/>
      <c r="E35" t="s">
        <v>1794</v>
      </c>
      <c r="F35" t="s">
        <v>1794</v>
      </c>
    </row>
    <row r="36" spans="1:6" ht="15">
      <c r="A36" t="s">
        <v>253</v>
      </c>
      <c r="B36" t="s">
        <v>1793</v>
      </c>
      <c r="C36" s="284">
        <v>19544</v>
      </c>
      <c r="D36" s="284"/>
      <c r="E36" t="s">
        <v>1794</v>
      </c>
      <c r="F36" t="s">
        <v>1794</v>
      </c>
    </row>
    <row r="37" spans="1:6" ht="15">
      <c r="A37" t="s">
        <v>253</v>
      </c>
      <c r="B37" t="s">
        <v>1793</v>
      </c>
      <c r="C37" s="284">
        <v>10329</v>
      </c>
      <c r="D37" s="284"/>
      <c r="E37" t="s">
        <v>1794</v>
      </c>
      <c r="F37" t="s">
        <v>1794</v>
      </c>
    </row>
    <row r="38" spans="1:6" ht="15">
      <c r="A38" t="s">
        <v>253</v>
      </c>
      <c r="B38" t="s">
        <v>1793</v>
      </c>
      <c r="C38" s="284">
        <v>654</v>
      </c>
      <c r="D38" s="284"/>
      <c r="E38" t="s">
        <v>1794</v>
      </c>
      <c r="F38" t="s">
        <v>1794</v>
      </c>
    </row>
    <row r="39" spans="1:6" ht="15">
      <c r="A39" t="s">
        <v>253</v>
      </c>
      <c r="B39" t="s">
        <v>1793</v>
      </c>
      <c r="C39" s="284">
        <v>4171</v>
      </c>
      <c r="D39" s="284"/>
      <c r="E39" t="s">
        <v>1794</v>
      </c>
      <c r="F39" t="s">
        <v>1794</v>
      </c>
    </row>
    <row r="40" spans="1:6" ht="15">
      <c r="A40" t="s">
        <v>253</v>
      </c>
      <c r="B40" t="s">
        <v>1793</v>
      </c>
      <c r="C40" s="284">
        <v>3548</v>
      </c>
      <c r="D40" s="284"/>
      <c r="E40" t="s">
        <v>1794</v>
      </c>
      <c r="F40" t="s">
        <v>1794</v>
      </c>
    </row>
    <row r="41" spans="1:6" ht="15">
      <c r="A41" t="s">
        <v>253</v>
      </c>
      <c r="B41" t="s">
        <v>1795</v>
      </c>
      <c r="C41" s="284">
        <v>13730</v>
      </c>
      <c r="D41" s="284"/>
      <c r="E41" t="s">
        <v>1794</v>
      </c>
      <c r="F41" t="s">
        <v>1794</v>
      </c>
    </row>
    <row r="42" spans="1:6" ht="15">
      <c r="A42" t="s">
        <v>253</v>
      </c>
      <c r="B42" t="s">
        <v>436</v>
      </c>
      <c r="C42" s="284">
        <v>3453</v>
      </c>
      <c r="D42" s="284"/>
      <c r="E42" t="s">
        <v>1794</v>
      </c>
      <c r="F42" t="s">
        <v>1794</v>
      </c>
    </row>
    <row r="43" spans="1:6" ht="15">
      <c r="A43" t="s">
        <v>253</v>
      </c>
      <c r="B43" t="s">
        <v>438</v>
      </c>
      <c r="C43" s="284">
        <v>15963</v>
      </c>
      <c r="D43" s="284"/>
      <c r="E43" t="s">
        <v>1794</v>
      </c>
      <c r="F43" t="s">
        <v>1794</v>
      </c>
    </row>
    <row r="44" spans="1:6" ht="15">
      <c r="A44" t="s">
        <v>253</v>
      </c>
      <c r="B44" s="61" t="s">
        <v>440</v>
      </c>
      <c r="C44" s="284">
        <v>420041</v>
      </c>
      <c r="D44" s="284"/>
      <c r="E44" t="s">
        <v>1794</v>
      </c>
      <c r="F44" t="s">
        <v>1794</v>
      </c>
    </row>
    <row r="45" spans="1:6" ht="15">
      <c r="A45" t="s">
        <v>253</v>
      </c>
      <c r="B45" t="s">
        <v>1793</v>
      </c>
      <c r="C45" s="284">
        <v>30763</v>
      </c>
      <c r="D45" s="284"/>
      <c r="E45" t="s">
        <v>1794</v>
      </c>
      <c r="F45" t="s">
        <v>1794</v>
      </c>
    </row>
    <row r="46" spans="1:5" ht="15">
      <c r="A46" t="s">
        <v>253</v>
      </c>
      <c r="B46" t="s">
        <v>1797</v>
      </c>
      <c r="D46" s="284"/>
      <c r="E46" t="s">
        <v>1739</v>
      </c>
    </row>
    <row r="47" spans="1:5" ht="15">
      <c r="A47" t="s">
        <v>268</v>
      </c>
      <c r="B47" t="s">
        <v>269</v>
      </c>
      <c r="C47" s="160" t="s">
        <v>270</v>
      </c>
      <c r="D47" s="160" t="s">
        <v>271</v>
      </c>
      <c r="E47" t="s">
        <v>1740</v>
      </c>
    </row>
    <row r="48" spans="1:5" ht="15">
      <c r="A48" t="s">
        <v>268</v>
      </c>
      <c r="B48" t="s">
        <v>276</v>
      </c>
      <c r="D48" s="160"/>
      <c r="E48" t="s">
        <v>1741</v>
      </c>
    </row>
    <row r="49" spans="1:5" ht="15">
      <c r="A49" t="s">
        <v>222</v>
      </c>
      <c r="B49" t="s">
        <v>254</v>
      </c>
      <c r="D49" s="284">
        <v>2008</v>
      </c>
      <c r="E49" t="s">
        <v>1742</v>
      </c>
    </row>
    <row r="50" spans="1:5" ht="15">
      <c r="A50" t="s">
        <v>222</v>
      </c>
      <c r="B50" t="s">
        <v>300</v>
      </c>
      <c r="D50" s="160" t="s">
        <v>312</v>
      </c>
      <c r="E50" t="s">
        <v>1743</v>
      </c>
    </row>
    <row r="51" spans="1:5" ht="15">
      <c r="A51" t="s">
        <v>222</v>
      </c>
      <c r="B51" t="s">
        <v>288</v>
      </c>
      <c r="D51" s="160" t="s">
        <v>312</v>
      </c>
      <c r="E51" t="s">
        <v>1743</v>
      </c>
    </row>
    <row r="52" spans="1:5" ht="15">
      <c r="A52" t="s">
        <v>222</v>
      </c>
      <c r="B52" t="s">
        <v>289</v>
      </c>
      <c r="D52" s="160" t="s">
        <v>313</v>
      </c>
      <c r="E52" t="s">
        <v>1743</v>
      </c>
    </row>
    <row r="53" spans="1:5" ht="15">
      <c r="A53" t="s">
        <v>222</v>
      </c>
      <c r="B53" t="s">
        <v>292</v>
      </c>
      <c r="D53" s="160" t="s">
        <v>314</v>
      </c>
      <c r="E53" t="s">
        <v>1743</v>
      </c>
    </row>
    <row r="54" spans="1:5" ht="15">
      <c r="A54" t="s">
        <v>222</v>
      </c>
      <c r="B54" t="s">
        <v>315</v>
      </c>
      <c r="D54" s="160" t="s">
        <v>316</v>
      </c>
      <c r="E54" t="s">
        <v>1743</v>
      </c>
    </row>
    <row r="55" spans="1:5" ht="15">
      <c r="A55" t="s">
        <v>222</v>
      </c>
      <c r="B55" t="s">
        <v>297</v>
      </c>
      <c r="D55" s="284">
        <v>3937</v>
      </c>
      <c r="E55" t="s">
        <v>1744</v>
      </c>
    </row>
    <row r="56" spans="1:5" ht="15">
      <c r="A56" t="s">
        <v>222</v>
      </c>
      <c r="B56" t="s">
        <v>256</v>
      </c>
      <c r="D56" s="160"/>
      <c r="E56" t="s">
        <v>1747</v>
      </c>
    </row>
    <row r="57" spans="1:5" ht="15">
      <c r="A57" t="s">
        <v>222</v>
      </c>
      <c r="B57" t="s">
        <v>257</v>
      </c>
      <c r="D57" s="160"/>
      <c r="E57" t="s">
        <v>1747</v>
      </c>
    </row>
    <row r="58" spans="1:5" ht="15">
      <c r="A58" t="s">
        <v>317</v>
      </c>
      <c r="B58" t="s">
        <v>318</v>
      </c>
      <c r="C58" s="160" t="s">
        <v>319</v>
      </c>
      <c r="D58" s="160" t="s">
        <v>320</v>
      </c>
      <c r="E58" t="s">
        <v>1745</v>
      </c>
    </row>
    <row r="59" spans="1:5" ht="15">
      <c r="A59" t="s">
        <v>317</v>
      </c>
      <c r="B59" t="s">
        <v>290</v>
      </c>
      <c r="C59" s="160" t="s">
        <v>321</v>
      </c>
      <c r="D59" s="160" t="s">
        <v>320</v>
      </c>
      <c r="E59" t="s">
        <v>1745</v>
      </c>
    </row>
    <row r="60" spans="1:5" ht="15">
      <c r="A60" t="s">
        <v>317</v>
      </c>
      <c r="B60" t="s">
        <v>322</v>
      </c>
      <c r="C60" s="160" t="s">
        <v>323</v>
      </c>
      <c r="D60" s="160" t="s">
        <v>320</v>
      </c>
      <c r="E60" t="s">
        <v>1745</v>
      </c>
    </row>
    <row r="61" spans="1:5" ht="15">
      <c r="A61" t="s">
        <v>317</v>
      </c>
      <c r="B61" t="s">
        <v>260</v>
      </c>
      <c r="C61" s="160" t="s">
        <v>324</v>
      </c>
      <c r="D61" s="160" t="s">
        <v>271</v>
      </c>
      <c r="E61" t="s">
        <v>1746</v>
      </c>
    </row>
    <row r="62" spans="1:5" ht="15">
      <c r="A62" t="s">
        <v>317</v>
      </c>
      <c r="B62" t="s">
        <v>325</v>
      </c>
      <c r="C62" s="160" t="s">
        <v>326</v>
      </c>
      <c r="D62" s="160" t="s">
        <v>271</v>
      </c>
      <c r="E62" t="s">
        <v>1746</v>
      </c>
    </row>
    <row r="63" spans="1:4" ht="15">
      <c r="A63" t="s">
        <v>330</v>
      </c>
      <c r="B63" t="s">
        <v>286</v>
      </c>
      <c r="D63" s="284"/>
    </row>
    <row r="64" spans="1:5" ht="15">
      <c r="A64" t="s">
        <v>331</v>
      </c>
      <c r="B64" t="s">
        <v>254</v>
      </c>
      <c r="D64" s="160" t="s">
        <v>332</v>
      </c>
      <c r="E64" t="s">
        <v>1749</v>
      </c>
    </row>
    <row r="65" spans="1:5" ht="15">
      <c r="A65" t="s">
        <v>334</v>
      </c>
      <c r="B65" t="s">
        <v>335</v>
      </c>
      <c r="C65" s="160" t="s">
        <v>336</v>
      </c>
      <c r="D65" s="160" t="s">
        <v>262</v>
      </c>
      <c r="E65" t="s">
        <v>1748</v>
      </c>
    </row>
    <row r="66" spans="1:5" ht="15">
      <c r="A66" t="s">
        <v>334</v>
      </c>
      <c r="B66" t="s">
        <v>337</v>
      </c>
      <c r="C66" s="160" t="s">
        <v>338</v>
      </c>
      <c r="D66" s="160" t="s">
        <v>339</v>
      </c>
      <c r="E66" t="s">
        <v>1748</v>
      </c>
    </row>
    <row r="67" spans="1:5" ht="15">
      <c r="A67" t="s">
        <v>334</v>
      </c>
      <c r="B67" t="s">
        <v>269</v>
      </c>
      <c r="C67" s="160" t="s">
        <v>340</v>
      </c>
      <c r="D67" s="160" t="s">
        <v>341</v>
      </c>
      <c r="E67" t="s">
        <v>1748</v>
      </c>
    </row>
    <row r="68" spans="1:5" ht="15">
      <c r="A68" t="s">
        <v>334</v>
      </c>
      <c r="B68" t="s">
        <v>342</v>
      </c>
      <c r="C68" s="160" t="s">
        <v>343</v>
      </c>
      <c r="D68" s="160" t="s">
        <v>262</v>
      </c>
      <c r="E68" t="s">
        <v>1748</v>
      </c>
    </row>
    <row r="69" spans="1:5" ht="15">
      <c r="A69" t="s">
        <v>334</v>
      </c>
      <c r="B69" t="s">
        <v>344</v>
      </c>
      <c r="C69" s="160" t="s">
        <v>345</v>
      </c>
      <c r="D69" s="160" t="s">
        <v>339</v>
      </c>
      <c r="E69" t="s">
        <v>1748</v>
      </c>
    </row>
    <row r="70" spans="1:5" ht="15">
      <c r="A70" t="s">
        <v>334</v>
      </c>
      <c r="B70" t="s">
        <v>272</v>
      </c>
      <c r="C70" s="160" t="s">
        <v>346</v>
      </c>
      <c r="D70" s="160" t="s">
        <v>341</v>
      </c>
      <c r="E70" t="s">
        <v>1748</v>
      </c>
    </row>
    <row r="71" spans="1:5" ht="15">
      <c r="A71" t="s">
        <v>334</v>
      </c>
      <c r="B71" t="s">
        <v>347</v>
      </c>
      <c r="C71" s="160" t="s">
        <v>348</v>
      </c>
      <c r="D71" s="160" t="s">
        <v>262</v>
      </c>
      <c r="E71" t="s">
        <v>1748</v>
      </c>
    </row>
    <row r="72" spans="1:5" ht="15">
      <c r="A72" t="s">
        <v>334</v>
      </c>
      <c r="B72" t="s">
        <v>349</v>
      </c>
      <c r="C72" s="160" t="s">
        <v>350</v>
      </c>
      <c r="D72" s="160" t="s">
        <v>339</v>
      </c>
      <c r="E72" t="s">
        <v>1748</v>
      </c>
    </row>
    <row r="73" spans="1:5" ht="15">
      <c r="A73" t="s">
        <v>334</v>
      </c>
      <c r="B73" t="s">
        <v>351</v>
      </c>
      <c r="C73" s="160" t="s">
        <v>352</v>
      </c>
      <c r="D73" s="160" t="s">
        <v>341</v>
      </c>
      <c r="E73" t="s">
        <v>1748</v>
      </c>
    </row>
    <row r="74" spans="1:5" ht="15">
      <c r="A74" t="s">
        <v>334</v>
      </c>
      <c r="B74" t="s">
        <v>353</v>
      </c>
      <c r="C74" s="160" t="s">
        <v>354</v>
      </c>
      <c r="D74" s="160" t="s">
        <v>355</v>
      </c>
      <c r="E74" t="s">
        <v>1748</v>
      </c>
    </row>
    <row r="75" spans="1:5" ht="15">
      <c r="A75" t="s">
        <v>334</v>
      </c>
      <c r="B75" t="s">
        <v>356</v>
      </c>
      <c r="C75" s="160" t="s">
        <v>357</v>
      </c>
      <c r="D75" s="160" t="s">
        <v>355</v>
      </c>
      <c r="E75" t="s">
        <v>1748</v>
      </c>
    </row>
    <row r="76" spans="1:5" ht="15">
      <c r="A76" t="s">
        <v>334</v>
      </c>
      <c r="B76" t="s">
        <v>358</v>
      </c>
      <c r="C76" s="160" t="s">
        <v>359</v>
      </c>
      <c r="D76" s="160" t="s">
        <v>355</v>
      </c>
      <c r="E76" t="s">
        <v>1748</v>
      </c>
    </row>
    <row r="77" spans="1:5" ht="15">
      <c r="A77" t="s">
        <v>334</v>
      </c>
      <c r="B77" t="s">
        <v>360</v>
      </c>
      <c r="C77" s="160" t="s">
        <v>361</v>
      </c>
      <c r="D77" s="160" t="s">
        <v>355</v>
      </c>
      <c r="E77" t="s">
        <v>1748</v>
      </c>
    </row>
    <row r="78" spans="1:5" ht="15">
      <c r="A78" t="s">
        <v>334</v>
      </c>
      <c r="B78" t="s">
        <v>362</v>
      </c>
      <c r="C78" s="160" t="s">
        <v>363</v>
      </c>
      <c r="D78" s="160" t="s">
        <v>262</v>
      </c>
      <c r="E78" t="s">
        <v>1748</v>
      </c>
    </row>
    <row r="79" spans="1:5" ht="15">
      <c r="A79" t="s">
        <v>334</v>
      </c>
      <c r="B79" t="s">
        <v>364</v>
      </c>
      <c r="C79" s="160" t="s">
        <v>365</v>
      </c>
      <c r="D79" s="160" t="s">
        <v>339</v>
      </c>
      <c r="E79" t="s">
        <v>1748</v>
      </c>
    </row>
    <row r="80" spans="1:5" ht="15">
      <c r="A80" t="s">
        <v>334</v>
      </c>
      <c r="B80" t="s">
        <v>366</v>
      </c>
      <c r="C80" s="160" t="s">
        <v>367</v>
      </c>
      <c r="D80" s="160" t="s">
        <v>341</v>
      </c>
      <c r="E80" t="s">
        <v>1748</v>
      </c>
    </row>
    <row r="81" spans="1:5" ht="15">
      <c r="A81" t="s">
        <v>334</v>
      </c>
      <c r="B81" t="s">
        <v>368</v>
      </c>
      <c r="C81" s="160" t="s">
        <v>369</v>
      </c>
      <c r="D81" s="160" t="s">
        <v>355</v>
      </c>
      <c r="E81" t="s">
        <v>1748</v>
      </c>
    </row>
    <row r="82" spans="1:5" ht="15">
      <c r="A82" t="s">
        <v>334</v>
      </c>
      <c r="B82" t="s">
        <v>273</v>
      </c>
      <c r="C82" s="160" t="s">
        <v>370</v>
      </c>
      <c r="D82" s="160" t="s">
        <v>339</v>
      </c>
      <c r="E82" t="s">
        <v>1748</v>
      </c>
    </row>
    <row r="83" spans="1:5" ht="15">
      <c r="A83" t="s">
        <v>334</v>
      </c>
      <c r="B83" t="s">
        <v>371</v>
      </c>
      <c r="C83" s="160" t="s">
        <v>372</v>
      </c>
      <c r="D83" s="160" t="s">
        <v>341</v>
      </c>
      <c r="E83" t="s">
        <v>1748</v>
      </c>
    </row>
    <row r="84" spans="1:5" ht="15">
      <c r="A84" t="s">
        <v>334</v>
      </c>
      <c r="B84" t="s">
        <v>373</v>
      </c>
      <c r="C84" s="160" t="s">
        <v>374</v>
      </c>
      <c r="D84" s="160" t="s">
        <v>355</v>
      </c>
      <c r="E84" t="s">
        <v>1748</v>
      </c>
    </row>
    <row r="85" spans="1:5" ht="15">
      <c r="A85" t="s">
        <v>334</v>
      </c>
      <c r="B85" t="s">
        <v>274</v>
      </c>
      <c r="C85" s="160" t="s">
        <v>375</v>
      </c>
      <c r="D85" s="160" t="s">
        <v>262</v>
      </c>
      <c r="E85" t="s">
        <v>1748</v>
      </c>
    </row>
    <row r="86" spans="1:5" ht="15">
      <c r="A86" t="s">
        <v>334</v>
      </c>
      <c r="B86" t="s">
        <v>277</v>
      </c>
      <c r="C86" s="160" t="s">
        <v>376</v>
      </c>
      <c r="D86" s="160" t="s">
        <v>339</v>
      </c>
      <c r="E86" t="s">
        <v>1748</v>
      </c>
    </row>
    <row r="87" spans="1:5" ht="15">
      <c r="A87" t="s">
        <v>334</v>
      </c>
      <c r="B87" t="s">
        <v>377</v>
      </c>
      <c r="C87" s="160" t="s">
        <v>378</v>
      </c>
      <c r="D87" s="160" t="s">
        <v>341</v>
      </c>
      <c r="E87" t="s">
        <v>1748</v>
      </c>
    </row>
    <row r="88" spans="1:5" ht="15">
      <c r="A88" t="s">
        <v>334</v>
      </c>
      <c r="B88" t="s">
        <v>379</v>
      </c>
      <c r="C88" s="160" t="s">
        <v>380</v>
      </c>
      <c r="D88" s="160" t="s">
        <v>333</v>
      </c>
      <c r="E88" t="s">
        <v>1748</v>
      </c>
    </row>
    <row r="89" spans="1:5" ht="15">
      <c r="A89" t="s">
        <v>334</v>
      </c>
      <c r="B89" t="s">
        <v>381</v>
      </c>
      <c r="C89" s="160" t="s">
        <v>382</v>
      </c>
      <c r="D89" s="160" t="s">
        <v>262</v>
      </c>
      <c r="E89" t="s">
        <v>1748</v>
      </c>
    </row>
    <row r="90" spans="1:5" ht="15">
      <c r="A90" t="s">
        <v>334</v>
      </c>
      <c r="B90" t="s">
        <v>383</v>
      </c>
      <c r="C90" s="160" t="s">
        <v>384</v>
      </c>
      <c r="D90" s="160" t="s">
        <v>339</v>
      </c>
      <c r="E90" t="s">
        <v>1748</v>
      </c>
    </row>
    <row r="91" spans="1:5" ht="15">
      <c r="A91" t="s">
        <v>334</v>
      </c>
      <c r="B91" t="s">
        <v>385</v>
      </c>
      <c r="C91" s="160" t="s">
        <v>386</v>
      </c>
      <c r="D91" s="160" t="s">
        <v>341</v>
      </c>
      <c r="E91" t="s">
        <v>1748</v>
      </c>
    </row>
    <row r="92" spans="1:5" ht="15">
      <c r="A92" t="s">
        <v>334</v>
      </c>
      <c r="B92" t="s">
        <v>387</v>
      </c>
      <c r="C92" s="160" t="s">
        <v>388</v>
      </c>
      <c r="D92" s="160" t="s">
        <v>262</v>
      </c>
      <c r="E92" t="s">
        <v>1748</v>
      </c>
    </row>
    <row r="93" spans="1:5" ht="15">
      <c r="A93" t="s">
        <v>334</v>
      </c>
      <c r="B93" t="s">
        <v>389</v>
      </c>
      <c r="C93" s="160" t="s">
        <v>390</v>
      </c>
      <c r="D93" s="160" t="s">
        <v>339</v>
      </c>
      <c r="E93" t="s">
        <v>1748</v>
      </c>
    </row>
    <row r="94" spans="1:5" ht="15">
      <c r="A94" t="s">
        <v>334</v>
      </c>
      <c r="B94" t="s">
        <v>391</v>
      </c>
      <c r="C94" s="160" t="s">
        <v>392</v>
      </c>
      <c r="D94" s="160" t="s">
        <v>341</v>
      </c>
      <c r="E94" t="s">
        <v>1748</v>
      </c>
    </row>
    <row r="95" spans="1:5" ht="15">
      <c r="A95" t="s">
        <v>334</v>
      </c>
      <c r="B95" t="s">
        <v>329</v>
      </c>
      <c r="C95" s="160" t="s">
        <v>393</v>
      </c>
      <c r="D95" s="160" t="s">
        <v>355</v>
      </c>
      <c r="E95" t="s">
        <v>1748</v>
      </c>
    </row>
    <row r="96" spans="1:5" ht="15">
      <c r="A96" t="s">
        <v>334</v>
      </c>
      <c r="B96" t="s">
        <v>394</v>
      </c>
      <c r="C96" s="160" t="s">
        <v>395</v>
      </c>
      <c r="D96" s="160" t="s">
        <v>355</v>
      </c>
      <c r="E96" t="s">
        <v>1748</v>
      </c>
    </row>
    <row r="97" spans="1:5" ht="15">
      <c r="A97" t="s">
        <v>334</v>
      </c>
      <c r="B97" t="s">
        <v>396</v>
      </c>
      <c r="C97" s="160" t="s">
        <v>397</v>
      </c>
      <c r="D97" s="160" t="s">
        <v>355</v>
      </c>
      <c r="E97" t="s">
        <v>1748</v>
      </c>
    </row>
    <row r="98" spans="1:5" ht="15">
      <c r="A98" t="s">
        <v>334</v>
      </c>
      <c r="B98" t="s">
        <v>398</v>
      </c>
      <c r="C98" s="160" t="s">
        <v>399</v>
      </c>
      <c r="D98" s="160" t="s">
        <v>262</v>
      </c>
      <c r="E98" t="s">
        <v>1748</v>
      </c>
    </row>
    <row r="99" spans="1:5" ht="15">
      <c r="A99" t="s">
        <v>334</v>
      </c>
      <c r="B99" t="s">
        <v>400</v>
      </c>
      <c r="C99" s="160" t="s">
        <v>401</v>
      </c>
      <c r="D99" s="160" t="s">
        <v>339</v>
      </c>
      <c r="E99" t="s">
        <v>1748</v>
      </c>
    </row>
    <row r="100" spans="1:5" ht="15">
      <c r="A100" t="s">
        <v>334</v>
      </c>
      <c r="B100" t="s">
        <v>402</v>
      </c>
      <c r="C100" s="160" t="s">
        <v>403</v>
      </c>
      <c r="D100" s="160" t="s">
        <v>341</v>
      </c>
      <c r="E100" t="s">
        <v>1748</v>
      </c>
    </row>
    <row r="101" spans="1:5" ht="15">
      <c r="A101" t="s">
        <v>334</v>
      </c>
      <c r="B101" t="s">
        <v>404</v>
      </c>
      <c r="C101" s="160" t="s">
        <v>405</v>
      </c>
      <c r="D101" s="160" t="s">
        <v>355</v>
      </c>
      <c r="E101" t="s">
        <v>1748</v>
      </c>
    </row>
    <row r="102" spans="1:5" ht="15">
      <c r="A102" t="s">
        <v>334</v>
      </c>
      <c r="B102" t="s">
        <v>406</v>
      </c>
      <c r="C102" s="160" t="s">
        <v>407</v>
      </c>
      <c r="D102" s="160" t="s">
        <v>339</v>
      </c>
      <c r="E102" t="s">
        <v>1748</v>
      </c>
    </row>
    <row r="103" spans="1:5" ht="15">
      <c r="A103" t="s">
        <v>334</v>
      </c>
      <c r="B103" t="s">
        <v>408</v>
      </c>
      <c r="C103" s="160" t="s">
        <v>409</v>
      </c>
      <c r="D103" s="160" t="s">
        <v>341</v>
      </c>
      <c r="E103" t="s">
        <v>1748</v>
      </c>
    </row>
    <row r="104" spans="1:5" ht="15">
      <c r="A104" t="s">
        <v>334</v>
      </c>
      <c r="B104" t="s">
        <v>410</v>
      </c>
      <c r="C104" s="160" t="s">
        <v>411</v>
      </c>
      <c r="D104" s="160" t="s">
        <v>355</v>
      </c>
      <c r="E104" t="s">
        <v>1748</v>
      </c>
    </row>
    <row r="105" spans="1:5" ht="15">
      <c r="A105" t="s">
        <v>334</v>
      </c>
      <c r="B105" t="s">
        <v>412</v>
      </c>
      <c r="C105" s="160" t="s">
        <v>413</v>
      </c>
      <c r="D105" s="160" t="s">
        <v>262</v>
      </c>
      <c r="E105" t="s">
        <v>1748</v>
      </c>
    </row>
    <row r="106" spans="1:5" ht="15">
      <c r="A106" t="s">
        <v>334</v>
      </c>
      <c r="B106" t="s">
        <v>414</v>
      </c>
      <c r="C106" s="160" t="s">
        <v>415</v>
      </c>
      <c r="D106" s="160" t="s">
        <v>339</v>
      </c>
      <c r="E106" t="s">
        <v>1748</v>
      </c>
    </row>
    <row r="107" spans="1:5" ht="15">
      <c r="A107" t="s">
        <v>334</v>
      </c>
      <c r="B107" t="s">
        <v>416</v>
      </c>
      <c r="C107" s="160" t="s">
        <v>417</v>
      </c>
      <c r="D107" s="160" t="s">
        <v>341</v>
      </c>
      <c r="E107" t="s">
        <v>1748</v>
      </c>
    </row>
    <row r="108" spans="1:5" ht="15">
      <c r="A108" t="s">
        <v>334</v>
      </c>
      <c r="B108" t="s">
        <v>418</v>
      </c>
      <c r="C108" s="160" t="s">
        <v>419</v>
      </c>
      <c r="D108" s="160" t="s">
        <v>262</v>
      </c>
      <c r="E108" t="s">
        <v>1748</v>
      </c>
    </row>
    <row r="109" spans="1:5" ht="15">
      <c r="A109" t="s">
        <v>334</v>
      </c>
      <c r="B109" t="s">
        <v>420</v>
      </c>
      <c r="C109" s="160" t="s">
        <v>421</v>
      </c>
      <c r="D109" s="160" t="s">
        <v>339</v>
      </c>
      <c r="E109" t="s">
        <v>1748</v>
      </c>
    </row>
    <row r="110" spans="1:5" ht="15">
      <c r="A110" t="s">
        <v>334</v>
      </c>
      <c r="B110" t="s">
        <v>422</v>
      </c>
      <c r="C110" s="160" t="s">
        <v>423</v>
      </c>
      <c r="D110" s="160" t="s">
        <v>341</v>
      </c>
      <c r="E110" t="s">
        <v>1748</v>
      </c>
    </row>
    <row r="111" spans="1:5" ht="15">
      <c r="A111" t="s">
        <v>334</v>
      </c>
      <c r="B111" t="s">
        <v>424</v>
      </c>
      <c r="C111" s="160" t="s">
        <v>425</v>
      </c>
      <c r="D111" s="160" t="s">
        <v>262</v>
      </c>
      <c r="E111" t="s">
        <v>1748</v>
      </c>
    </row>
    <row r="112" spans="1:5" ht="15">
      <c r="A112" t="s">
        <v>334</v>
      </c>
      <c r="B112" t="s">
        <v>426</v>
      </c>
      <c r="C112" s="160" t="s">
        <v>427</v>
      </c>
      <c r="D112" s="160" t="s">
        <v>339</v>
      </c>
      <c r="E112" t="s">
        <v>1748</v>
      </c>
    </row>
    <row r="113" spans="1:5" ht="15">
      <c r="A113" t="s">
        <v>334</v>
      </c>
      <c r="B113" t="s">
        <v>428</v>
      </c>
      <c r="C113" s="160" t="s">
        <v>429</v>
      </c>
      <c r="D113" s="160" t="s">
        <v>341</v>
      </c>
      <c r="E113" t="s">
        <v>1748</v>
      </c>
    </row>
    <row r="114" spans="1:5" ht="15">
      <c r="A114" t="s">
        <v>334</v>
      </c>
      <c r="B114" t="s">
        <v>430</v>
      </c>
      <c r="C114" s="160" t="s">
        <v>431</v>
      </c>
      <c r="D114" s="160" t="s">
        <v>262</v>
      </c>
      <c r="E114" t="s">
        <v>1748</v>
      </c>
    </row>
    <row r="115" spans="1:5" ht="15">
      <c r="A115" t="s">
        <v>334</v>
      </c>
      <c r="B115" t="s">
        <v>432</v>
      </c>
      <c r="C115" s="160" t="s">
        <v>433</v>
      </c>
      <c r="D115" s="160" t="s">
        <v>339</v>
      </c>
      <c r="E115" t="s">
        <v>1748</v>
      </c>
    </row>
    <row r="116" spans="1:5" ht="15">
      <c r="A116" t="s">
        <v>334</v>
      </c>
      <c r="B116" t="s">
        <v>434</v>
      </c>
      <c r="C116" s="160" t="s">
        <v>435</v>
      </c>
      <c r="D116" s="160" t="s">
        <v>341</v>
      </c>
      <c r="E116" t="s">
        <v>1748</v>
      </c>
    </row>
    <row r="117" spans="1:5" ht="15">
      <c r="A117" t="s">
        <v>334</v>
      </c>
      <c r="B117" t="s">
        <v>436</v>
      </c>
      <c r="C117" s="160" t="s">
        <v>437</v>
      </c>
      <c r="D117" s="160" t="s">
        <v>355</v>
      </c>
      <c r="E117" t="s">
        <v>1748</v>
      </c>
    </row>
    <row r="118" spans="1:5" ht="15">
      <c r="A118" t="s">
        <v>334</v>
      </c>
      <c r="B118" t="s">
        <v>438</v>
      </c>
      <c r="C118" s="160" t="s">
        <v>439</v>
      </c>
      <c r="D118" s="160" t="s">
        <v>355</v>
      </c>
      <c r="E118" t="s">
        <v>1748</v>
      </c>
    </row>
    <row r="119" spans="1:5" ht="15">
      <c r="A119" t="s">
        <v>334</v>
      </c>
      <c r="B119" t="s">
        <v>440</v>
      </c>
      <c r="C119" s="160" t="s">
        <v>441</v>
      </c>
      <c r="D119" s="160" t="s">
        <v>355</v>
      </c>
      <c r="E119" t="s">
        <v>1748</v>
      </c>
    </row>
    <row r="120" spans="1:5" ht="15">
      <c r="A120" t="s">
        <v>334</v>
      </c>
      <c r="B120" t="s">
        <v>442</v>
      </c>
      <c r="C120" s="160" t="s">
        <v>443</v>
      </c>
      <c r="D120" s="160" t="s">
        <v>444</v>
      </c>
      <c r="E120" t="s">
        <v>1748</v>
      </c>
    </row>
    <row r="121" spans="1:5" ht="15">
      <c r="A121" t="s">
        <v>334</v>
      </c>
      <c r="B121" t="s">
        <v>445</v>
      </c>
      <c r="C121" s="160" t="s">
        <v>446</v>
      </c>
      <c r="D121" s="160" t="s">
        <v>444</v>
      </c>
      <c r="E121" t="s">
        <v>1748</v>
      </c>
    </row>
    <row r="122" spans="1:5" ht="15">
      <c r="A122" t="s">
        <v>334</v>
      </c>
      <c r="B122" t="s">
        <v>447</v>
      </c>
      <c r="C122" s="160" t="s">
        <v>448</v>
      </c>
      <c r="D122" s="160" t="s">
        <v>262</v>
      </c>
      <c r="E122" t="s">
        <v>1748</v>
      </c>
    </row>
    <row r="123" spans="1:5" ht="15">
      <c r="A123" t="s">
        <v>334</v>
      </c>
      <c r="B123" t="s">
        <v>449</v>
      </c>
      <c r="C123" s="160" t="s">
        <v>450</v>
      </c>
      <c r="D123" s="160" t="s">
        <v>339</v>
      </c>
      <c r="E123" t="s">
        <v>1748</v>
      </c>
    </row>
    <row r="124" spans="1:5" ht="15">
      <c r="A124" t="s">
        <v>334</v>
      </c>
      <c r="B124" t="s">
        <v>451</v>
      </c>
      <c r="C124" s="160" t="s">
        <v>452</v>
      </c>
      <c r="D124" s="160" t="s">
        <v>341</v>
      </c>
      <c r="E124" t="s">
        <v>1748</v>
      </c>
    </row>
    <row r="125" spans="1:5" ht="15">
      <c r="A125" t="s">
        <v>334</v>
      </c>
      <c r="B125" t="s">
        <v>453</v>
      </c>
      <c r="C125" s="160" t="s">
        <v>454</v>
      </c>
      <c r="D125" s="160" t="s">
        <v>262</v>
      </c>
      <c r="E125" t="s">
        <v>1748</v>
      </c>
    </row>
    <row r="126" spans="1:5" ht="15">
      <c r="A126" t="s">
        <v>334</v>
      </c>
      <c r="B126" t="s">
        <v>455</v>
      </c>
      <c r="C126" s="160" t="s">
        <v>456</v>
      </c>
      <c r="D126" s="160" t="s">
        <v>339</v>
      </c>
      <c r="E126" t="s">
        <v>1748</v>
      </c>
    </row>
    <row r="127" spans="1:5" ht="15">
      <c r="A127" t="s">
        <v>334</v>
      </c>
      <c r="B127" t="s">
        <v>457</v>
      </c>
      <c r="C127" s="160" t="s">
        <v>458</v>
      </c>
      <c r="D127" s="160" t="s">
        <v>341</v>
      </c>
      <c r="E127" t="s">
        <v>1748</v>
      </c>
    </row>
    <row r="128" spans="1:5" ht="15">
      <c r="A128" t="s">
        <v>334</v>
      </c>
      <c r="B128" t="s">
        <v>278</v>
      </c>
      <c r="C128" s="160" t="s">
        <v>459</v>
      </c>
      <c r="D128" s="160" t="s">
        <v>262</v>
      </c>
      <c r="E128" t="s">
        <v>1748</v>
      </c>
    </row>
    <row r="129" spans="1:5" ht="15">
      <c r="A129" t="s">
        <v>334</v>
      </c>
      <c r="B129" t="s">
        <v>460</v>
      </c>
      <c r="C129" s="160" t="s">
        <v>461</v>
      </c>
      <c r="D129" s="160" t="s">
        <v>339</v>
      </c>
      <c r="E129" t="s">
        <v>1748</v>
      </c>
    </row>
    <row r="130" spans="1:5" ht="15">
      <c r="A130" t="s">
        <v>334</v>
      </c>
      <c r="B130" t="s">
        <v>462</v>
      </c>
      <c r="C130" s="160" t="s">
        <v>463</v>
      </c>
      <c r="D130" s="160" t="s">
        <v>341</v>
      </c>
      <c r="E130" t="s">
        <v>1748</v>
      </c>
    </row>
    <row r="131" spans="1:5" ht="15">
      <c r="A131" t="s">
        <v>334</v>
      </c>
      <c r="B131" t="s">
        <v>279</v>
      </c>
      <c r="C131" s="160" t="s">
        <v>464</v>
      </c>
      <c r="D131" s="160" t="s">
        <v>262</v>
      </c>
      <c r="E131" t="s">
        <v>1748</v>
      </c>
    </row>
    <row r="132" spans="1:5" ht="15">
      <c r="A132" t="s">
        <v>334</v>
      </c>
      <c r="B132" t="s">
        <v>465</v>
      </c>
      <c r="C132" s="160" t="s">
        <v>466</v>
      </c>
      <c r="D132" s="160" t="s">
        <v>339</v>
      </c>
      <c r="E132" t="s">
        <v>1748</v>
      </c>
    </row>
    <row r="133" spans="1:5" ht="15">
      <c r="A133" t="s">
        <v>334</v>
      </c>
      <c r="B133" t="s">
        <v>467</v>
      </c>
      <c r="C133" s="160" t="s">
        <v>468</v>
      </c>
      <c r="D133" s="160" t="s">
        <v>341</v>
      </c>
      <c r="E133" t="s">
        <v>1748</v>
      </c>
    </row>
    <row r="134" spans="1:5" ht="15">
      <c r="A134" t="s">
        <v>334</v>
      </c>
      <c r="B134" t="s">
        <v>281</v>
      </c>
      <c r="C134" s="160" t="s">
        <v>469</v>
      </c>
      <c r="D134" s="160" t="s">
        <v>262</v>
      </c>
      <c r="E134" t="s">
        <v>1748</v>
      </c>
    </row>
    <row r="135" spans="1:5" ht="15">
      <c r="A135" t="s">
        <v>334</v>
      </c>
      <c r="B135" t="s">
        <v>282</v>
      </c>
      <c r="C135" s="160" t="s">
        <v>470</v>
      </c>
      <c r="D135" s="160" t="s">
        <v>339</v>
      </c>
      <c r="E135" t="s">
        <v>1748</v>
      </c>
    </row>
    <row r="136" spans="1:5" ht="15">
      <c r="A136" t="s">
        <v>334</v>
      </c>
      <c r="B136" t="s">
        <v>471</v>
      </c>
      <c r="C136" s="160" t="s">
        <v>472</v>
      </c>
      <c r="D136" s="160" t="s">
        <v>341</v>
      </c>
      <c r="E136" t="s">
        <v>1748</v>
      </c>
    </row>
    <row r="137" spans="1:5" ht="15">
      <c r="A137" t="s">
        <v>334</v>
      </c>
      <c r="B137" t="s">
        <v>473</v>
      </c>
      <c r="C137" s="160" t="s">
        <v>474</v>
      </c>
      <c r="D137" s="160" t="s">
        <v>475</v>
      </c>
      <c r="E137" t="s">
        <v>1748</v>
      </c>
    </row>
    <row r="138" spans="1:5" ht="15">
      <c r="A138" t="s">
        <v>334</v>
      </c>
      <c r="B138" t="s">
        <v>476</v>
      </c>
      <c r="C138" s="160" t="s">
        <v>477</v>
      </c>
      <c r="D138" s="160" t="s">
        <v>478</v>
      </c>
      <c r="E138" t="s">
        <v>1748</v>
      </c>
    </row>
    <row r="139" spans="1:5" ht="15">
      <c r="A139" t="s">
        <v>334</v>
      </c>
      <c r="B139" t="s">
        <v>479</v>
      </c>
      <c r="C139" s="160" t="s">
        <v>474</v>
      </c>
      <c r="D139" s="160" t="s">
        <v>475</v>
      </c>
      <c r="E139" t="s">
        <v>1748</v>
      </c>
    </row>
    <row r="140" spans="1:5" ht="15">
      <c r="A140" t="s">
        <v>334</v>
      </c>
      <c r="B140" t="s">
        <v>480</v>
      </c>
      <c r="C140" s="160" t="s">
        <v>481</v>
      </c>
      <c r="D140" s="160" t="s">
        <v>475</v>
      </c>
      <c r="E140" t="s">
        <v>1748</v>
      </c>
    </row>
    <row r="141" spans="1:5" ht="15">
      <c r="A141" t="s">
        <v>334</v>
      </c>
      <c r="B141" t="s">
        <v>482</v>
      </c>
      <c r="C141" s="160" t="s">
        <v>483</v>
      </c>
      <c r="D141" s="160" t="s">
        <v>478</v>
      </c>
      <c r="E141" t="s">
        <v>1748</v>
      </c>
    </row>
    <row r="142" spans="1:5" ht="15">
      <c r="A142" t="s">
        <v>334</v>
      </c>
      <c r="B142" t="s">
        <v>484</v>
      </c>
      <c r="C142" s="160" t="s">
        <v>474</v>
      </c>
      <c r="D142" s="160" t="s">
        <v>475</v>
      </c>
      <c r="E142" t="s">
        <v>1748</v>
      </c>
    </row>
    <row r="143" spans="1:5" ht="15">
      <c r="A143" t="s">
        <v>334</v>
      </c>
      <c r="B143" t="s">
        <v>485</v>
      </c>
      <c r="C143" s="160" t="s">
        <v>486</v>
      </c>
      <c r="D143" s="160" t="s">
        <v>475</v>
      </c>
      <c r="E143" t="s">
        <v>1748</v>
      </c>
    </row>
    <row r="144" spans="1:5" ht="15">
      <c r="A144" t="s">
        <v>334</v>
      </c>
      <c r="B144" t="s">
        <v>487</v>
      </c>
      <c r="C144" s="160" t="s">
        <v>488</v>
      </c>
      <c r="D144" s="160" t="s">
        <v>478</v>
      </c>
      <c r="E144" t="s">
        <v>1748</v>
      </c>
    </row>
    <row r="145" spans="1:5" ht="15">
      <c r="A145" t="s">
        <v>334</v>
      </c>
      <c r="B145" t="s">
        <v>489</v>
      </c>
      <c r="C145" s="160" t="s">
        <v>486</v>
      </c>
      <c r="D145" s="160" t="s">
        <v>475</v>
      </c>
      <c r="E145" t="s">
        <v>1748</v>
      </c>
    </row>
    <row r="146" spans="1:5" ht="15">
      <c r="A146" t="s">
        <v>334</v>
      </c>
      <c r="B146" t="s">
        <v>490</v>
      </c>
      <c r="C146" s="160" t="s">
        <v>491</v>
      </c>
      <c r="D146" s="160" t="s">
        <v>475</v>
      </c>
      <c r="E146" t="s">
        <v>1748</v>
      </c>
    </row>
    <row r="147" spans="1:5" ht="15">
      <c r="A147" t="s">
        <v>334</v>
      </c>
      <c r="B147" t="s">
        <v>492</v>
      </c>
      <c r="C147" s="160" t="s">
        <v>493</v>
      </c>
      <c r="D147" s="160" t="s">
        <v>478</v>
      </c>
      <c r="E147" t="s">
        <v>1748</v>
      </c>
    </row>
    <row r="148" spans="1:5" ht="15">
      <c r="A148" t="s">
        <v>334</v>
      </c>
      <c r="B148" t="s">
        <v>494</v>
      </c>
      <c r="C148" s="160" t="s">
        <v>491</v>
      </c>
      <c r="D148" s="160" t="s">
        <v>475</v>
      </c>
      <c r="E148" t="s">
        <v>1748</v>
      </c>
    </row>
    <row r="149" spans="1:5" ht="15">
      <c r="A149" t="s">
        <v>334</v>
      </c>
      <c r="B149" t="s">
        <v>495</v>
      </c>
      <c r="C149" s="160" t="s">
        <v>496</v>
      </c>
      <c r="D149" s="160" t="s">
        <v>355</v>
      </c>
      <c r="E149" t="s">
        <v>1748</v>
      </c>
    </row>
    <row r="150" spans="1:5" ht="15">
      <c r="A150" t="s">
        <v>334</v>
      </c>
      <c r="B150" t="s">
        <v>497</v>
      </c>
      <c r="C150" s="160" t="s">
        <v>498</v>
      </c>
      <c r="D150" s="160" t="s">
        <v>355</v>
      </c>
      <c r="E150" t="s">
        <v>1748</v>
      </c>
    </row>
    <row r="151" spans="1:5" ht="15">
      <c r="A151" t="s">
        <v>334</v>
      </c>
      <c r="B151" t="s">
        <v>499</v>
      </c>
      <c r="C151" s="160" t="s">
        <v>500</v>
      </c>
      <c r="D151" s="160" t="s">
        <v>355</v>
      </c>
      <c r="E151" t="s">
        <v>1748</v>
      </c>
    </row>
    <row r="152" spans="1:5" ht="15">
      <c r="A152" t="s">
        <v>334</v>
      </c>
      <c r="B152" t="s">
        <v>501</v>
      </c>
      <c r="C152" s="160" t="s">
        <v>502</v>
      </c>
      <c r="D152" s="160" t="s">
        <v>355</v>
      </c>
      <c r="E152" t="s">
        <v>1748</v>
      </c>
    </row>
    <row r="153" spans="1:5" ht="15">
      <c r="A153" t="s">
        <v>334</v>
      </c>
      <c r="B153" t="s">
        <v>503</v>
      </c>
      <c r="C153" s="160" t="s">
        <v>504</v>
      </c>
      <c r="D153" s="160" t="s">
        <v>355</v>
      </c>
      <c r="E153" t="s">
        <v>1748</v>
      </c>
    </row>
    <row r="154" spans="1:5" ht="15">
      <c r="A154" t="s">
        <v>334</v>
      </c>
      <c r="B154" t="s">
        <v>505</v>
      </c>
      <c r="C154" s="160" t="s">
        <v>506</v>
      </c>
      <c r="D154" s="160" t="s">
        <v>262</v>
      </c>
      <c r="E154" t="s">
        <v>1748</v>
      </c>
    </row>
    <row r="155" spans="1:5" ht="15">
      <c r="A155" t="s">
        <v>334</v>
      </c>
      <c r="B155" t="s">
        <v>507</v>
      </c>
      <c r="C155" s="160" t="s">
        <v>508</v>
      </c>
      <c r="D155" s="160" t="s">
        <v>339</v>
      </c>
      <c r="E155" t="s">
        <v>1748</v>
      </c>
    </row>
    <row r="156" spans="1:5" ht="15">
      <c r="A156" t="s">
        <v>334</v>
      </c>
      <c r="B156" t="s">
        <v>509</v>
      </c>
      <c r="C156" s="160" t="s">
        <v>510</v>
      </c>
      <c r="D156" s="160" t="s">
        <v>341</v>
      </c>
      <c r="E156" t="s">
        <v>1748</v>
      </c>
    </row>
    <row r="157" spans="1:5" ht="15">
      <c r="A157" t="s">
        <v>334</v>
      </c>
      <c r="B157" t="s">
        <v>511</v>
      </c>
      <c r="C157" s="160" t="s">
        <v>512</v>
      </c>
      <c r="D157" s="160" t="s">
        <v>262</v>
      </c>
      <c r="E157" t="s">
        <v>1748</v>
      </c>
    </row>
    <row r="158" spans="1:5" ht="15">
      <c r="A158" t="s">
        <v>334</v>
      </c>
      <c r="B158" t="s">
        <v>513</v>
      </c>
      <c r="C158" s="160" t="s">
        <v>514</v>
      </c>
      <c r="D158" s="160" t="s">
        <v>339</v>
      </c>
      <c r="E158" t="s">
        <v>1748</v>
      </c>
    </row>
    <row r="159" spans="1:5" ht="15">
      <c r="A159" t="s">
        <v>334</v>
      </c>
      <c r="B159" t="s">
        <v>515</v>
      </c>
      <c r="C159" s="160" t="s">
        <v>516</v>
      </c>
      <c r="D159" s="160" t="s">
        <v>341</v>
      </c>
      <c r="E159" t="s">
        <v>1748</v>
      </c>
    </row>
    <row r="160" spans="1:5" ht="15">
      <c r="A160" t="s">
        <v>334</v>
      </c>
      <c r="B160" t="s">
        <v>517</v>
      </c>
      <c r="C160" s="160" t="s">
        <v>518</v>
      </c>
      <c r="D160" s="160" t="s">
        <v>262</v>
      </c>
      <c r="E160" t="s">
        <v>1748</v>
      </c>
    </row>
    <row r="161" spans="1:5" ht="15">
      <c r="A161" t="s">
        <v>334</v>
      </c>
      <c r="B161" t="s">
        <v>519</v>
      </c>
      <c r="C161" s="160" t="s">
        <v>520</v>
      </c>
      <c r="D161" s="160" t="s">
        <v>339</v>
      </c>
      <c r="E161" t="s">
        <v>1748</v>
      </c>
    </row>
    <row r="162" spans="1:5" ht="15">
      <c r="A162" t="s">
        <v>334</v>
      </c>
      <c r="B162" t="s">
        <v>521</v>
      </c>
      <c r="C162" s="160" t="s">
        <v>522</v>
      </c>
      <c r="D162" s="160" t="s">
        <v>341</v>
      </c>
      <c r="E162" t="s">
        <v>1748</v>
      </c>
    </row>
    <row r="163" spans="1:5" ht="15">
      <c r="A163" t="s">
        <v>334</v>
      </c>
      <c r="B163" t="s">
        <v>523</v>
      </c>
      <c r="C163" s="160" t="s">
        <v>524</v>
      </c>
      <c r="D163" s="160" t="s">
        <v>262</v>
      </c>
      <c r="E163" t="s">
        <v>1748</v>
      </c>
    </row>
    <row r="164" spans="1:5" ht="15">
      <c r="A164" t="s">
        <v>334</v>
      </c>
      <c r="B164" t="s">
        <v>525</v>
      </c>
      <c r="C164" s="160" t="s">
        <v>526</v>
      </c>
      <c r="D164" s="160" t="s">
        <v>339</v>
      </c>
      <c r="E164" t="s">
        <v>1748</v>
      </c>
    </row>
    <row r="165" spans="1:5" ht="15">
      <c r="A165" t="s">
        <v>334</v>
      </c>
      <c r="B165" t="s">
        <v>527</v>
      </c>
      <c r="C165" s="160" t="s">
        <v>528</v>
      </c>
      <c r="D165" s="160" t="s">
        <v>341</v>
      </c>
      <c r="E165" t="s">
        <v>1748</v>
      </c>
    </row>
    <row r="166" spans="1:5" ht="15">
      <c r="A166" t="s">
        <v>334</v>
      </c>
      <c r="B166" t="s">
        <v>275</v>
      </c>
      <c r="C166" s="160" t="s">
        <v>529</v>
      </c>
      <c r="D166" s="160" t="s">
        <v>262</v>
      </c>
      <c r="E166" t="s">
        <v>1748</v>
      </c>
    </row>
    <row r="167" spans="1:5" ht="15">
      <c r="A167" t="s">
        <v>334</v>
      </c>
      <c r="B167" t="s">
        <v>283</v>
      </c>
      <c r="C167" s="160" t="s">
        <v>530</v>
      </c>
      <c r="D167" s="160" t="s">
        <v>339</v>
      </c>
      <c r="E167" t="s">
        <v>1748</v>
      </c>
    </row>
    <row r="168" spans="1:5" ht="15">
      <c r="A168" t="s">
        <v>334</v>
      </c>
      <c r="B168" t="s">
        <v>284</v>
      </c>
      <c r="C168" s="160" t="s">
        <v>531</v>
      </c>
      <c r="D168" s="160" t="s">
        <v>341</v>
      </c>
      <c r="E168" t="s">
        <v>1748</v>
      </c>
    </row>
    <row r="169" spans="1:5" ht="15">
      <c r="A169" t="s">
        <v>334</v>
      </c>
      <c r="B169" t="s">
        <v>532</v>
      </c>
      <c r="C169" s="160" t="s">
        <v>533</v>
      </c>
      <c r="D169" s="160" t="s">
        <v>355</v>
      </c>
      <c r="E169" t="s">
        <v>1748</v>
      </c>
    </row>
    <row r="170" spans="1:5" ht="15">
      <c r="A170" t="s">
        <v>334</v>
      </c>
      <c r="B170" t="s">
        <v>534</v>
      </c>
      <c r="C170" s="160" t="s">
        <v>535</v>
      </c>
      <c r="D170" s="160" t="s">
        <v>355</v>
      </c>
      <c r="E170" t="s">
        <v>1748</v>
      </c>
    </row>
    <row r="171" spans="1:5" ht="15">
      <c r="A171" t="s">
        <v>334</v>
      </c>
      <c r="B171" t="s">
        <v>536</v>
      </c>
      <c r="C171" s="160" t="s">
        <v>537</v>
      </c>
      <c r="D171" s="160" t="s">
        <v>355</v>
      </c>
      <c r="E171" t="s">
        <v>1748</v>
      </c>
    </row>
    <row r="172" spans="1:5" ht="15">
      <c r="A172" t="s">
        <v>334</v>
      </c>
      <c r="B172" t="s">
        <v>538</v>
      </c>
      <c r="C172" s="160" t="s">
        <v>539</v>
      </c>
      <c r="D172" s="160" t="s">
        <v>355</v>
      </c>
      <c r="E172" t="s">
        <v>1748</v>
      </c>
    </row>
    <row r="173" spans="1:5" ht="15">
      <c r="A173" t="s">
        <v>334</v>
      </c>
      <c r="B173" t="s">
        <v>301</v>
      </c>
      <c r="C173" s="160" t="s">
        <v>540</v>
      </c>
      <c r="D173" s="160" t="s">
        <v>355</v>
      </c>
      <c r="E173" t="s">
        <v>1748</v>
      </c>
    </row>
    <row r="174" spans="1:5" ht="15">
      <c r="A174" t="s">
        <v>334</v>
      </c>
      <c r="B174" t="s">
        <v>541</v>
      </c>
      <c r="C174" s="160" t="s">
        <v>542</v>
      </c>
      <c r="D174" s="160" t="s">
        <v>262</v>
      </c>
      <c r="E174" t="s">
        <v>1748</v>
      </c>
    </row>
    <row r="175" spans="1:5" ht="15">
      <c r="A175" t="s">
        <v>334</v>
      </c>
      <c r="B175" t="s">
        <v>543</v>
      </c>
      <c r="C175" s="160" t="s">
        <v>544</v>
      </c>
      <c r="D175" s="160" t="s">
        <v>339</v>
      </c>
      <c r="E175" t="s">
        <v>1748</v>
      </c>
    </row>
    <row r="176" spans="1:5" ht="15">
      <c r="A176" t="s">
        <v>334</v>
      </c>
      <c r="B176" t="s">
        <v>545</v>
      </c>
      <c r="C176" s="160" t="s">
        <v>546</v>
      </c>
      <c r="D176" s="160" t="s">
        <v>341</v>
      </c>
      <c r="E176" t="s">
        <v>1748</v>
      </c>
    </row>
    <row r="177" spans="1:5" ht="15">
      <c r="A177" t="s">
        <v>334</v>
      </c>
      <c r="B177" t="s">
        <v>547</v>
      </c>
      <c r="C177" s="160" t="s">
        <v>548</v>
      </c>
      <c r="D177" s="160" t="s">
        <v>262</v>
      </c>
      <c r="E177" t="s">
        <v>1748</v>
      </c>
    </row>
    <row r="178" spans="1:5" ht="15">
      <c r="A178" t="s">
        <v>334</v>
      </c>
      <c r="B178" t="s">
        <v>549</v>
      </c>
      <c r="C178" s="160" t="s">
        <v>550</v>
      </c>
      <c r="D178" s="160" t="s">
        <v>339</v>
      </c>
      <c r="E178" t="s">
        <v>1748</v>
      </c>
    </row>
    <row r="179" spans="1:5" ht="15">
      <c r="A179" t="s">
        <v>334</v>
      </c>
      <c r="B179" t="s">
        <v>551</v>
      </c>
      <c r="C179" s="160" t="s">
        <v>552</v>
      </c>
      <c r="D179" s="160" t="s">
        <v>341</v>
      </c>
      <c r="E179" t="s">
        <v>1748</v>
      </c>
    </row>
    <row r="180" spans="1:5" ht="15">
      <c r="A180" t="s">
        <v>334</v>
      </c>
      <c r="B180" t="s">
        <v>553</v>
      </c>
      <c r="C180" s="160" t="s">
        <v>554</v>
      </c>
      <c r="D180" s="160" t="s">
        <v>262</v>
      </c>
      <c r="E180" t="s">
        <v>1748</v>
      </c>
    </row>
    <row r="181" spans="1:5" ht="15">
      <c r="A181" t="s">
        <v>334</v>
      </c>
      <c r="B181" t="s">
        <v>555</v>
      </c>
      <c r="C181" s="160" t="s">
        <v>556</v>
      </c>
      <c r="D181" s="160" t="s">
        <v>339</v>
      </c>
      <c r="E181" t="s">
        <v>1748</v>
      </c>
    </row>
    <row r="182" spans="1:5" ht="15">
      <c r="A182" t="s">
        <v>334</v>
      </c>
      <c r="B182" t="s">
        <v>557</v>
      </c>
      <c r="C182" s="160" t="s">
        <v>558</v>
      </c>
      <c r="D182" s="160" t="s">
        <v>341</v>
      </c>
      <c r="E182" t="s">
        <v>1748</v>
      </c>
    </row>
    <row r="183" spans="1:5" ht="15">
      <c r="A183" t="s">
        <v>334</v>
      </c>
      <c r="B183" t="s">
        <v>559</v>
      </c>
      <c r="C183" s="160" t="s">
        <v>560</v>
      </c>
      <c r="D183" s="160" t="s">
        <v>262</v>
      </c>
      <c r="E183" t="s">
        <v>1748</v>
      </c>
    </row>
    <row r="184" spans="1:5" ht="15">
      <c r="A184" t="s">
        <v>334</v>
      </c>
      <c r="B184" t="s">
        <v>561</v>
      </c>
      <c r="C184" s="160" t="s">
        <v>562</v>
      </c>
      <c r="D184" s="160" t="s">
        <v>339</v>
      </c>
      <c r="E184" t="s">
        <v>1748</v>
      </c>
    </row>
    <row r="185" spans="1:5" ht="15">
      <c r="A185" t="s">
        <v>334</v>
      </c>
      <c r="B185" t="s">
        <v>563</v>
      </c>
      <c r="C185" s="160" t="s">
        <v>564</v>
      </c>
      <c r="D185" s="160" t="s">
        <v>341</v>
      </c>
      <c r="E185" t="s">
        <v>1748</v>
      </c>
    </row>
    <row r="186" spans="1:5" ht="15">
      <c r="A186" t="s">
        <v>334</v>
      </c>
      <c r="B186" t="s">
        <v>565</v>
      </c>
      <c r="C186" s="160" t="s">
        <v>566</v>
      </c>
      <c r="D186" s="160" t="s">
        <v>262</v>
      </c>
      <c r="E186" t="s">
        <v>1748</v>
      </c>
    </row>
    <row r="187" spans="1:5" ht="15">
      <c r="A187" t="s">
        <v>334</v>
      </c>
      <c r="B187" t="s">
        <v>567</v>
      </c>
      <c r="C187" s="160" t="s">
        <v>568</v>
      </c>
      <c r="D187" s="160" t="s">
        <v>339</v>
      </c>
      <c r="E187" t="s">
        <v>1748</v>
      </c>
    </row>
    <row r="188" spans="1:5" ht="15">
      <c r="A188" t="s">
        <v>334</v>
      </c>
      <c r="B188" t="s">
        <v>569</v>
      </c>
      <c r="C188" s="160" t="s">
        <v>570</v>
      </c>
      <c r="D188" s="160" t="s">
        <v>341</v>
      </c>
      <c r="E188" t="s">
        <v>1748</v>
      </c>
    </row>
    <row r="189" spans="1:5" ht="15">
      <c r="A189" t="s">
        <v>334</v>
      </c>
      <c r="B189" t="s">
        <v>571</v>
      </c>
      <c r="C189" s="160" t="s">
        <v>572</v>
      </c>
      <c r="D189" s="160" t="s">
        <v>262</v>
      </c>
      <c r="E189" t="s">
        <v>1748</v>
      </c>
    </row>
    <row r="190" spans="1:5" ht="15">
      <c r="A190" t="s">
        <v>334</v>
      </c>
      <c r="B190" t="s">
        <v>573</v>
      </c>
      <c r="C190" s="160" t="s">
        <v>574</v>
      </c>
      <c r="D190" s="160" t="s">
        <v>339</v>
      </c>
      <c r="E190" t="s">
        <v>1748</v>
      </c>
    </row>
    <row r="191" spans="1:5" ht="15">
      <c r="A191" t="s">
        <v>334</v>
      </c>
      <c r="B191" t="s">
        <v>575</v>
      </c>
      <c r="C191" s="160" t="s">
        <v>576</v>
      </c>
      <c r="D191" s="160" t="s">
        <v>341</v>
      </c>
      <c r="E191" t="s">
        <v>1748</v>
      </c>
    </row>
    <row r="192" spans="1:5" ht="15">
      <c r="A192" t="s">
        <v>334</v>
      </c>
      <c r="B192" t="s">
        <v>577</v>
      </c>
      <c r="C192" s="160" t="s">
        <v>578</v>
      </c>
      <c r="D192" s="160" t="s">
        <v>262</v>
      </c>
      <c r="E192" t="s">
        <v>1748</v>
      </c>
    </row>
    <row r="193" spans="1:5" ht="15">
      <c r="A193" t="s">
        <v>334</v>
      </c>
      <c r="B193" t="s">
        <v>579</v>
      </c>
      <c r="C193" s="160" t="s">
        <v>580</v>
      </c>
      <c r="D193" s="160" t="s">
        <v>339</v>
      </c>
      <c r="E193" t="s">
        <v>1748</v>
      </c>
    </row>
    <row r="194" spans="1:5" ht="15">
      <c r="A194" t="s">
        <v>334</v>
      </c>
      <c r="B194" t="s">
        <v>581</v>
      </c>
      <c r="C194" s="160" t="s">
        <v>582</v>
      </c>
      <c r="D194" s="160" t="s">
        <v>341</v>
      </c>
      <c r="E194" t="s">
        <v>1748</v>
      </c>
    </row>
    <row r="195" spans="1:5" ht="15">
      <c r="A195" t="s">
        <v>334</v>
      </c>
      <c r="B195" t="s">
        <v>583</v>
      </c>
      <c r="C195" s="160" t="s">
        <v>584</v>
      </c>
      <c r="D195" s="160" t="s">
        <v>355</v>
      </c>
      <c r="E195" t="s">
        <v>1751</v>
      </c>
    </row>
    <row r="196" spans="1:5" ht="15">
      <c r="A196" t="s">
        <v>334</v>
      </c>
      <c r="B196" t="s">
        <v>585</v>
      </c>
      <c r="C196" s="160" t="s">
        <v>586</v>
      </c>
      <c r="D196" s="160" t="s">
        <v>355</v>
      </c>
      <c r="E196" t="s">
        <v>1751</v>
      </c>
    </row>
    <row r="197" spans="1:5" ht="15">
      <c r="A197" t="s">
        <v>334</v>
      </c>
      <c r="B197" t="s">
        <v>303</v>
      </c>
      <c r="C197" s="160" t="s">
        <v>587</v>
      </c>
      <c r="D197" s="160" t="s">
        <v>355</v>
      </c>
      <c r="E197" t="s">
        <v>1751</v>
      </c>
    </row>
    <row r="198" spans="1:5" ht="15">
      <c r="A198" t="s">
        <v>334</v>
      </c>
      <c r="B198" t="s">
        <v>298</v>
      </c>
      <c r="C198" s="160" t="s">
        <v>588</v>
      </c>
      <c r="D198" s="160" t="s">
        <v>355</v>
      </c>
      <c r="E198" t="s">
        <v>1751</v>
      </c>
    </row>
    <row r="199" spans="1:5" ht="15">
      <c r="A199" t="s">
        <v>334</v>
      </c>
      <c r="B199" t="s">
        <v>589</v>
      </c>
      <c r="C199" s="160" t="s">
        <v>590</v>
      </c>
      <c r="D199" s="160" t="s">
        <v>355</v>
      </c>
      <c r="E199" t="s">
        <v>1751</v>
      </c>
    </row>
    <row r="200" spans="1:5" ht="15">
      <c r="A200" t="s">
        <v>334</v>
      </c>
      <c r="B200" t="s">
        <v>591</v>
      </c>
      <c r="C200" s="160" t="s">
        <v>592</v>
      </c>
      <c r="D200" s="160" t="s">
        <v>355</v>
      </c>
      <c r="E200" t="s">
        <v>1751</v>
      </c>
    </row>
    <row r="201" spans="1:5" ht="15">
      <c r="A201" t="s">
        <v>334</v>
      </c>
      <c r="B201" t="s">
        <v>593</v>
      </c>
      <c r="C201" s="160" t="s">
        <v>594</v>
      </c>
      <c r="D201" s="160" t="s">
        <v>355</v>
      </c>
      <c r="E201" t="s">
        <v>1751</v>
      </c>
    </row>
    <row r="202" spans="1:5" ht="15">
      <c r="A202" t="s">
        <v>334</v>
      </c>
      <c r="B202" t="s">
        <v>595</v>
      </c>
      <c r="C202" s="160" t="s">
        <v>596</v>
      </c>
      <c r="D202" s="160" t="s">
        <v>262</v>
      </c>
      <c r="E202" t="s">
        <v>1748</v>
      </c>
    </row>
    <row r="203" spans="1:5" ht="15">
      <c r="A203" t="s">
        <v>334</v>
      </c>
      <c r="B203" t="s">
        <v>597</v>
      </c>
      <c r="C203" s="160" t="s">
        <v>598</v>
      </c>
      <c r="D203" s="160" t="s">
        <v>339</v>
      </c>
      <c r="E203" t="s">
        <v>1748</v>
      </c>
    </row>
    <row r="204" spans="1:5" ht="15">
      <c r="A204" t="s">
        <v>334</v>
      </c>
      <c r="B204" t="s">
        <v>599</v>
      </c>
      <c r="C204" s="160" t="s">
        <v>600</v>
      </c>
      <c r="D204" s="160" t="s">
        <v>341</v>
      </c>
      <c r="E204" t="s">
        <v>1748</v>
      </c>
    </row>
    <row r="205" spans="1:5" ht="15">
      <c r="A205" t="s">
        <v>334</v>
      </c>
      <c r="B205" t="s">
        <v>601</v>
      </c>
      <c r="C205" s="160" t="s">
        <v>602</v>
      </c>
      <c r="D205" s="160" t="s">
        <v>262</v>
      </c>
      <c r="E205" t="s">
        <v>1748</v>
      </c>
    </row>
    <row r="206" spans="1:5" ht="15">
      <c r="A206" t="s">
        <v>334</v>
      </c>
      <c r="B206" t="s">
        <v>603</v>
      </c>
      <c r="C206" s="160" t="s">
        <v>604</v>
      </c>
      <c r="D206" s="160" t="s">
        <v>339</v>
      </c>
      <c r="E206" t="s">
        <v>1748</v>
      </c>
    </row>
    <row r="207" spans="1:5" ht="15">
      <c r="A207" t="s">
        <v>334</v>
      </c>
      <c r="B207" t="s">
        <v>605</v>
      </c>
      <c r="C207" s="160" t="s">
        <v>606</v>
      </c>
      <c r="D207" s="160" t="s">
        <v>341</v>
      </c>
      <c r="E207" t="s">
        <v>1748</v>
      </c>
    </row>
    <row r="208" spans="1:5" ht="15">
      <c r="A208" t="s">
        <v>334</v>
      </c>
      <c r="B208" t="s">
        <v>607</v>
      </c>
      <c r="C208" s="160" t="s">
        <v>608</v>
      </c>
      <c r="D208" s="160" t="s">
        <v>262</v>
      </c>
      <c r="E208" t="s">
        <v>1748</v>
      </c>
    </row>
    <row r="209" spans="1:5" ht="15">
      <c r="A209" t="s">
        <v>334</v>
      </c>
      <c r="B209" t="s">
        <v>609</v>
      </c>
      <c r="C209" s="160" t="s">
        <v>610</v>
      </c>
      <c r="D209" s="160" t="s">
        <v>339</v>
      </c>
      <c r="E209" t="s">
        <v>1748</v>
      </c>
    </row>
    <row r="210" spans="1:5" ht="15">
      <c r="A210" t="s">
        <v>334</v>
      </c>
      <c r="B210" t="s">
        <v>611</v>
      </c>
      <c r="C210" s="160" t="s">
        <v>612</v>
      </c>
      <c r="D210" s="160" t="s">
        <v>341</v>
      </c>
      <c r="E210" t="s">
        <v>1748</v>
      </c>
    </row>
    <row r="211" spans="1:5" ht="15">
      <c r="A211" t="s">
        <v>334</v>
      </c>
      <c r="B211" t="s">
        <v>613</v>
      </c>
      <c r="C211" s="160" t="s">
        <v>614</v>
      </c>
      <c r="D211" s="160" t="s">
        <v>262</v>
      </c>
      <c r="E211" t="s">
        <v>1748</v>
      </c>
    </row>
    <row r="212" spans="1:5" ht="15">
      <c r="A212" t="s">
        <v>334</v>
      </c>
      <c r="B212" t="s">
        <v>615</v>
      </c>
      <c r="C212" s="160" t="s">
        <v>616</v>
      </c>
      <c r="D212" s="160" t="s">
        <v>339</v>
      </c>
      <c r="E212" t="s">
        <v>1748</v>
      </c>
    </row>
    <row r="213" spans="1:5" ht="15">
      <c r="A213" t="s">
        <v>334</v>
      </c>
      <c r="B213" t="s">
        <v>617</v>
      </c>
      <c r="C213" s="160" t="s">
        <v>618</v>
      </c>
      <c r="D213" s="160" t="s">
        <v>341</v>
      </c>
      <c r="E213" t="s">
        <v>1748</v>
      </c>
    </row>
    <row r="214" spans="1:5" ht="15">
      <c r="A214" t="s">
        <v>334</v>
      </c>
      <c r="B214" t="s">
        <v>619</v>
      </c>
      <c r="C214" s="160" t="s">
        <v>620</v>
      </c>
      <c r="D214" s="160" t="s">
        <v>355</v>
      </c>
      <c r="E214" t="s">
        <v>1751</v>
      </c>
    </row>
    <row r="215" spans="1:5" ht="15">
      <c r="A215" t="s">
        <v>334</v>
      </c>
      <c r="B215" t="s">
        <v>621</v>
      </c>
      <c r="C215" s="160" t="s">
        <v>622</v>
      </c>
      <c r="D215" s="160" t="s">
        <v>355</v>
      </c>
      <c r="E215" t="s">
        <v>1751</v>
      </c>
    </row>
    <row r="216" spans="1:5" ht="15">
      <c r="A216" t="s">
        <v>334</v>
      </c>
      <c r="B216" t="s">
        <v>623</v>
      </c>
      <c r="C216" s="160" t="s">
        <v>624</v>
      </c>
      <c r="D216" s="160" t="s">
        <v>355</v>
      </c>
      <c r="E216" t="s">
        <v>1751</v>
      </c>
    </row>
    <row r="217" spans="1:5" ht="15">
      <c r="A217" t="s">
        <v>334</v>
      </c>
      <c r="B217" t="s">
        <v>625</v>
      </c>
      <c r="C217" s="160" t="s">
        <v>626</v>
      </c>
      <c r="D217" s="160" t="s">
        <v>355</v>
      </c>
      <c r="E217" t="s">
        <v>1751</v>
      </c>
    </row>
    <row r="218" spans="1:5" ht="15">
      <c r="A218" t="s">
        <v>334</v>
      </c>
      <c r="B218" t="s">
        <v>627</v>
      </c>
      <c r="C218" s="160" t="s">
        <v>628</v>
      </c>
      <c r="D218" s="160" t="s">
        <v>262</v>
      </c>
      <c r="E218" t="s">
        <v>1748</v>
      </c>
    </row>
    <row r="219" spans="1:5" ht="15">
      <c r="A219" t="s">
        <v>334</v>
      </c>
      <c r="B219" t="s">
        <v>629</v>
      </c>
      <c r="C219" s="160" t="s">
        <v>630</v>
      </c>
      <c r="D219" s="160" t="s">
        <v>339</v>
      </c>
      <c r="E219" t="s">
        <v>1748</v>
      </c>
    </row>
    <row r="220" spans="1:5" ht="15">
      <c r="A220" t="s">
        <v>334</v>
      </c>
      <c r="B220" t="s">
        <v>631</v>
      </c>
      <c r="C220" s="160" t="s">
        <v>632</v>
      </c>
      <c r="D220" s="160" t="s">
        <v>341</v>
      </c>
      <c r="E220" t="s">
        <v>1748</v>
      </c>
    </row>
    <row r="221" spans="1:5" ht="15">
      <c r="A221" t="s">
        <v>334</v>
      </c>
      <c r="B221" t="s">
        <v>633</v>
      </c>
      <c r="C221" s="160" t="s">
        <v>634</v>
      </c>
      <c r="D221" s="160" t="s">
        <v>262</v>
      </c>
      <c r="E221" t="s">
        <v>1748</v>
      </c>
    </row>
    <row r="222" spans="1:5" ht="15">
      <c r="A222" t="s">
        <v>334</v>
      </c>
      <c r="B222" t="s">
        <v>635</v>
      </c>
      <c r="C222" s="160" t="s">
        <v>636</v>
      </c>
      <c r="D222" s="160" t="s">
        <v>339</v>
      </c>
      <c r="E222" t="s">
        <v>1748</v>
      </c>
    </row>
    <row r="223" spans="1:5" ht="15">
      <c r="A223" t="s">
        <v>334</v>
      </c>
      <c r="B223" t="s">
        <v>637</v>
      </c>
      <c r="C223" s="160" t="s">
        <v>638</v>
      </c>
      <c r="D223" s="160" t="s">
        <v>341</v>
      </c>
      <c r="E223" t="s">
        <v>1748</v>
      </c>
    </row>
    <row r="224" spans="1:5" ht="15">
      <c r="A224" t="s">
        <v>334</v>
      </c>
      <c r="B224" t="s">
        <v>639</v>
      </c>
      <c r="C224" s="160" t="s">
        <v>640</v>
      </c>
      <c r="D224" s="160" t="s">
        <v>262</v>
      </c>
      <c r="E224" t="s">
        <v>1748</v>
      </c>
    </row>
    <row r="225" spans="1:5" ht="15">
      <c r="A225" t="s">
        <v>334</v>
      </c>
      <c r="B225" t="s">
        <v>641</v>
      </c>
      <c r="C225" s="160" t="s">
        <v>642</v>
      </c>
      <c r="D225" s="160" t="s">
        <v>339</v>
      </c>
      <c r="E225" t="s">
        <v>1748</v>
      </c>
    </row>
    <row r="226" spans="1:5" ht="15">
      <c r="A226" t="s">
        <v>334</v>
      </c>
      <c r="B226" t="s">
        <v>643</v>
      </c>
      <c r="C226" s="160" t="s">
        <v>644</v>
      </c>
      <c r="D226" s="160" t="s">
        <v>341</v>
      </c>
      <c r="E226" t="s">
        <v>1748</v>
      </c>
    </row>
    <row r="227" spans="1:5" ht="15">
      <c r="A227" t="s">
        <v>334</v>
      </c>
      <c r="B227" t="s">
        <v>645</v>
      </c>
      <c r="C227" s="160" t="s">
        <v>646</v>
      </c>
      <c r="D227" s="160" t="s">
        <v>262</v>
      </c>
      <c r="E227" t="s">
        <v>1748</v>
      </c>
    </row>
    <row r="228" spans="1:5" ht="15">
      <c r="A228" t="s">
        <v>334</v>
      </c>
      <c r="B228" t="s">
        <v>647</v>
      </c>
      <c r="C228" s="160" t="s">
        <v>648</v>
      </c>
      <c r="D228" s="160" t="s">
        <v>339</v>
      </c>
      <c r="E228" t="s">
        <v>1748</v>
      </c>
    </row>
    <row r="229" spans="1:5" ht="15">
      <c r="A229" t="s">
        <v>334</v>
      </c>
      <c r="B229" t="s">
        <v>649</v>
      </c>
      <c r="C229" s="160" t="s">
        <v>650</v>
      </c>
      <c r="D229" s="160" t="s">
        <v>341</v>
      </c>
      <c r="E229" t="s">
        <v>1748</v>
      </c>
    </row>
    <row r="230" spans="1:5" ht="15">
      <c r="A230" t="s">
        <v>334</v>
      </c>
      <c r="B230" t="s">
        <v>651</v>
      </c>
      <c r="C230" s="160" t="s">
        <v>652</v>
      </c>
      <c r="D230" s="160" t="s">
        <v>262</v>
      </c>
      <c r="E230" t="s">
        <v>1748</v>
      </c>
    </row>
    <row r="231" spans="1:5" ht="15">
      <c r="A231" t="s">
        <v>334</v>
      </c>
      <c r="B231" t="s">
        <v>653</v>
      </c>
      <c r="C231" s="160" t="s">
        <v>654</v>
      </c>
      <c r="D231" s="160" t="s">
        <v>339</v>
      </c>
      <c r="E231" t="s">
        <v>1748</v>
      </c>
    </row>
    <row r="232" spans="1:5" ht="15">
      <c r="A232" t="s">
        <v>334</v>
      </c>
      <c r="B232" t="s">
        <v>655</v>
      </c>
      <c r="C232" s="160" t="s">
        <v>656</v>
      </c>
      <c r="D232" s="160" t="s">
        <v>341</v>
      </c>
      <c r="E232" t="s">
        <v>1748</v>
      </c>
    </row>
    <row r="233" spans="1:5" ht="15">
      <c r="A233" t="s">
        <v>334</v>
      </c>
      <c r="B233" t="s">
        <v>657</v>
      </c>
      <c r="C233" s="160" t="s">
        <v>658</v>
      </c>
      <c r="D233" s="160" t="s">
        <v>262</v>
      </c>
      <c r="E233" t="s">
        <v>1748</v>
      </c>
    </row>
    <row r="234" spans="1:5" ht="15">
      <c r="A234" t="s">
        <v>334</v>
      </c>
      <c r="B234" t="s">
        <v>659</v>
      </c>
      <c r="C234" s="160" t="s">
        <v>660</v>
      </c>
      <c r="D234" s="160" t="s">
        <v>339</v>
      </c>
      <c r="E234" t="s">
        <v>1748</v>
      </c>
    </row>
    <row r="235" spans="1:5" ht="15">
      <c r="A235" t="s">
        <v>334</v>
      </c>
      <c r="B235" t="s">
        <v>661</v>
      </c>
      <c r="C235" s="160" t="s">
        <v>662</v>
      </c>
      <c r="D235" s="160" t="s">
        <v>341</v>
      </c>
      <c r="E235" t="s">
        <v>1748</v>
      </c>
    </row>
    <row r="236" spans="1:5" ht="15">
      <c r="A236" t="s">
        <v>334</v>
      </c>
      <c r="B236" t="s">
        <v>663</v>
      </c>
      <c r="C236" s="160" t="s">
        <v>664</v>
      </c>
      <c r="D236" s="160" t="s">
        <v>665</v>
      </c>
      <c r="E236" t="s">
        <v>1764</v>
      </c>
    </row>
    <row r="237" spans="1:5" ht="15">
      <c r="A237" t="s">
        <v>334</v>
      </c>
      <c r="B237" t="s">
        <v>666</v>
      </c>
      <c r="C237" s="160" t="s">
        <v>667</v>
      </c>
      <c r="D237" s="160" t="s">
        <v>668</v>
      </c>
      <c r="E237" t="s">
        <v>1764</v>
      </c>
    </row>
    <row r="238" spans="1:5" ht="15">
      <c r="A238" t="s">
        <v>334</v>
      </c>
      <c r="B238" t="s">
        <v>669</v>
      </c>
      <c r="C238" s="160" t="s">
        <v>670</v>
      </c>
      <c r="D238" s="160" t="s">
        <v>671</v>
      </c>
      <c r="E238" t="s">
        <v>1764</v>
      </c>
    </row>
    <row r="239" spans="1:5" ht="15">
      <c r="A239" t="s">
        <v>334</v>
      </c>
      <c r="B239" t="s">
        <v>672</v>
      </c>
      <c r="C239" s="160" t="s">
        <v>673</v>
      </c>
      <c r="D239" s="160" t="s">
        <v>355</v>
      </c>
      <c r="E239" t="s">
        <v>1751</v>
      </c>
    </row>
    <row r="240" spans="1:5" ht="15">
      <c r="A240" t="s">
        <v>334</v>
      </c>
      <c r="B240" t="s">
        <v>674</v>
      </c>
      <c r="C240" s="160" t="s">
        <v>675</v>
      </c>
      <c r="D240" s="160" t="s">
        <v>355</v>
      </c>
      <c r="E240" t="s">
        <v>1751</v>
      </c>
    </row>
    <row r="241" spans="1:5" ht="15">
      <c r="A241" t="s">
        <v>334</v>
      </c>
      <c r="B241" t="s">
        <v>676</v>
      </c>
      <c r="C241" s="160" t="s">
        <v>677</v>
      </c>
      <c r="D241" s="160" t="s">
        <v>355</v>
      </c>
      <c r="E241" t="s">
        <v>1751</v>
      </c>
    </row>
    <row r="242" spans="1:5" ht="15">
      <c r="A242" t="s">
        <v>334</v>
      </c>
      <c r="B242" t="s">
        <v>678</v>
      </c>
      <c r="C242" s="160" t="s">
        <v>679</v>
      </c>
      <c r="D242" s="160" t="s">
        <v>355</v>
      </c>
      <c r="E242" t="s">
        <v>1751</v>
      </c>
    </row>
    <row r="243" spans="1:5" ht="15">
      <c r="A243" t="s">
        <v>334</v>
      </c>
      <c r="B243" t="s">
        <v>680</v>
      </c>
      <c r="C243" s="160" t="s">
        <v>681</v>
      </c>
      <c r="D243" s="160" t="s">
        <v>355</v>
      </c>
      <c r="E243" t="s">
        <v>1751</v>
      </c>
    </row>
    <row r="244" spans="1:5" ht="15">
      <c r="A244" t="s">
        <v>334</v>
      </c>
      <c r="B244" t="s">
        <v>682</v>
      </c>
      <c r="C244" s="160" t="s">
        <v>683</v>
      </c>
      <c r="D244" s="160" t="s">
        <v>355</v>
      </c>
      <c r="E244" t="s">
        <v>1751</v>
      </c>
    </row>
    <row r="245" spans="1:5" ht="15">
      <c r="A245" t="s">
        <v>334</v>
      </c>
      <c r="B245" t="s">
        <v>684</v>
      </c>
      <c r="C245" s="160" t="s">
        <v>685</v>
      </c>
      <c r="D245" s="160" t="s">
        <v>262</v>
      </c>
      <c r="E245" t="s">
        <v>1748</v>
      </c>
    </row>
    <row r="246" spans="1:5" ht="15">
      <c r="A246" t="s">
        <v>334</v>
      </c>
      <c r="B246" t="s">
        <v>686</v>
      </c>
      <c r="C246" s="160" t="s">
        <v>687</v>
      </c>
      <c r="D246" s="160" t="s">
        <v>339</v>
      </c>
      <c r="E246" t="s">
        <v>1748</v>
      </c>
    </row>
    <row r="247" spans="1:5" ht="15">
      <c r="A247" t="s">
        <v>334</v>
      </c>
      <c r="B247" t="s">
        <v>688</v>
      </c>
      <c r="C247" s="160" t="s">
        <v>689</v>
      </c>
      <c r="D247" s="160" t="s">
        <v>341</v>
      </c>
      <c r="E247" t="s">
        <v>1748</v>
      </c>
    </row>
    <row r="248" spans="1:5" ht="15">
      <c r="A248" t="s">
        <v>334</v>
      </c>
      <c r="B248" t="s">
        <v>690</v>
      </c>
      <c r="C248" s="160" t="s">
        <v>691</v>
      </c>
      <c r="D248" s="160" t="s">
        <v>262</v>
      </c>
      <c r="E248" t="s">
        <v>1748</v>
      </c>
    </row>
    <row r="249" spans="1:5" ht="15">
      <c r="A249" t="s">
        <v>334</v>
      </c>
      <c r="B249" t="s">
        <v>692</v>
      </c>
      <c r="C249" s="160" t="s">
        <v>693</v>
      </c>
      <c r="D249" s="160" t="s">
        <v>339</v>
      </c>
      <c r="E249" t="s">
        <v>1748</v>
      </c>
    </row>
    <row r="250" spans="1:5" ht="15">
      <c r="A250" t="s">
        <v>334</v>
      </c>
      <c r="B250" t="s">
        <v>694</v>
      </c>
      <c r="C250" s="160" t="s">
        <v>695</v>
      </c>
      <c r="D250" s="160" t="s">
        <v>341</v>
      </c>
      <c r="E250" t="s">
        <v>1748</v>
      </c>
    </row>
    <row r="251" spans="1:5" ht="15">
      <c r="A251" t="s">
        <v>334</v>
      </c>
      <c r="B251" t="s">
        <v>696</v>
      </c>
      <c r="C251" s="160" t="s">
        <v>697</v>
      </c>
      <c r="D251" s="160" t="s">
        <v>262</v>
      </c>
      <c r="E251" t="s">
        <v>1748</v>
      </c>
    </row>
    <row r="252" spans="1:5" ht="15">
      <c r="A252" t="s">
        <v>334</v>
      </c>
      <c r="B252" t="s">
        <v>698</v>
      </c>
      <c r="C252" s="160" t="s">
        <v>699</v>
      </c>
      <c r="D252" s="160" t="s">
        <v>339</v>
      </c>
      <c r="E252" t="s">
        <v>1748</v>
      </c>
    </row>
    <row r="253" spans="1:5" ht="15">
      <c r="A253" t="s">
        <v>334</v>
      </c>
      <c r="B253" t="s">
        <v>700</v>
      </c>
      <c r="C253" s="160" t="s">
        <v>701</v>
      </c>
      <c r="D253" s="160" t="s">
        <v>341</v>
      </c>
      <c r="E253" t="s">
        <v>1748</v>
      </c>
    </row>
    <row r="254" spans="1:5" ht="15">
      <c r="A254" t="s">
        <v>334</v>
      </c>
      <c r="B254" t="s">
        <v>702</v>
      </c>
      <c r="C254" s="160" t="s">
        <v>703</v>
      </c>
      <c r="D254" s="160" t="s">
        <v>262</v>
      </c>
      <c r="E254" t="s">
        <v>1748</v>
      </c>
    </row>
    <row r="255" spans="1:5" ht="15">
      <c r="A255" t="s">
        <v>334</v>
      </c>
      <c r="B255" t="s">
        <v>704</v>
      </c>
      <c r="C255" s="160" t="s">
        <v>705</v>
      </c>
      <c r="D255" s="160" t="s">
        <v>339</v>
      </c>
      <c r="E255" t="s">
        <v>1748</v>
      </c>
    </row>
    <row r="256" spans="1:5" ht="15">
      <c r="A256" t="s">
        <v>334</v>
      </c>
      <c r="B256" t="s">
        <v>706</v>
      </c>
      <c r="C256" s="160" t="s">
        <v>707</v>
      </c>
      <c r="D256" s="160" t="s">
        <v>341</v>
      </c>
      <c r="E256" t="s">
        <v>1748</v>
      </c>
    </row>
    <row r="257" spans="1:5" ht="15">
      <c r="A257" t="s">
        <v>334</v>
      </c>
      <c r="B257" t="s">
        <v>708</v>
      </c>
      <c r="C257" s="160" t="s">
        <v>709</v>
      </c>
      <c r="D257" s="160" t="s">
        <v>262</v>
      </c>
      <c r="E257" t="s">
        <v>1748</v>
      </c>
    </row>
    <row r="258" spans="1:5" ht="15">
      <c r="A258" t="s">
        <v>334</v>
      </c>
      <c r="B258" t="s">
        <v>710</v>
      </c>
      <c r="C258" s="160" t="s">
        <v>711</v>
      </c>
      <c r="D258" s="160" t="s">
        <v>339</v>
      </c>
      <c r="E258" t="s">
        <v>1748</v>
      </c>
    </row>
    <row r="259" spans="1:5" ht="15">
      <c r="A259" t="s">
        <v>334</v>
      </c>
      <c r="B259" t="s">
        <v>712</v>
      </c>
      <c r="C259" s="160" t="s">
        <v>713</v>
      </c>
      <c r="D259" s="160" t="s">
        <v>341</v>
      </c>
      <c r="E259" t="s">
        <v>1748</v>
      </c>
    </row>
    <row r="260" spans="1:5" ht="15">
      <c r="A260" t="s">
        <v>334</v>
      </c>
      <c r="B260" t="s">
        <v>714</v>
      </c>
      <c r="C260" s="160" t="s">
        <v>715</v>
      </c>
      <c r="D260" s="160" t="s">
        <v>262</v>
      </c>
      <c r="E260" t="s">
        <v>1748</v>
      </c>
    </row>
    <row r="261" spans="1:5" ht="15">
      <c r="A261" t="s">
        <v>334</v>
      </c>
      <c r="B261" t="s">
        <v>716</v>
      </c>
      <c r="C261" s="160" t="s">
        <v>717</v>
      </c>
      <c r="D261" s="160" t="s">
        <v>339</v>
      </c>
      <c r="E261" t="s">
        <v>1748</v>
      </c>
    </row>
    <row r="262" spans="1:5" ht="15">
      <c r="A262" t="s">
        <v>334</v>
      </c>
      <c r="B262" t="s">
        <v>718</v>
      </c>
      <c r="C262" s="160" t="s">
        <v>719</v>
      </c>
      <c r="D262" s="160" t="s">
        <v>341</v>
      </c>
      <c r="E262" t="s">
        <v>1748</v>
      </c>
    </row>
    <row r="263" spans="1:5" ht="15">
      <c r="A263" t="s">
        <v>334</v>
      </c>
      <c r="B263" t="s">
        <v>720</v>
      </c>
      <c r="C263" s="160" t="s">
        <v>721</v>
      </c>
      <c r="D263" s="160" t="s">
        <v>262</v>
      </c>
      <c r="E263" t="s">
        <v>1748</v>
      </c>
    </row>
    <row r="264" spans="1:5" ht="15">
      <c r="A264" t="s">
        <v>334</v>
      </c>
      <c r="B264" t="s">
        <v>722</v>
      </c>
      <c r="C264" s="160" t="s">
        <v>723</v>
      </c>
      <c r="D264" s="160" t="s">
        <v>339</v>
      </c>
      <c r="E264" t="s">
        <v>1748</v>
      </c>
    </row>
    <row r="265" spans="1:5" ht="15">
      <c r="A265" t="s">
        <v>334</v>
      </c>
      <c r="B265" t="s">
        <v>724</v>
      </c>
      <c r="C265" s="160" t="s">
        <v>725</v>
      </c>
      <c r="D265" s="160" t="s">
        <v>341</v>
      </c>
      <c r="E265" t="s">
        <v>1748</v>
      </c>
    </row>
    <row r="266" spans="1:5" ht="15">
      <c r="A266" t="s">
        <v>334</v>
      </c>
      <c r="B266" t="s">
        <v>726</v>
      </c>
      <c r="C266" s="160" t="s">
        <v>727</v>
      </c>
      <c r="D266" s="160" t="s">
        <v>262</v>
      </c>
      <c r="E266" t="s">
        <v>1748</v>
      </c>
    </row>
    <row r="267" spans="1:5" ht="15">
      <c r="A267" t="s">
        <v>334</v>
      </c>
      <c r="B267" t="s">
        <v>728</v>
      </c>
      <c r="C267" s="160" t="s">
        <v>729</v>
      </c>
      <c r="D267" s="160" t="s">
        <v>339</v>
      </c>
      <c r="E267" t="s">
        <v>1748</v>
      </c>
    </row>
    <row r="268" spans="1:5" ht="15">
      <c r="A268" t="s">
        <v>334</v>
      </c>
      <c r="B268" t="s">
        <v>730</v>
      </c>
      <c r="C268" s="160" t="s">
        <v>731</v>
      </c>
      <c r="D268" s="160" t="s">
        <v>341</v>
      </c>
      <c r="E268" t="s">
        <v>1748</v>
      </c>
    </row>
    <row r="269" spans="1:5" ht="15">
      <c r="A269" t="s">
        <v>334</v>
      </c>
      <c r="B269" t="s">
        <v>732</v>
      </c>
      <c r="C269" s="160" t="s">
        <v>733</v>
      </c>
      <c r="D269" s="160" t="s">
        <v>262</v>
      </c>
      <c r="E269" t="s">
        <v>1748</v>
      </c>
    </row>
    <row r="270" spans="1:5" ht="15">
      <c r="A270" t="s">
        <v>334</v>
      </c>
      <c r="B270" t="s">
        <v>734</v>
      </c>
      <c r="C270" s="160" t="s">
        <v>735</v>
      </c>
      <c r="D270" s="160" t="s">
        <v>339</v>
      </c>
      <c r="E270" t="s">
        <v>1748</v>
      </c>
    </row>
    <row r="271" spans="1:5" ht="15">
      <c r="A271" t="s">
        <v>334</v>
      </c>
      <c r="B271" t="s">
        <v>736</v>
      </c>
      <c r="C271" s="160" t="s">
        <v>737</v>
      </c>
      <c r="D271" s="160" t="s">
        <v>341</v>
      </c>
      <c r="E271" t="s">
        <v>1748</v>
      </c>
    </row>
    <row r="272" spans="1:5" ht="15">
      <c r="A272" t="s">
        <v>334</v>
      </c>
      <c r="B272" t="s">
        <v>738</v>
      </c>
      <c r="C272" s="160" t="s">
        <v>739</v>
      </c>
      <c r="D272" s="160" t="s">
        <v>355</v>
      </c>
      <c r="E272" t="s">
        <v>1751</v>
      </c>
    </row>
    <row r="273" spans="1:5" ht="15">
      <c r="A273" t="s">
        <v>334</v>
      </c>
      <c r="B273" t="s">
        <v>740</v>
      </c>
      <c r="C273" s="160" t="s">
        <v>741</v>
      </c>
      <c r="D273" s="160" t="s">
        <v>355</v>
      </c>
      <c r="E273" t="s">
        <v>1751</v>
      </c>
    </row>
    <row r="274" spans="1:5" ht="15">
      <c r="A274" t="s">
        <v>334</v>
      </c>
      <c r="B274" t="s">
        <v>742</v>
      </c>
      <c r="C274" s="160" t="s">
        <v>743</v>
      </c>
      <c r="D274" s="160" t="s">
        <v>355</v>
      </c>
      <c r="E274" t="s">
        <v>1751</v>
      </c>
    </row>
    <row r="275" spans="1:5" ht="15">
      <c r="A275" t="s">
        <v>334</v>
      </c>
      <c r="B275" t="s">
        <v>744</v>
      </c>
      <c r="C275" s="160" t="s">
        <v>745</v>
      </c>
      <c r="D275" s="160" t="s">
        <v>355</v>
      </c>
      <c r="E275" t="s">
        <v>1751</v>
      </c>
    </row>
    <row r="276" spans="1:5" ht="15">
      <c r="A276" t="s">
        <v>334</v>
      </c>
      <c r="B276" t="s">
        <v>746</v>
      </c>
      <c r="C276" s="160" t="s">
        <v>747</v>
      </c>
      <c r="D276" s="160" t="s">
        <v>355</v>
      </c>
      <c r="E276" t="s">
        <v>1751</v>
      </c>
    </row>
    <row r="277" spans="1:5" ht="15">
      <c r="A277" t="s">
        <v>334</v>
      </c>
      <c r="B277" t="s">
        <v>748</v>
      </c>
      <c r="C277" s="160" t="s">
        <v>749</v>
      </c>
      <c r="D277" s="160" t="s">
        <v>355</v>
      </c>
      <c r="E277" t="s">
        <v>1751</v>
      </c>
    </row>
    <row r="278" spans="1:5" ht="15">
      <c r="A278" t="s">
        <v>334</v>
      </c>
      <c r="B278" t="s">
        <v>750</v>
      </c>
      <c r="C278" s="160" t="s">
        <v>751</v>
      </c>
      <c r="D278" s="160" t="s">
        <v>355</v>
      </c>
      <c r="E278" t="s">
        <v>1751</v>
      </c>
    </row>
    <row r="279" spans="1:5" ht="15">
      <c r="A279" t="s">
        <v>334</v>
      </c>
      <c r="B279" t="s">
        <v>752</v>
      </c>
      <c r="C279" s="160" t="s">
        <v>753</v>
      </c>
      <c r="D279" s="160" t="s">
        <v>355</v>
      </c>
      <c r="E279" t="s">
        <v>1751</v>
      </c>
    </row>
    <row r="280" spans="1:5" ht="15">
      <c r="A280" t="s">
        <v>334</v>
      </c>
      <c r="B280" t="s">
        <v>754</v>
      </c>
      <c r="C280" s="160" t="s">
        <v>755</v>
      </c>
      <c r="D280" s="160" t="s">
        <v>355</v>
      </c>
      <c r="E280" t="s">
        <v>1751</v>
      </c>
    </row>
    <row r="281" spans="1:5" ht="15">
      <c r="A281" t="s">
        <v>334</v>
      </c>
      <c r="B281" t="s">
        <v>756</v>
      </c>
      <c r="C281" s="160" t="s">
        <v>757</v>
      </c>
      <c r="D281" s="160" t="s">
        <v>262</v>
      </c>
      <c r="E281" t="s">
        <v>1748</v>
      </c>
    </row>
    <row r="282" spans="1:5" ht="15">
      <c r="A282" t="s">
        <v>334</v>
      </c>
      <c r="B282" t="s">
        <v>758</v>
      </c>
      <c r="C282" s="160" t="s">
        <v>759</v>
      </c>
      <c r="D282" s="160" t="s">
        <v>339</v>
      </c>
      <c r="E282" t="s">
        <v>1748</v>
      </c>
    </row>
    <row r="283" spans="1:5" ht="15">
      <c r="A283" t="s">
        <v>334</v>
      </c>
      <c r="B283" t="s">
        <v>760</v>
      </c>
      <c r="C283" s="160" t="s">
        <v>761</v>
      </c>
      <c r="D283" s="160" t="s">
        <v>341</v>
      </c>
      <c r="E283" t="s">
        <v>1748</v>
      </c>
    </row>
    <row r="284" spans="1:5" ht="15">
      <c r="A284" t="s">
        <v>334</v>
      </c>
      <c r="B284" t="s">
        <v>762</v>
      </c>
      <c r="C284" s="160" t="s">
        <v>763</v>
      </c>
      <c r="D284" s="160" t="s">
        <v>262</v>
      </c>
      <c r="E284" t="s">
        <v>1748</v>
      </c>
    </row>
    <row r="285" spans="1:5" ht="15">
      <c r="A285" t="s">
        <v>334</v>
      </c>
      <c r="B285" t="s">
        <v>764</v>
      </c>
      <c r="C285" s="160" t="s">
        <v>765</v>
      </c>
      <c r="D285" s="160" t="s">
        <v>339</v>
      </c>
      <c r="E285" t="s">
        <v>1748</v>
      </c>
    </row>
    <row r="286" spans="1:5" ht="15">
      <c r="A286" t="s">
        <v>334</v>
      </c>
      <c r="B286" t="s">
        <v>766</v>
      </c>
      <c r="C286" s="160" t="s">
        <v>767</v>
      </c>
      <c r="D286" s="160" t="s">
        <v>341</v>
      </c>
      <c r="E286" t="s">
        <v>1748</v>
      </c>
    </row>
    <row r="287" spans="1:5" ht="15">
      <c r="A287" t="s">
        <v>334</v>
      </c>
      <c r="B287" t="s">
        <v>768</v>
      </c>
      <c r="C287" s="160" t="s">
        <v>769</v>
      </c>
      <c r="D287" s="160" t="s">
        <v>262</v>
      </c>
      <c r="E287" t="s">
        <v>1748</v>
      </c>
    </row>
    <row r="288" spans="1:5" ht="15">
      <c r="A288" t="s">
        <v>334</v>
      </c>
      <c r="B288" t="s">
        <v>770</v>
      </c>
      <c r="C288" s="160" t="s">
        <v>771</v>
      </c>
      <c r="D288" s="160" t="s">
        <v>339</v>
      </c>
      <c r="E288" t="s">
        <v>1748</v>
      </c>
    </row>
    <row r="289" spans="1:5" ht="15">
      <c r="A289" t="s">
        <v>334</v>
      </c>
      <c r="B289" t="s">
        <v>772</v>
      </c>
      <c r="C289" s="160" t="s">
        <v>773</v>
      </c>
      <c r="D289" s="160" t="s">
        <v>341</v>
      </c>
      <c r="E289" t="s">
        <v>1748</v>
      </c>
    </row>
    <row r="290" spans="1:5" ht="15">
      <c r="A290" t="s">
        <v>334</v>
      </c>
      <c r="B290" t="s">
        <v>774</v>
      </c>
      <c r="C290" s="160" t="s">
        <v>775</v>
      </c>
      <c r="D290" s="160" t="s">
        <v>262</v>
      </c>
      <c r="E290" t="s">
        <v>1748</v>
      </c>
    </row>
    <row r="291" spans="1:5" ht="15">
      <c r="A291" t="s">
        <v>334</v>
      </c>
      <c r="B291" t="s">
        <v>776</v>
      </c>
      <c r="C291" s="160" t="s">
        <v>777</v>
      </c>
      <c r="D291" s="160" t="s">
        <v>339</v>
      </c>
      <c r="E291" t="s">
        <v>1748</v>
      </c>
    </row>
    <row r="292" spans="1:5" ht="15">
      <c r="A292" t="s">
        <v>334</v>
      </c>
      <c r="B292" t="s">
        <v>778</v>
      </c>
      <c r="C292" s="160" t="s">
        <v>779</v>
      </c>
      <c r="D292" s="160" t="s">
        <v>341</v>
      </c>
      <c r="E292" t="s">
        <v>1748</v>
      </c>
    </row>
    <row r="293" spans="1:5" ht="15">
      <c r="A293" t="s">
        <v>334</v>
      </c>
      <c r="B293" t="s">
        <v>780</v>
      </c>
      <c r="C293" s="160" t="s">
        <v>781</v>
      </c>
      <c r="D293" s="160" t="s">
        <v>262</v>
      </c>
      <c r="E293" t="s">
        <v>1748</v>
      </c>
    </row>
    <row r="294" spans="1:5" ht="15">
      <c r="A294" t="s">
        <v>334</v>
      </c>
      <c r="B294" t="s">
        <v>782</v>
      </c>
      <c r="C294" s="160" t="s">
        <v>783</v>
      </c>
      <c r="D294" s="160" t="s">
        <v>339</v>
      </c>
      <c r="E294" t="s">
        <v>1748</v>
      </c>
    </row>
    <row r="295" spans="1:5" ht="15">
      <c r="A295" t="s">
        <v>334</v>
      </c>
      <c r="B295" t="s">
        <v>784</v>
      </c>
      <c r="C295" s="160" t="s">
        <v>785</v>
      </c>
      <c r="D295" s="160" t="s">
        <v>341</v>
      </c>
      <c r="E295" t="s">
        <v>1748</v>
      </c>
    </row>
    <row r="296" spans="1:5" ht="15">
      <c r="A296" t="s">
        <v>334</v>
      </c>
      <c r="B296" t="s">
        <v>786</v>
      </c>
      <c r="C296" s="160" t="s">
        <v>787</v>
      </c>
      <c r="D296" s="160" t="s">
        <v>262</v>
      </c>
      <c r="E296" t="s">
        <v>1748</v>
      </c>
    </row>
    <row r="297" spans="1:5" ht="15">
      <c r="A297" t="s">
        <v>334</v>
      </c>
      <c r="B297" t="s">
        <v>788</v>
      </c>
      <c r="C297" s="160" t="s">
        <v>789</v>
      </c>
      <c r="D297" s="160" t="s">
        <v>339</v>
      </c>
      <c r="E297" t="s">
        <v>1748</v>
      </c>
    </row>
    <row r="298" spans="1:5" ht="15">
      <c r="A298" t="s">
        <v>334</v>
      </c>
      <c r="B298" t="s">
        <v>790</v>
      </c>
      <c r="C298" s="160" t="s">
        <v>791</v>
      </c>
      <c r="D298" s="160" t="s">
        <v>341</v>
      </c>
      <c r="E298" t="s">
        <v>1748</v>
      </c>
    </row>
    <row r="299" spans="1:5" ht="15">
      <c r="A299" t="s">
        <v>334</v>
      </c>
      <c r="B299" t="s">
        <v>792</v>
      </c>
      <c r="C299" s="160" t="s">
        <v>793</v>
      </c>
      <c r="D299" s="160" t="s">
        <v>262</v>
      </c>
      <c r="E299" t="s">
        <v>1748</v>
      </c>
    </row>
    <row r="300" spans="1:5" ht="15">
      <c r="A300" t="s">
        <v>334</v>
      </c>
      <c r="B300" t="s">
        <v>794</v>
      </c>
      <c r="C300" s="160" t="s">
        <v>795</v>
      </c>
      <c r="D300" s="160" t="s">
        <v>339</v>
      </c>
      <c r="E300" t="s">
        <v>1748</v>
      </c>
    </row>
    <row r="301" spans="1:5" ht="15">
      <c r="A301" t="s">
        <v>334</v>
      </c>
      <c r="B301" t="s">
        <v>796</v>
      </c>
      <c r="C301" s="160" t="s">
        <v>797</v>
      </c>
      <c r="D301" s="160" t="s">
        <v>341</v>
      </c>
      <c r="E301" t="s">
        <v>1748</v>
      </c>
    </row>
    <row r="302" spans="1:5" ht="15">
      <c r="A302" t="s">
        <v>334</v>
      </c>
      <c r="B302" t="s">
        <v>798</v>
      </c>
      <c r="C302" s="160" t="s">
        <v>799</v>
      </c>
      <c r="D302" s="160" t="s">
        <v>262</v>
      </c>
      <c r="E302" t="s">
        <v>1748</v>
      </c>
    </row>
    <row r="303" spans="1:5" ht="15">
      <c r="A303" t="s">
        <v>334</v>
      </c>
      <c r="B303" t="s">
        <v>800</v>
      </c>
      <c r="C303" s="160" t="s">
        <v>801</v>
      </c>
      <c r="D303" s="160" t="s">
        <v>339</v>
      </c>
      <c r="E303" t="s">
        <v>1748</v>
      </c>
    </row>
    <row r="304" spans="1:5" ht="15">
      <c r="A304" t="s">
        <v>334</v>
      </c>
      <c r="B304" t="s">
        <v>802</v>
      </c>
      <c r="C304" s="160" t="s">
        <v>803</v>
      </c>
      <c r="D304" s="160" t="s">
        <v>341</v>
      </c>
      <c r="E304" t="s">
        <v>1748</v>
      </c>
    </row>
    <row r="305" spans="1:5" ht="15">
      <c r="A305" t="s">
        <v>334</v>
      </c>
      <c r="B305" t="s">
        <v>804</v>
      </c>
      <c r="C305" s="160" t="s">
        <v>805</v>
      </c>
      <c r="D305" s="160" t="s">
        <v>355</v>
      </c>
      <c r="E305" t="s">
        <v>1751</v>
      </c>
    </row>
    <row r="306" spans="1:5" ht="15">
      <c r="A306" t="s">
        <v>334</v>
      </c>
      <c r="B306" t="s">
        <v>806</v>
      </c>
      <c r="C306" s="160" t="s">
        <v>807</v>
      </c>
      <c r="D306" s="160" t="s">
        <v>355</v>
      </c>
      <c r="E306" t="s">
        <v>1751</v>
      </c>
    </row>
    <row r="307" spans="1:5" ht="15">
      <c r="A307" t="s">
        <v>334</v>
      </c>
      <c r="B307" t="s">
        <v>808</v>
      </c>
      <c r="C307" s="160" t="s">
        <v>809</v>
      </c>
      <c r="D307" s="160" t="s">
        <v>355</v>
      </c>
      <c r="E307" t="s">
        <v>1751</v>
      </c>
    </row>
    <row r="308" spans="1:5" ht="15">
      <c r="A308" t="s">
        <v>334</v>
      </c>
      <c r="B308" t="s">
        <v>810</v>
      </c>
      <c r="C308" s="160" t="s">
        <v>811</v>
      </c>
      <c r="D308" s="160" t="s">
        <v>355</v>
      </c>
      <c r="E308" t="s">
        <v>1751</v>
      </c>
    </row>
    <row r="309" spans="1:5" ht="15">
      <c r="A309" t="s">
        <v>334</v>
      </c>
      <c r="B309" t="s">
        <v>812</v>
      </c>
      <c r="C309" s="160" t="s">
        <v>813</v>
      </c>
      <c r="D309" s="160" t="s">
        <v>355</v>
      </c>
      <c r="E309" t="s">
        <v>1751</v>
      </c>
    </row>
    <row r="310" spans="1:5" ht="15">
      <c r="A310" t="s">
        <v>334</v>
      </c>
      <c r="B310" t="s">
        <v>814</v>
      </c>
      <c r="C310" s="160" t="s">
        <v>815</v>
      </c>
      <c r="D310" s="160" t="s">
        <v>355</v>
      </c>
      <c r="E310" t="s">
        <v>1751</v>
      </c>
    </row>
    <row r="311" spans="1:5" ht="15">
      <c r="A311" t="s">
        <v>334</v>
      </c>
      <c r="B311" t="s">
        <v>816</v>
      </c>
      <c r="C311" s="160" t="s">
        <v>817</v>
      </c>
      <c r="D311" s="160" t="s">
        <v>355</v>
      </c>
      <c r="E311" t="s">
        <v>1751</v>
      </c>
    </row>
    <row r="312" spans="1:5" ht="15">
      <c r="A312" t="s">
        <v>334</v>
      </c>
      <c r="B312" t="s">
        <v>818</v>
      </c>
      <c r="C312" s="160" t="s">
        <v>819</v>
      </c>
      <c r="D312" s="160" t="s">
        <v>355</v>
      </c>
      <c r="E312" t="s">
        <v>1751</v>
      </c>
    </row>
    <row r="313" spans="1:5" ht="15">
      <c r="A313" t="s">
        <v>334</v>
      </c>
      <c r="B313" t="s">
        <v>820</v>
      </c>
      <c r="C313" s="160" t="s">
        <v>821</v>
      </c>
      <c r="D313" s="160" t="s">
        <v>822</v>
      </c>
      <c r="E313" t="s">
        <v>1750</v>
      </c>
    </row>
    <row r="314" spans="1:5" ht="15">
      <c r="A314" t="s">
        <v>334</v>
      </c>
      <c r="B314" t="s">
        <v>823</v>
      </c>
      <c r="C314" s="160" t="s">
        <v>824</v>
      </c>
      <c r="D314" s="160" t="s">
        <v>825</v>
      </c>
      <c r="E314" t="s">
        <v>1750</v>
      </c>
    </row>
    <row r="315" spans="1:5" ht="15">
      <c r="A315" t="s">
        <v>334</v>
      </c>
      <c r="B315" t="s">
        <v>826</v>
      </c>
      <c r="C315" s="160" t="s">
        <v>827</v>
      </c>
      <c r="D315" s="160" t="s">
        <v>828</v>
      </c>
      <c r="E315" t="s">
        <v>1750</v>
      </c>
    </row>
    <row r="316" spans="1:5" ht="15">
      <c r="A316" t="s">
        <v>334</v>
      </c>
      <c r="B316" t="s">
        <v>829</v>
      </c>
      <c r="C316" s="160" t="s">
        <v>830</v>
      </c>
      <c r="D316" s="160" t="s">
        <v>831</v>
      </c>
      <c r="E316" t="s">
        <v>1750</v>
      </c>
    </row>
    <row r="317" spans="1:5" ht="15">
      <c r="A317" t="s">
        <v>334</v>
      </c>
      <c r="B317" t="s">
        <v>832</v>
      </c>
      <c r="C317" s="160" t="s">
        <v>833</v>
      </c>
      <c r="D317" s="160" t="s">
        <v>834</v>
      </c>
      <c r="E317" t="s">
        <v>1750</v>
      </c>
    </row>
    <row r="318" spans="1:5" ht="15">
      <c r="A318" t="s">
        <v>334</v>
      </c>
      <c r="B318" t="s">
        <v>835</v>
      </c>
      <c r="C318" s="160" t="s">
        <v>836</v>
      </c>
      <c r="D318" s="160" t="s">
        <v>837</v>
      </c>
      <c r="E318" t="s">
        <v>1750</v>
      </c>
    </row>
    <row r="319" spans="1:5" ht="15">
      <c r="A319" t="s">
        <v>334</v>
      </c>
      <c r="B319" t="s">
        <v>838</v>
      </c>
      <c r="C319" s="160" t="s">
        <v>839</v>
      </c>
      <c r="D319" s="160" t="s">
        <v>840</v>
      </c>
      <c r="E319" t="s">
        <v>1750</v>
      </c>
    </row>
    <row r="320" spans="1:5" ht="15">
      <c r="A320" t="s">
        <v>334</v>
      </c>
      <c r="B320" t="s">
        <v>841</v>
      </c>
      <c r="C320" s="160" t="s">
        <v>842</v>
      </c>
      <c r="D320" s="160" t="s">
        <v>843</v>
      </c>
      <c r="E320" t="s">
        <v>1750</v>
      </c>
    </row>
    <row r="321" spans="1:5" ht="15">
      <c r="A321" t="s">
        <v>334</v>
      </c>
      <c r="B321" t="s">
        <v>844</v>
      </c>
      <c r="C321" s="160" t="s">
        <v>845</v>
      </c>
      <c r="D321" s="160" t="s">
        <v>262</v>
      </c>
      <c r="E321" t="s">
        <v>1748</v>
      </c>
    </row>
    <row r="322" spans="1:5" ht="15">
      <c r="A322" t="s">
        <v>334</v>
      </c>
      <c r="B322" t="s">
        <v>846</v>
      </c>
      <c r="C322" s="160" t="s">
        <v>847</v>
      </c>
      <c r="D322" s="160" t="s">
        <v>339</v>
      </c>
      <c r="E322" t="s">
        <v>1748</v>
      </c>
    </row>
    <row r="323" spans="1:5" ht="15">
      <c r="A323" t="s">
        <v>334</v>
      </c>
      <c r="B323" t="s">
        <v>848</v>
      </c>
      <c r="C323" s="160" t="s">
        <v>849</v>
      </c>
      <c r="D323" s="160" t="s">
        <v>341</v>
      </c>
      <c r="E323" t="s">
        <v>1748</v>
      </c>
    </row>
    <row r="324" spans="1:5" ht="15">
      <c r="A324" t="s">
        <v>334</v>
      </c>
      <c r="B324" t="s">
        <v>850</v>
      </c>
      <c r="C324" s="160" t="s">
        <v>851</v>
      </c>
      <c r="D324" s="160" t="s">
        <v>262</v>
      </c>
      <c r="E324" t="s">
        <v>1748</v>
      </c>
    </row>
    <row r="325" spans="1:5" ht="15">
      <c r="A325" t="s">
        <v>334</v>
      </c>
      <c r="B325" t="s">
        <v>852</v>
      </c>
      <c r="C325" s="160" t="s">
        <v>853</v>
      </c>
      <c r="D325" s="160" t="s">
        <v>339</v>
      </c>
      <c r="E325" t="s">
        <v>1748</v>
      </c>
    </row>
    <row r="326" spans="1:5" ht="15">
      <c r="A326" t="s">
        <v>334</v>
      </c>
      <c r="B326" t="s">
        <v>854</v>
      </c>
      <c r="C326" s="160" t="s">
        <v>855</v>
      </c>
      <c r="D326" s="160" t="s">
        <v>341</v>
      </c>
      <c r="E326" t="s">
        <v>1748</v>
      </c>
    </row>
    <row r="327" spans="1:5" ht="15">
      <c r="A327" t="s">
        <v>334</v>
      </c>
      <c r="B327" t="s">
        <v>856</v>
      </c>
      <c r="C327" s="160" t="s">
        <v>857</v>
      </c>
      <c r="D327" s="160" t="s">
        <v>355</v>
      </c>
      <c r="E327" t="s">
        <v>1748</v>
      </c>
    </row>
    <row r="328" spans="1:5" ht="15">
      <c r="A328" t="s">
        <v>334</v>
      </c>
      <c r="B328" t="s">
        <v>858</v>
      </c>
      <c r="C328" s="160" t="s">
        <v>859</v>
      </c>
      <c r="D328" s="160" t="s">
        <v>355</v>
      </c>
      <c r="E328" t="s">
        <v>1748</v>
      </c>
    </row>
    <row r="329" spans="1:5" ht="15">
      <c r="A329" t="s">
        <v>334</v>
      </c>
      <c r="B329" t="s">
        <v>860</v>
      </c>
      <c r="C329" s="160" t="s">
        <v>861</v>
      </c>
      <c r="D329" s="160" t="s">
        <v>262</v>
      </c>
      <c r="E329" t="s">
        <v>1748</v>
      </c>
    </row>
    <row r="330" spans="1:5" ht="15">
      <c r="A330" t="s">
        <v>334</v>
      </c>
      <c r="B330" t="s">
        <v>862</v>
      </c>
      <c r="C330" s="160" t="s">
        <v>863</v>
      </c>
      <c r="D330" s="160" t="s">
        <v>339</v>
      </c>
      <c r="E330" t="s">
        <v>1748</v>
      </c>
    </row>
    <row r="331" spans="1:5" ht="15">
      <c r="A331" t="s">
        <v>334</v>
      </c>
      <c r="B331" t="s">
        <v>864</v>
      </c>
      <c r="C331" s="160" t="s">
        <v>865</v>
      </c>
      <c r="D331" s="160" t="s">
        <v>341</v>
      </c>
      <c r="E331" t="s">
        <v>1748</v>
      </c>
    </row>
    <row r="332" spans="1:5" ht="15">
      <c r="A332" t="s">
        <v>334</v>
      </c>
      <c r="B332" t="s">
        <v>866</v>
      </c>
      <c r="C332" s="160" t="s">
        <v>867</v>
      </c>
      <c r="D332" s="160" t="s">
        <v>262</v>
      </c>
      <c r="E332" t="s">
        <v>1748</v>
      </c>
    </row>
    <row r="333" spans="1:5" ht="15">
      <c r="A333" t="s">
        <v>334</v>
      </c>
      <c r="B333" t="s">
        <v>868</v>
      </c>
      <c r="C333" s="160" t="s">
        <v>869</v>
      </c>
      <c r="D333" s="160" t="s">
        <v>339</v>
      </c>
      <c r="E333" t="s">
        <v>1748</v>
      </c>
    </row>
    <row r="334" spans="1:5" ht="15">
      <c r="A334" t="s">
        <v>334</v>
      </c>
      <c r="B334" t="s">
        <v>870</v>
      </c>
      <c r="C334" s="160" t="s">
        <v>871</v>
      </c>
      <c r="D334" s="160" t="s">
        <v>341</v>
      </c>
      <c r="E334" t="s">
        <v>1748</v>
      </c>
    </row>
    <row r="335" spans="1:5" ht="15">
      <c r="A335" t="s">
        <v>334</v>
      </c>
      <c r="B335" t="s">
        <v>872</v>
      </c>
      <c r="C335" s="160" t="s">
        <v>873</v>
      </c>
      <c r="D335" s="160" t="s">
        <v>355</v>
      </c>
      <c r="E335" t="s">
        <v>1751</v>
      </c>
    </row>
    <row r="336" spans="1:5" ht="15">
      <c r="A336" t="s">
        <v>334</v>
      </c>
      <c r="B336" t="s">
        <v>874</v>
      </c>
      <c r="C336" s="160" t="s">
        <v>875</v>
      </c>
      <c r="D336" s="160" t="s">
        <v>355</v>
      </c>
      <c r="E336" t="s">
        <v>1751</v>
      </c>
    </row>
    <row r="337" spans="1:5" ht="15">
      <c r="A337" t="s">
        <v>334</v>
      </c>
      <c r="B337" t="s">
        <v>876</v>
      </c>
      <c r="C337" s="160" t="s">
        <v>877</v>
      </c>
      <c r="D337" s="160" t="s">
        <v>355</v>
      </c>
      <c r="E337" t="s">
        <v>1751</v>
      </c>
    </row>
    <row r="338" spans="1:5" ht="15">
      <c r="A338" t="s">
        <v>334</v>
      </c>
      <c r="B338" t="s">
        <v>878</v>
      </c>
      <c r="C338" s="160" t="s">
        <v>879</v>
      </c>
      <c r="D338" s="160" t="s">
        <v>262</v>
      </c>
      <c r="E338" t="s">
        <v>1748</v>
      </c>
    </row>
    <row r="339" spans="1:5" ht="15">
      <c r="A339" t="s">
        <v>334</v>
      </c>
      <c r="B339" t="s">
        <v>880</v>
      </c>
      <c r="C339" s="160" t="s">
        <v>881</v>
      </c>
      <c r="D339" s="160" t="s">
        <v>339</v>
      </c>
      <c r="E339" t="s">
        <v>1748</v>
      </c>
    </row>
    <row r="340" spans="1:5" ht="15">
      <c r="A340" t="s">
        <v>334</v>
      </c>
      <c r="B340" t="s">
        <v>882</v>
      </c>
      <c r="C340" s="160" t="s">
        <v>883</v>
      </c>
      <c r="D340" s="160" t="s">
        <v>341</v>
      </c>
      <c r="E340" t="s">
        <v>1748</v>
      </c>
    </row>
    <row r="341" spans="1:5" ht="15">
      <c r="A341" t="s">
        <v>334</v>
      </c>
      <c r="B341" t="s">
        <v>884</v>
      </c>
      <c r="C341" s="160" t="s">
        <v>885</v>
      </c>
      <c r="D341" s="160" t="s">
        <v>886</v>
      </c>
      <c r="E341" t="s">
        <v>1752</v>
      </c>
    </row>
    <row r="342" spans="1:5" ht="15">
      <c r="A342" t="s">
        <v>334</v>
      </c>
      <c r="B342" t="s">
        <v>887</v>
      </c>
      <c r="C342" s="160" t="s">
        <v>888</v>
      </c>
      <c r="D342" s="160" t="s">
        <v>262</v>
      </c>
      <c r="E342" t="s">
        <v>1748</v>
      </c>
    </row>
    <row r="343" spans="1:5" ht="15">
      <c r="A343" t="s">
        <v>334</v>
      </c>
      <c r="B343" t="s">
        <v>889</v>
      </c>
      <c r="C343" s="160" t="s">
        <v>890</v>
      </c>
      <c r="D343" s="160" t="s">
        <v>339</v>
      </c>
      <c r="E343" t="s">
        <v>1748</v>
      </c>
    </row>
    <row r="344" spans="1:5" ht="15">
      <c r="A344" t="s">
        <v>334</v>
      </c>
      <c r="B344" t="s">
        <v>891</v>
      </c>
      <c r="C344" s="160" t="s">
        <v>892</v>
      </c>
      <c r="D344" s="160" t="s">
        <v>341</v>
      </c>
      <c r="E344" t="s">
        <v>1748</v>
      </c>
    </row>
    <row r="345" spans="1:5" ht="15">
      <c r="A345" t="s">
        <v>334</v>
      </c>
      <c r="B345" t="s">
        <v>893</v>
      </c>
      <c r="C345" s="160" t="s">
        <v>894</v>
      </c>
      <c r="D345" s="160" t="s">
        <v>262</v>
      </c>
      <c r="E345" t="s">
        <v>1748</v>
      </c>
    </row>
    <row r="346" spans="1:5" ht="15">
      <c r="A346" t="s">
        <v>334</v>
      </c>
      <c r="B346" t="s">
        <v>895</v>
      </c>
      <c r="C346" s="160" t="s">
        <v>896</v>
      </c>
      <c r="D346" s="160" t="s">
        <v>339</v>
      </c>
      <c r="E346" t="s">
        <v>1748</v>
      </c>
    </row>
    <row r="347" spans="1:5" ht="15">
      <c r="A347" t="s">
        <v>334</v>
      </c>
      <c r="B347" t="s">
        <v>897</v>
      </c>
      <c r="C347" s="160" t="s">
        <v>898</v>
      </c>
      <c r="D347" s="160" t="s">
        <v>341</v>
      </c>
      <c r="E347" t="s">
        <v>1748</v>
      </c>
    </row>
    <row r="348" spans="1:5" ht="15">
      <c r="A348" t="s">
        <v>334</v>
      </c>
      <c r="B348" t="s">
        <v>899</v>
      </c>
      <c r="C348" s="160" t="s">
        <v>900</v>
      </c>
      <c r="D348" s="160" t="s">
        <v>262</v>
      </c>
      <c r="E348" t="s">
        <v>1748</v>
      </c>
    </row>
    <row r="349" spans="1:5" ht="15">
      <c r="A349" t="s">
        <v>334</v>
      </c>
      <c r="B349" t="s">
        <v>901</v>
      </c>
      <c r="C349" s="160" t="s">
        <v>902</v>
      </c>
      <c r="D349" s="160" t="s">
        <v>339</v>
      </c>
      <c r="E349" t="s">
        <v>1748</v>
      </c>
    </row>
    <row r="350" spans="1:5" ht="15">
      <c r="A350" t="s">
        <v>334</v>
      </c>
      <c r="B350" t="s">
        <v>903</v>
      </c>
      <c r="C350" s="160" t="s">
        <v>904</v>
      </c>
      <c r="D350" s="160" t="s">
        <v>341</v>
      </c>
      <c r="E350" t="s">
        <v>1748</v>
      </c>
    </row>
    <row r="351" spans="1:5" ht="15">
      <c r="A351" t="s">
        <v>334</v>
      </c>
      <c r="B351" t="s">
        <v>905</v>
      </c>
      <c r="C351" s="160" t="s">
        <v>906</v>
      </c>
      <c r="D351" s="160" t="s">
        <v>262</v>
      </c>
      <c r="E351" t="s">
        <v>1748</v>
      </c>
    </row>
    <row r="352" spans="1:5" ht="15">
      <c r="A352" t="s">
        <v>334</v>
      </c>
      <c r="B352" t="s">
        <v>907</v>
      </c>
      <c r="C352" s="160" t="s">
        <v>908</v>
      </c>
      <c r="D352" s="160" t="s">
        <v>339</v>
      </c>
      <c r="E352" t="s">
        <v>1748</v>
      </c>
    </row>
    <row r="353" spans="1:5" ht="15">
      <c r="A353" t="s">
        <v>334</v>
      </c>
      <c r="B353" t="s">
        <v>909</v>
      </c>
      <c r="C353" s="160" t="s">
        <v>910</v>
      </c>
      <c r="D353" s="160" t="s">
        <v>341</v>
      </c>
      <c r="E353" t="s">
        <v>1748</v>
      </c>
    </row>
    <row r="354" spans="1:5" ht="15">
      <c r="A354" t="s">
        <v>334</v>
      </c>
      <c r="B354" t="s">
        <v>911</v>
      </c>
      <c r="C354" s="160" t="s">
        <v>912</v>
      </c>
      <c r="D354" s="160" t="s">
        <v>262</v>
      </c>
      <c r="E354" t="s">
        <v>1748</v>
      </c>
    </row>
    <row r="355" spans="1:5" ht="15">
      <c r="A355" t="s">
        <v>334</v>
      </c>
      <c r="B355" t="s">
        <v>913</v>
      </c>
      <c r="C355" s="160" t="s">
        <v>914</v>
      </c>
      <c r="D355" s="160" t="s">
        <v>355</v>
      </c>
      <c r="E355" t="s">
        <v>1751</v>
      </c>
    </row>
    <row r="356" spans="1:5" ht="15">
      <c r="A356" t="s">
        <v>334</v>
      </c>
      <c r="B356" t="s">
        <v>915</v>
      </c>
      <c r="C356" s="160" t="s">
        <v>916</v>
      </c>
      <c r="D356" s="160" t="s">
        <v>355</v>
      </c>
      <c r="E356" t="s">
        <v>1751</v>
      </c>
    </row>
    <row r="357" spans="1:5" ht="15">
      <c r="A357" t="s">
        <v>334</v>
      </c>
      <c r="B357" t="s">
        <v>917</v>
      </c>
      <c r="C357" s="160" t="s">
        <v>918</v>
      </c>
      <c r="D357" s="160" t="s">
        <v>355</v>
      </c>
      <c r="E357" t="s">
        <v>1751</v>
      </c>
    </row>
    <row r="358" spans="1:5" ht="15">
      <c r="A358" t="s">
        <v>334</v>
      </c>
      <c r="B358" t="s">
        <v>919</v>
      </c>
      <c r="C358" s="160" t="s">
        <v>920</v>
      </c>
      <c r="D358" s="160" t="s">
        <v>355</v>
      </c>
      <c r="E358" t="s">
        <v>1751</v>
      </c>
    </row>
    <row r="359" spans="1:5" ht="15">
      <c r="A359" t="s">
        <v>334</v>
      </c>
      <c r="B359" t="s">
        <v>921</v>
      </c>
      <c r="C359" s="160" t="s">
        <v>922</v>
      </c>
      <c r="D359" s="160" t="s">
        <v>262</v>
      </c>
      <c r="E359" t="s">
        <v>1748</v>
      </c>
    </row>
    <row r="360" spans="1:5" ht="15">
      <c r="A360" t="s">
        <v>334</v>
      </c>
      <c r="B360" t="s">
        <v>923</v>
      </c>
      <c r="C360" s="160" t="s">
        <v>924</v>
      </c>
      <c r="D360" s="160" t="s">
        <v>339</v>
      </c>
      <c r="E360" t="s">
        <v>1748</v>
      </c>
    </row>
    <row r="361" spans="1:5" ht="15">
      <c r="A361" t="s">
        <v>334</v>
      </c>
      <c r="B361" t="s">
        <v>925</v>
      </c>
      <c r="C361" s="160" t="s">
        <v>926</v>
      </c>
      <c r="D361" s="160" t="s">
        <v>341</v>
      </c>
      <c r="E361" t="s">
        <v>1748</v>
      </c>
    </row>
    <row r="362" spans="1:5" ht="15">
      <c r="A362" t="s">
        <v>334</v>
      </c>
      <c r="B362" t="s">
        <v>927</v>
      </c>
      <c r="C362" s="160" t="s">
        <v>928</v>
      </c>
      <c r="D362" s="160" t="s">
        <v>339</v>
      </c>
      <c r="E362" t="s">
        <v>1748</v>
      </c>
    </row>
    <row r="363" spans="1:5" ht="15">
      <c r="A363" t="s">
        <v>334</v>
      </c>
      <c r="B363" t="s">
        <v>929</v>
      </c>
      <c r="C363" s="160" t="s">
        <v>930</v>
      </c>
      <c r="D363" s="160" t="s">
        <v>341</v>
      </c>
      <c r="E363" t="s">
        <v>1748</v>
      </c>
    </row>
    <row r="364" spans="1:5" ht="15">
      <c r="A364" t="s">
        <v>334</v>
      </c>
      <c r="B364" t="s">
        <v>931</v>
      </c>
      <c r="C364" s="160" t="s">
        <v>932</v>
      </c>
      <c r="D364" s="160" t="s">
        <v>262</v>
      </c>
      <c r="E364" t="s">
        <v>1748</v>
      </c>
    </row>
    <row r="365" spans="1:5" ht="15">
      <c r="A365" t="s">
        <v>334</v>
      </c>
      <c r="B365" t="s">
        <v>933</v>
      </c>
      <c r="C365" s="160" t="s">
        <v>934</v>
      </c>
      <c r="D365" s="160" t="s">
        <v>339</v>
      </c>
      <c r="E365" t="s">
        <v>1748</v>
      </c>
    </row>
    <row r="366" spans="1:5" ht="15">
      <c r="A366" t="s">
        <v>334</v>
      </c>
      <c r="B366" t="s">
        <v>935</v>
      </c>
      <c r="C366" s="160" t="s">
        <v>936</v>
      </c>
      <c r="D366" s="160" t="s">
        <v>341</v>
      </c>
      <c r="E366" t="s">
        <v>1748</v>
      </c>
    </row>
    <row r="367" spans="1:5" ht="15">
      <c r="A367" t="s">
        <v>334</v>
      </c>
      <c r="B367" t="s">
        <v>937</v>
      </c>
      <c r="C367" s="160" t="s">
        <v>938</v>
      </c>
      <c r="D367" s="160" t="s">
        <v>262</v>
      </c>
      <c r="E367" t="s">
        <v>1748</v>
      </c>
    </row>
    <row r="368" spans="1:5" ht="15">
      <c r="A368" t="s">
        <v>334</v>
      </c>
      <c r="B368" t="s">
        <v>939</v>
      </c>
      <c r="C368" s="160" t="s">
        <v>940</v>
      </c>
      <c r="D368" s="160" t="s">
        <v>339</v>
      </c>
      <c r="E368" t="s">
        <v>1748</v>
      </c>
    </row>
    <row r="369" spans="1:5" ht="15">
      <c r="A369" t="s">
        <v>334</v>
      </c>
      <c r="B369" t="s">
        <v>941</v>
      </c>
      <c r="C369" s="160" t="s">
        <v>942</v>
      </c>
      <c r="D369" s="160" t="s">
        <v>341</v>
      </c>
      <c r="E369" t="s">
        <v>1748</v>
      </c>
    </row>
    <row r="370" spans="1:5" ht="15">
      <c r="A370" t="s">
        <v>334</v>
      </c>
      <c r="B370" t="s">
        <v>943</v>
      </c>
      <c r="C370" s="160" t="s">
        <v>944</v>
      </c>
      <c r="D370" s="160" t="s">
        <v>262</v>
      </c>
      <c r="E370" t="s">
        <v>1748</v>
      </c>
    </row>
    <row r="371" spans="1:5" ht="15">
      <c r="A371" t="s">
        <v>334</v>
      </c>
      <c r="B371" t="s">
        <v>945</v>
      </c>
      <c r="C371" s="160" t="s">
        <v>946</v>
      </c>
      <c r="D371" s="160" t="s">
        <v>339</v>
      </c>
      <c r="E371" t="s">
        <v>1748</v>
      </c>
    </row>
    <row r="372" spans="1:5" ht="15">
      <c r="A372" t="s">
        <v>334</v>
      </c>
      <c r="B372" t="s">
        <v>947</v>
      </c>
      <c r="C372" s="160" t="s">
        <v>948</v>
      </c>
      <c r="D372" s="160" t="s">
        <v>341</v>
      </c>
      <c r="E372" t="s">
        <v>1748</v>
      </c>
    </row>
    <row r="373" spans="1:5" ht="15">
      <c r="A373" t="s">
        <v>334</v>
      </c>
      <c r="B373" t="s">
        <v>949</v>
      </c>
      <c r="C373" s="160" t="s">
        <v>950</v>
      </c>
      <c r="D373" s="160" t="s">
        <v>262</v>
      </c>
      <c r="E373" t="s">
        <v>1748</v>
      </c>
    </row>
    <row r="374" spans="1:5" ht="15">
      <c r="A374" t="s">
        <v>334</v>
      </c>
      <c r="B374" t="s">
        <v>951</v>
      </c>
      <c r="C374" s="160" t="s">
        <v>952</v>
      </c>
      <c r="D374" s="160" t="s">
        <v>339</v>
      </c>
      <c r="E374" t="s">
        <v>1748</v>
      </c>
    </row>
    <row r="375" spans="1:5" ht="15">
      <c r="A375" t="s">
        <v>334</v>
      </c>
      <c r="B375" t="s">
        <v>953</v>
      </c>
      <c r="C375" s="160" t="s">
        <v>954</v>
      </c>
      <c r="D375" s="160" t="s">
        <v>341</v>
      </c>
      <c r="E375" t="s">
        <v>1748</v>
      </c>
    </row>
    <row r="376" spans="1:5" ht="15">
      <c r="A376" t="s">
        <v>334</v>
      </c>
      <c r="B376" t="s">
        <v>955</v>
      </c>
      <c r="C376" s="160" t="s">
        <v>956</v>
      </c>
      <c r="D376" s="160" t="s">
        <v>355</v>
      </c>
      <c r="E376" t="s">
        <v>1751</v>
      </c>
    </row>
    <row r="377" spans="1:5" ht="15">
      <c r="A377" t="s">
        <v>334</v>
      </c>
      <c r="B377" t="s">
        <v>957</v>
      </c>
      <c r="C377" s="160" t="s">
        <v>958</v>
      </c>
      <c r="D377" s="160" t="s">
        <v>355</v>
      </c>
      <c r="E377" t="s">
        <v>1751</v>
      </c>
    </row>
    <row r="378" spans="1:5" ht="15">
      <c r="A378" t="s">
        <v>334</v>
      </c>
      <c r="B378" t="s">
        <v>959</v>
      </c>
      <c r="C378" s="160" t="s">
        <v>960</v>
      </c>
      <c r="D378" s="160" t="s">
        <v>355</v>
      </c>
      <c r="E378" t="s">
        <v>1751</v>
      </c>
    </row>
    <row r="379" spans="1:5" ht="15">
      <c r="A379" t="s">
        <v>334</v>
      </c>
      <c r="B379" t="s">
        <v>961</v>
      </c>
      <c r="C379" s="160" t="s">
        <v>962</v>
      </c>
      <c r="D379" s="160" t="s">
        <v>355</v>
      </c>
      <c r="E379" t="s">
        <v>1751</v>
      </c>
    </row>
    <row r="380" spans="1:5" ht="15">
      <c r="A380" t="s">
        <v>334</v>
      </c>
      <c r="B380" t="s">
        <v>963</v>
      </c>
      <c r="C380" s="160" t="s">
        <v>964</v>
      </c>
      <c r="D380" s="160" t="s">
        <v>355</v>
      </c>
      <c r="E380" t="s">
        <v>1751</v>
      </c>
    </row>
    <row r="381" spans="1:5" ht="15">
      <c r="A381" t="s">
        <v>334</v>
      </c>
      <c r="B381" t="s">
        <v>965</v>
      </c>
      <c r="C381" s="160" t="s">
        <v>966</v>
      </c>
      <c r="D381" s="160" t="s">
        <v>355</v>
      </c>
      <c r="E381" t="s">
        <v>1751</v>
      </c>
    </row>
    <row r="382" spans="1:5" ht="15">
      <c r="A382" t="s">
        <v>334</v>
      </c>
      <c r="B382" t="s">
        <v>291</v>
      </c>
      <c r="D382" s="160" t="s">
        <v>970</v>
      </c>
      <c r="E382" t="s">
        <v>1754</v>
      </c>
    </row>
    <row r="383" spans="1:5" ht="15">
      <c r="A383" t="s">
        <v>334</v>
      </c>
      <c r="B383" t="s">
        <v>971</v>
      </c>
      <c r="D383" s="160" t="s">
        <v>970</v>
      </c>
      <c r="E383" t="s">
        <v>1754</v>
      </c>
    </row>
    <row r="384" spans="1:5" ht="15">
      <c r="A384" t="s">
        <v>334</v>
      </c>
      <c r="B384" t="s">
        <v>974</v>
      </c>
      <c r="D384" s="160" t="s">
        <v>262</v>
      </c>
      <c r="E384" t="s">
        <v>1753</v>
      </c>
    </row>
    <row r="385" spans="1:5" ht="15">
      <c r="A385" t="s">
        <v>334</v>
      </c>
      <c r="B385" t="s">
        <v>328</v>
      </c>
      <c r="D385" s="160" t="s">
        <v>970</v>
      </c>
      <c r="E385" t="s">
        <v>1755</v>
      </c>
    </row>
    <row r="386" spans="1:5" ht="15">
      <c r="A386" t="s">
        <v>334</v>
      </c>
      <c r="B386" t="s">
        <v>975</v>
      </c>
      <c r="D386" s="160" t="s">
        <v>970</v>
      </c>
      <c r="E386" t="s">
        <v>1755</v>
      </c>
    </row>
    <row r="387" spans="1:5" ht="15">
      <c r="A387" t="s">
        <v>334</v>
      </c>
      <c r="B387" t="s">
        <v>976</v>
      </c>
      <c r="D387" s="160" t="s">
        <v>262</v>
      </c>
      <c r="E387" t="s">
        <v>1753</v>
      </c>
    </row>
    <row r="388" spans="1:5" ht="15">
      <c r="A388" t="s">
        <v>334</v>
      </c>
      <c r="B388" t="s">
        <v>977</v>
      </c>
      <c r="D388" s="160" t="s">
        <v>972</v>
      </c>
      <c r="E388" t="s">
        <v>1755</v>
      </c>
    </row>
    <row r="389" spans="1:5" ht="15">
      <c r="A389" t="s">
        <v>334</v>
      </c>
      <c r="B389" t="s">
        <v>978</v>
      </c>
      <c r="D389" s="160" t="s">
        <v>262</v>
      </c>
      <c r="E389" t="s">
        <v>1753</v>
      </c>
    </row>
    <row r="390" spans="1:5" ht="15">
      <c r="A390" t="s">
        <v>334</v>
      </c>
      <c r="B390" t="s">
        <v>979</v>
      </c>
      <c r="D390" s="160" t="s">
        <v>970</v>
      </c>
      <c r="E390" t="s">
        <v>1755</v>
      </c>
    </row>
    <row r="391" spans="1:5" ht="15">
      <c r="A391" t="s">
        <v>334</v>
      </c>
      <c r="B391" t="s">
        <v>980</v>
      </c>
      <c r="D391" s="160" t="s">
        <v>970</v>
      </c>
      <c r="E391" t="s">
        <v>1755</v>
      </c>
    </row>
    <row r="392" spans="1:5" ht="15">
      <c r="A392" t="s">
        <v>334</v>
      </c>
      <c r="B392" t="s">
        <v>981</v>
      </c>
      <c r="D392" s="160" t="s">
        <v>970</v>
      </c>
      <c r="E392" t="s">
        <v>1755</v>
      </c>
    </row>
    <row r="393" spans="1:5" ht="15">
      <c r="A393" t="s">
        <v>334</v>
      </c>
      <c r="B393" t="s">
        <v>280</v>
      </c>
      <c r="D393" s="160" t="s">
        <v>262</v>
      </c>
      <c r="E393" t="s">
        <v>1753</v>
      </c>
    </row>
    <row r="394" spans="1:5" ht="15">
      <c r="A394" t="s">
        <v>334</v>
      </c>
      <c r="B394" t="s">
        <v>982</v>
      </c>
      <c r="D394" s="160" t="s">
        <v>970</v>
      </c>
      <c r="E394" t="s">
        <v>1755</v>
      </c>
    </row>
    <row r="395" spans="1:5" ht="15">
      <c r="A395" t="s">
        <v>334</v>
      </c>
      <c r="B395" t="s">
        <v>983</v>
      </c>
      <c r="D395" s="160" t="s">
        <v>970</v>
      </c>
      <c r="E395" t="s">
        <v>1755</v>
      </c>
    </row>
    <row r="396" spans="1:5" ht="15">
      <c r="A396" t="s">
        <v>334</v>
      </c>
      <c r="B396" t="s">
        <v>984</v>
      </c>
      <c r="D396" s="160" t="s">
        <v>970</v>
      </c>
      <c r="E396" t="s">
        <v>1755</v>
      </c>
    </row>
    <row r="397" spans="1:5" ht="15">
      <c r="A397" t="s">
        <v>334</v>
      </c>
      <c r="B397" t="s">
        <v>985</v>
      </c>
      <c r="D397" s="160" t="s">
        <v>970</v>
      </c>
      <c r="E397" t="s">
        <v>1755</v>
      </c>
    </row>
    <row r="398" spans="1:5" ht="15">
      <c r="A398" t="s">
        <v>334</v>
      </c>
      <c r="B398" t="s">
        <v>986</v>
      </c>
      <c r="D398" s="160" t="s">
        <v>970</v>
      </c>
      <c r="E398" t="s">
        <v>1755</v>
      </c>
    </row>
    <row r="399" spans="1:5" ht="15">
      <c r="A399" t="s">
        <v>334</v>
      </c>
      <c r="B399" t="s">
        <v>987</v>
      </c>
      <c r="D399" s="160" t="s">
        <v>988</v>
      </c>
      <c r="E399" t="s">
        <v>1755</v>
      </c>
    </row>
    <row r="400" spans="1:5" ht="15">
      <c r="A400" t="s">
        <v>334</v>
      </c>
      <c r="B400" t="s">
        <v>989</v>
      </c>
      <c r="D400" s="160" t="s">
        <v>988</v>
      </c>
      <c r="E400" t="s">
        <v>1755</v>
      </c>
    </row>
    <row r="401" spans="1:5" ht="15">
      <c r="A401" t="s">
        <v>334</v>
      </c>
      <c r="B401" t="s">
        <v>990</v>
      </c>
      <c r="D401" s="160" t="s">
        <v>988</v>
      </c>
      <c r="E401" t="s">
        <v>1755</v>
      </c>
    </row>
    <row r="402" spans="1:5" ht="15">
      <c r="A402" t="s">
        <v>334</v>
      </c>
      <c r="B402" t="s">
        <v>991</v>
      </c>
      <c r="D402" s="160" t="s">
        <v>988</v>
      </c>
      <c r="E402" t="s">
        <v>1755</v>
      </c>
    </row>
    <row r="403" spans="1:5" ht="15">
      <c r="A403" t="s">
        <v>334</v>
      </c>
      <c r="B403" t="s">
        <v>302</v>
      </c>
      <c r="D403" s="160" t="s">
        <v>988</v>
      </c>
      <c r="E403" t="s">
        <v>1755</v>
      </c>
    </row>
    <row r="404" spans="1:5" ht="15">
      <c r="A404" t="s">
        <v>334</v>
      </c>
      <c r="B404" t="s">
        <v>992</v>
      </c>
      <c r="D404" s="160" t="s">
        <v>262</v>
      </c>
      <c r="E404" t="s">
        <v>1753</v>
      </c>
    </row>
    <row r="405" spans="1:5" ht="15">
      <c r="A405" t="s">
        <v>334</v>
      </c>
      <c r="B405" t="s">
        <v>993</v>
      </c>
      <c r="D405" s="160" t="s">
        <v>262</v>
      </c>
      <c r="E405" t="s">
        <v>1753</v>
      </c>
    </row>
    <row r="406" spans="1:5" ht="15">
      <c r="A406" t="s">
        <v>334</v>
      </c>
      <c r="B406" t="s">
        <v>304</v>
      </c>
      <c r="D406" s="160" t="s">
        <v>262</v>
      </c>
      <c r="E406" t="s">
        <v>1753</v>
      </c>
    </row>
    <row r="407" spans="1:5" ht="15">
      <c r="A407" t="s">
        <v>334</v>
      </c>
      <c r="B407" t="s">
        <v>299</v>
      </c>
      <c r="D407" s="160" t="s">
        <v>262</v>
      </c>
      <c r="E407" t="s">
        <v>1753</v>
      </c>
    </row>
    <row r="408" spans="1:5" ht="15">
      <c r="A408" t="s">
        <v>334</v>
      </c>
      <c r="B408" t="s">
        <v>994</v>
      </c>
      <c r="D408" s="160" t="s">
        <v>262</v>
      </c>
      <c r="E408" t="s">
        <v>1753</v>
      </c>
    </row>
    <row r="409" spans="1:5" ht="15">
      <c r="A409" t="s">
        <v>334</v>
      </c>
      <c r="B409" t="s">
        <v>995</v>
      </c>
      <c r="D409" s="160" t="s">
        <v>262</v>
      </c>
      <c r="E409" t="s">
        <v>1753</v>
      </c>
    </row>
    <row r="410" spans="1:5" ht="15">
      <c r="A410" t="s">
        <v>334</v>
      </c>
      <c r="B410" t="s">
        <v>996</v>
      </c>
      <c r="D410" s="160" t="s">
        <v>988</v>
      </c>
      <c r="E410" t="s">
        <v>1755</v>
      </c>
    </row>
    <row r="411" spans="1:5" ht="15">
      <c r="A411" t="s">
        <v>334</v>
      </c>
      <c r="B411" t="s">
        <v>997</v>
      </c>
      <c r="D411" s="160" t="s">
        <v>988</v>
      </c>
      <c r="E411" t="s">
        <v>1755</v>
      </c>
    </row>
    <row r="412" spans="1:5" ht="15">
      <c r="A412" t="s">
        <v>334</v>
      </c>
      <c r="B412" t="s">
        <v>998</v>
      </c>
      <c r="D412" s="160" t="s">
        <v>988</v>
      </c>
      <c r="E412" t="s">
        <v>1755</v>
      </c>
    </row>
    <row r="413" spans="1:5" ht="15">
      <c r="A413" t="s">
        <v>334</v>
      </c>
      <c r="B413" t="s">
        <v>999</v>
      </c>
      <c r="D413" s="160" t="s">
        <v>988</v>
      </c>
      <c r="E413" t="s">
        <v>1755</v>
      </c>
    </row>
    <row r="414" spans="1:5" ht="15">
      <c r="A414" t="s">
        <v>334</v>
      </c>
      <c r="B414" t="s">
        <v>1000</v>
      </c>
      <c r="D414" s="160" t="s">
        <v>988</v>
      </c>
      <c r="E414" t="s">
        <v>1755</v>
      </c>
    </row>
    <row r="415" spans="1:5" ht="15">
      <c r="A415" t="s">
        <v>334</v>
      </c>
      <c r="B415" t="s">
        <v>1001</v>
      </c>
      <c r="D415" s="160" t="s">
        <v>988</v>
      </c>
      <c r="E415" t="s">
        <v>1755</v>
      </c>
    </row>
    <row r="416" spans="1:5" ht="15">
      <c r="A416" t="s">
        <v>334</v>
      </c>
      <c r="B416" t="s">
        <v>1002</v>
      </c>
      <c r="D416" s="160" t="s">
        <v>988</v>
      </c>
      <c r="E416" t="s">
        <v>1755</v>
      </c>
    </row>
    <row r="417" spans="1:5" ht="15">
      <c r="A417" t="s">
        <v>334</v>
      </c>
      <c r="B417" t="s">
        <v>1003</v>
      </c>
      <c r="D417" s="160" t="s">
        <v>262</v>
      </c>
      <c r="E417" t="s">
        <v>1753</v>
      </c>
    </row>
    <row r="418" spans="1:5" ht="15">
      <c r="A418" t="s">
        <v>334</v>
      </c>
      <c r="B418" t="s">
        <v>1004</v>
      </c>
      <c r="D418" s="160" t="s">
        <v>262</v>
      </c>
      <c r="E418" t="s">
        <v>1753</v>
      </c>
    </row>
    <row r="419" spans="1:5" ht="15">
      <c r="A419" t="s">
        <v>334</v>
      </c>
      <c r="B419" t="s">
        <v>1005</v>
      </c>
      <c r="D419" s="160" t="s">
        <v>262</v>
      </c>
      <c r="E419" t="s">
        <v>1753</v>
      </c>
    </row>
    <row r="420" spans="1:5" ht="15">
      <c r="A420" t="s">
        <v>334</v>
      </c>
      <c r="B420" t="s">
        <v>1006</v>
      </c>
      <c r="D420" s="160" t="s">
        <v>262</v>
      </c>
      <c r="E420" t="s">
        <v>1753</v>
      </c>
    </row>
    <row r="421" spans="1:5" ht="15">
      <c r="A421" t="s">
        <v>334</v>
      </c>
      <c r="B421" t="s">
        <v>1007</v>
      </c>
      <c r="D421" s="160" t="s">
        <v>262</v>
      </c>
      <c r="E421" t="s">
        <v>1753</v>
      </c>
    </row>
    <row r="422" spans="1:5" ht="15">
      <c r="A422" t="s">
        <v>334</v>
      </c>
      <c r="B422" t="s">
        <v>1008</v>
      </c>
      <c r="D422" s="160" t="s">
        <v>988</v>
      </c>
      <c r="E422" t="s">
        <v>1755</v>
      </c>
    </row>
    <row r="423" spans="1:5" ht="15">
      <c r="A423" t="s">
        <v>334</v>
      </c>
      <c r="B423" t="s">
        <v>1009</v>
      </c>
      <c r="D423" s="160" t="s">
        <v>988</v>
      </c>
      <c r="E423" t="s">
        <v>1755</v>
      </c>
    </row>
    <row r="424" spans="1:5" ht="15">
      <c r="A424" t="s">
        <v>334</v>
      </c>
      <c r="B424" t="s">
        <v>1010</v>
      </c>
      <c r="D424" s="160" t="s">
        <v>988</v>
      </c>
      <c r="E424" t="s">
        <v>1755</v>
      </c>
    </row>
    <row r="425" spans="1:5" ht="15">
      <c r="A425" t="s">
        <v>334</v>
      </c>
      <c r="B425" t="s">
        <v>1011</v>
      </c>
      <c r="D425" s="160" t="s">
        <v>988</v>
      </c>
      <c r="E425" t="s">
        <v>1755</v>
      </c>
    </row>
    <row r="426" spans="1:5" ht="15">
      <c r="A426" t="s">
        <v>334</v>
      </c>
      <c r="B426" t="s">
        <v>1012</v>
      </c>
      <c r="D426" s="160" t="s">
        <v>988</v>
      </c>
      <c r="E426" t="s">
        <v>1755</v>
      </c>
    </row>
    <row r="427" spans="1:5" ht="15">
      <c r="A427" t="s">
        <v>334</v>
      </c>
      <c r="B427" t="s">
        <v>1013</v>
      </c>
      <c r="D427" s="160" t="s">
        <v>988</v>
      </c>
      <c r="E427" t="s">
        <v>1755</v>
      </c>
    </row>
    <row r="428" spans="1:5" ht="15">
      <c r="A428" t="s">
        <v>334</v>
      </c>
      <c r="B428" t="s">
        <v>1014</v>
      </c>
      <c r="D428" s="160" t="s">
        <v>262</v>
      </c>
      <c r="E428" t="s">
        <v>1753</v>
      </c>
    </row>
    <row r="429" spans="1:5" ht="15">
      <c r="A429" t="s">
        <v>334</v>
      </c>
      <c r="B429" t="s">
        <v>1015</v>
      </c>
      <c r="D429" s="160" t="s">
        <v>988</v>
      </c>
      <c r="E429" t="s">
        <v>1755</v>
      </c>
    </row>
    <row r="430" spans="1:5" ht="15">
      <c r="A430" t="s">
        <v>334</v>
      </c>
      <c r="B430" t="s">
        <v>1016</v>
      </c>
      <c r="D430" s="160" t="s">
        <v>988</v>
      </c>
      <c r="E430" t="s">
        <v>1755</v>
      </c>
    </row>
    <row r="431" spans="1:5" ht="15">
      <c r="A431" t="s">
        <v>334</v>
      </c>
      <c r="B431" t="s">
        <v>1017</v>
      </c>
      <c r="D431" s="160" t="s">
        <v>988</v>
      </c>
      <c r="E431" t="s">
        <v>1755</v>
      </c>
    </row>
    <row r="432" spans="1:5" ht="15">
      <c r="A432" t="s">
        <v>334</v>
      </c>
      <c r="B432" t="s">
        <v>1018</v>
      </c>
      <c r="D432" s="160" t="s">
        <v>988</v>
      </c>
      <c r="E432" t="s">
        <v>1755</v>
      </c>
    </row>
    <row r="433" spans="1:5" ht="15">
      <c r="A433" t="s">
        <v>334</v>
      </c>
      <c r="B433" t="s">
        <v>1019</v>
      </c>
      <c r="D433" s="160" t="s">
        <v>988</v>
      </c>
      <c r="E433" t="s">
        <v>1755</v>
      </c>
    </row>
    <row r="434" spans="1:5" ht="15">
      <c r="A434" t="s">
        <v>334</v>
      </c>
      <c r="B434" t="s">
        <v>1020</v>
      </c>
      <c r="D434" s="160" t="s">
        <v>988</v>
      </c>
      <c r="E434" t="s">
        <v>1755</v>
      </c>
    </row>
    <row r="435" spans="1:5" ht="15">
      <c r="A435" t="s">
        <v>334</v>
      </c>
      <c r="B435" t="s">
        <v>1021</v>
      </c>
      <c r="D435" s="160" t="s">
        <v>988</v>
      </c>
      <c r="E435" t="s">
        <v>1755</v>
      </c>
    </row>
    <row r="436" spans="1:5" ht="15">
      <c r="A436" t="s">
        <v>334</v>
      </c>
      <c r="B436" t="s">
        <v>1022</v>
      </c>
      <c r="D436" s="160" t="s">
        <v>988</v>
      </c>
      <c r="E436" t="s">
        <v>1755</v>
      </c>
    </row>
    <row r="437" spans="1:5" ht="15">
      <c r="A437" t="s">
        <v>334</v>
      </c>
      <c r="B437" t="s">
        <v>1023</v>
      </c>
      <c r="D437" s="160" t="s">
        <v>988</v>
      </c>
      <c r="E437" t="s">
        <v>1755</v>
      </c>
    </row>
    <row r="438" spans="1:5" ht="15">
      <c r="A438" t="s">
        <v>334</v>
      </c>
      <c r="B438" t="s">
        <v>1024</v>
      </c>
      <c r="D438" s="160" t="s">
        <v>1025</v>
      </c>
      <c r="E438" t="s">
        <v>1756</v>
      </c>
    </row>
    <row r="439" spans="1:5" ht="15">
      <c r="A439" t="s">
        <v>334</v>
      </c>
      <c r="B439" t="s">
        <v>1026</v>
      </c>
      <c r="D439" s="160" t="s">
        <v>262</v>
      </c>
      <c r="E439" t="s">
        <v>1753</v>
      </c>
    </row>
    <row r="440" spans="1:5" ht="15">
      <c r="A440" t="s">
        <v>334</v>
      </c>
      <c r="B440" t="s">
        <v>1027</v>
      </c>
      <c r="D440" s="160" t="s">
        <v>262</v>
      </c>
      <c r="E440" t="s">
        <v>1753</v>
      </c>
    </row>
    <row r="441" spans="1:5" ht="15">
      <c r="A441" t="s">
        <v>334</v>
      </c>
      <c r="B441" t="s">
        <v>1028</v>
      </c>
      <c r="D441" s="160" t="s">
        <v>262</v>
      </c>
      <c r="E441" t="s">
        <v>1753</v>
      </c>
    </row>
    <row r="442" spans="1:5" ht="15">
      <c r="A442" t="s">
        <v>334</v>
      </c>
      <c r="B442" t="s">
        <v>1029</v>
      </c>
      <c r="D442" s="160" t="s">
        <v>262</v>
      </c>
      <c r="E442" t="s">
        <v>1753</v>
      </c>
    </row>
    <row r="443" spans="1:5" ht="15">
      <c r="A443" t="s">
        <v>334</v>
      </c>
      <c r="B443" t="s">
        <v>1030</v>
      </c>
      <c r="D443" s="160" t="s">
        <v>262</v>
      </c>
      <c r="E443" t="s">
        <v>1753</v>
      </c>
    </row>
    <row r="444" spans="1:5" ht="15">
      <c r="A444" t="s">
        <v>334</v>
      </c>
      <c r="B444" t="s">
        <v>1031</v>
      </c>
      <c r="D444" s="160" t="s">
        <v>262</v>
      </c>
      <c r="E444" t="s">
        <v>1753</v>
      </c>
    </row>
    <row r="445" spans="1:5" ht="15">
      <c r="A445" t="s">
        <v>334</v>
      </c>
      <c r="B445" t="s">
        <v>1032</v>
      </c>
      <c r="D445" s="160" t="s">
        <v>262</v>
      </c>
      <c r="E445" t="s">
        <v>1753</v>
      </c>
    </row>
    <row r="446" spans="1:5" ht="15">
      <c r="A446" t="s">
        <v>334</v>
      </c>
      <c r="B446" t="s">
        <v>1033</v>
      </c>
      <c r="D446" s="160" t="s">
        <v>262</v>
      </c>
      <c r="E446" t="s">
        <v>1753</v>
      </c>
    </row>
    <row r="447" spans="1:5" ht="15">
      <c r="A447" t="s">
        <v>334</v>
      </c>
      <c r="B447" t="s">
        <v>1034</v>
      </c>
      <c r="D447" s="160" t="s">
        <v>262</v>
      </c>
      <c r="E447" t="s">
        <v>1753</v>
      </c>
    </row>
    <row r="448" spans="1:5" ht="15">
      <c r="A448" t="s">
        <v>334</v>
      </c>
      <c r="B448" t="s">
        <v>1035</v>
      </c>
      <c r="D448" s="160" t="s">
        <v>988</v>
      </c>
      <c r="E448" t="s">
        <v>1755</v>
      </c>
    </row>
    <row r="449" spans="1:5" ht="15">
      <c r="A449" t="s">
        <v>334</v>
      </c>
      <c r="B449" t="s">
        <v>1036</v>
      </c>
      <c r="D449" s="160" t="s">
        <v>988</v>
      </c>
      <c r="E449" t="s">
        <v>1755</v>
      </c>
    </row>
    <row r="450" spans="1:5" ht="15">
      <c r="A450" t="s">
        <v>334</v>
      </c>
      <c r="B450" t="s">
        <v>1037</v>
      </c>
      <c r="D450" s="160" t="s">
        <v>988</v>
      </c>
      <c r="E450" t="s">
        <v>1755</v>
      </c>
    </row>
    <row r="451" spans="1:5" ht="15">
      <c r="A451" t="s">
        <v>334</v>
      </c>
      <c r="B451" t="s">
        <v>1038</v>
      </c>
      <c r="D451" s="160" t="s">
        <v>988</v>
      </c>
      <c r="E451" t="s">
        <v>1755</v>
      </c>
    </row>
    <row r="452" spans="1:5" ht="15">
      <c r="A452" t="s">
        <v>334</v>
      </c>
      <c r="B452" t="s">
        <v>1039</v>
      </c>
      <c r="D452" s="160" t="s">
        <v>988</v>
      </c>
      <c r="E452" t="s">
        <v>1755</v>
      </c>
    </row>
    <row r="453" spans="1:5" ht="15">
      <c r="A453" t="s">
        <v>334</v>
      </c>
      <c r="B453" t="s">
        <v>1040</v>
      </c>
      <c r="D453" s="160" t="s">
        <v>988</v>
      </c>
      <c r="E453" t="s">
        <v>1755</v>
      </c>
    </row>
    <row r="454" spans="1:5" ht="15">
      <c r="A454" t="s">
        <v>334</v>
      </c>
      <c r="B454" t="s">
        <v>1041</v>
      </c>
      <c r="D454" s="160" t="s">
        <v>988</v>
      </c>
      <c r="E454" t="s">
        <v>1755</v>
      </c>
    </row>
    <row r="455" spans="1:5" ht="15">
      <c r="A455" t="s">
        <v>334</v>
      </c>
      <c r="B455" t="s">
        <v>1042</v>
      </c>
      <c r="D455" s="160" t="s">
        <v>988</v>
      </c>
      <c r="E455" t="s">
        <v>1755</v>
      </c>
    </row>
    <row r="456" spans="1:5" ht="15">
      <c r="A456" t="s">
        <v>334</v>
      </c>
      <c r="B456" t="s">
        <v>1043</v>
      </c>
      <c r="D456" s="160" t="s">
        <v>262</v>
      </c>
      <c r="E456" t="s">
        <v>1753</v>
      </c>
    </row>
    <row r="457" spans="1:5" ht="15">
      <c r="A457" t="s">
        <v>334</v>
      </c>
      <c r="B457" t="s">
        <v>1044</v>
      </c>
      <c r="D457" s="160" t="s">
        <v>262</v>
      </c>
      <c r="E457" t="s">
        <v>1753</v>
      </c>
    </row>
    <row r="458" spans="1:5" ht="15">
      <c r="A458" t="s">
        <v>334</v>
      </c>
      <c r="B458" t="s">
        <v>1045</v>
      </c>
      <c r="D458" s="160" t="s">
        <v>262</v>
      </c>
      <c r="E458" t="s">
        <v>1753</v>
      </c>
    </row>
    <row r="459" spans="1:5" ht="15">
      <c r="A459" t="s">
        <v>334</v>
      </c>
      <c r="B459" t="s">
        <v>1046</v>
      </c>
      <c r="D459" s="160" t="s">
        <v>262</v>
      </c>
      <c r="E459" t="s">
        <v>1753</v>
      </c>
    </row>
    <row r="460" spans="1:5" ht="15">
      <c r="A460" t="s">
        <v>334</v>
      </c>
      <c r="B460" t="s">
        <v>1047</v>
      </c>
      <c r="D460" s="160" t="s">
        <v>262</v>
      </c>
      <c r="E460" t="s">
        <v>1753</v>
      </c>
    </row>
    <row r="461" spans="1:5" ht="15">
      <c r="A461" t="s">
        <v>334</v>
      </c>
      <c r="B461" t="s">
        <v>1048</v>
      </c>
      <c r="D461" s="160" t="s">
        <v>262</v>
      </c>
      <c r="E461" t="s">
        <v>1753</v>
      </c>
    </row>
    <row r="462" spans="1:5" ht="15">
      <c r="A462" t="s">
        <v>334</v>
      </c>
      <c r="B462" t="s">
        <v>1049</v>
      </c>
      <c r="D462" s="160" t="s">
        <v>262</v>
      </c>
      <c r="E462" t="s">
        <v>1753</v>
      </c>
    </row>
    <row r="463" spans="1:5" ht="15">
      <c r="A463" t="s">
        <v>334</v>
      </c>
      <c r="B463" t="s">
        <v>1050</v>
      </c>
      <c r="D463" s="160" t="s">
        <v>262</v>
      </c>
      <c r="E463" t="s">
        <v>1753</v>
      </c>
    </row>
    <row r="464" spans="1:5" ht="15">
      <c r="A464" t="s">
        <v>334</v>
      </c>
      <c r="B464" t="s">
        <v>1051</v>
      </c>
      <c r="D464" s="160" t="s">
        <v>262</v>
      </c>
      <c r="E464" t="s">
        <v>1757</v>
      </c>
    </row>
    <row r="465" spans="1:5" ht="15">
      <c r="A465" t="s">
        <v>334</v>
      </c>
      <c r="B465" t="s">
        <v>1052</v>
      </c>
      <c r="D465" s="160" t="s">
        <v>262</v>
      </c>
      <c r="E465" t="s">
        <v>1757</v>
      </c>
    </row>
    <row r="466" spans="1:5" ht="15">
      <c r="A466" t="s">
        <v>334</v>
      </c>
      <c r="B466" t="s">
        <v>1053</v>
      </c>
      <c r="D466" s="160" t="s">
        <v>262</v>
      </c>
      <c r="E466" t="s">
        <v>1757</v>
      </c>
    </row>
    <row r="467" spans="1:5" ht="15">
      <c r="A467" t="s">
        <v>334</v>
      </c>
      <c r="B467" t="s">
        <v>1054</v>
      </c>
      <c r="D467" s="160" t="s">
        <v>262</v>
      </c>
      <c r="E467" t="s">
        <v>1757</v>
      </c>
    </row>
    <row r="468" spans="1:5" ht="15">
      <c r="A468" t="s">
        <v>334</v>
      </c>
      <c r="B468" t="s">
        <v>1055</v>
      </c>
      <c r="D468" s="160" t="s">
        <v>262</v>
      </c>
      <c r="E468" t="s">
        <v>1757</v>
      </c>
    </row>
    <row r="469" spans="1:5" ht="15">
      <c r="A469" t="s">
        <v>334</v>
      </c>
      <c r="B469" t="s">
        <v>1056</v>
      </c>
      <c r="D469" s="160" t="s">
        <v>970</v>
      </c>
      <c r="E469" t="s">
        <v>1755</v>
      </c>
    </row>
    <row r="470" spans="1:5" ht="15">
      <c r="A470" t="s">
        <v>334</v>
      </c>
      <c r="B470" t="s">
        <v>1057</v>
      </c>
      <c r="D470" s="160" t="s">
        <v>970</v>
      </c>
      <c r="E470" t="s">
        <v>1755</v>
      </c>
    </row>
    <row r="471" spans="1:5" ht="15">
      <c r="A471" t="s">
        <v>334</v>
      </c>
      <c r="B471" t="s">
        <v>1058</v>
      </c>
      <c r="D471" s="160" t="s">
        <v>970</v>
      </c>
      <c r="E471" t="s">
        <v>1755</v>
      </c>
    </row>
    <row r="472" spans="1:5" ht="15">
      <c r="A472" t="s">
        <v>334</v>
      </c>
      <c r="B472" t="s">
        <v>1059</v>
      </c>
      <c r="D472" s="160" t="s">
        <v>970</v>
      </c>
      <c r="E472" t="s">
        <v>1755</v>
      </c>
    </row>
    <row r="473" spans="1:5" ht="15">
      <c r="A473" t="s">
        <v>334</v>
      </c>
      <c r="B473" t="s">
        <v>1060</v>
      </c>
      <c r="D473" s="160" t="s">
        <v>262</v>
      </c>
      <c r="E473" t="s">
        <v>1757</v>
      </c>
    </row>
    <row r="474" spans="1:5" ht="15">
      <c r="A474" t="s">
        <v>334</v>
      </c>
      <c r="B474" t="s">
        <v>1061</v>
      </c>
      <c r="D474" s="160" t="s">
        <v>262</v>
      </c>
      <c r="E474" t="s">
        <v>1757</v>
      </c>
    </row>
    <row r="475" spans="1:5" ht="15">
      <c r="A475" t="s">
        <v>334</v>
      </c>
      <c r="B475" t="s">
        <v>1062</v>
      </c>
      <c r="D475" s="160" t="s">
        <v>972</v>
      </c>
      <c r="E475" t="s">
        <v>1755</v>
      </c>
    </row>
    <row r="476" spans="1:5" ht="15">
      <c r="A476" t="s">
        <v>334</v>
      </c>
      <c r="B476" t="s">
        <v>1063</v>
      </c>
      <c r="D476" s="160" t="s">
        <v>970</v>
      </c>
      <c r="E476" t="s">
        <v>1755</v>
      </c>
    </row>
    <row r="477" spans="1:5" ht="15">
      <c r="A477" t="s">
        <v>334</v>
      </c>
      <c r="B477" t="s">
        <v>1064</v>
      </c>
      <c r="D477" s="160" t="s">
        <v>970</v>
      </c>
      <c r="E477" t="s">
        <v>1755</v>
      </c>
    </row>
    <row r="478" spans="1:5" ht="15">
      <c r="A478" t="s">
        <v>334</v>
      </c>
      <c r="B478" t="s">
        <v>1065</v>
      </c>
      <c r="D478" s="160" t="s">
        <v>970</v>
      </c>
      <c r="E478" t="s">
        <v>1755</v>
      </c>
    </row>
    <row r="479" spans="1:5" ht="15">
      <c r="A479" t="s">
        <v>334</v>
      </c>
      <c r="B479" t="s">
        <v>1066</v>
      </c>
      <c r="D479" s="160" t="s">
        <v>333</v>
      </c>
      <c r="E479" t="s">
        <v>1755</v>
      </c>
    </row>
    <row r="480" spans="1:5" ht="15">
      <c r="A480" t="s">
        <v>334</v>
      </c>
      <c r="B480" t="s">
        <v>1067</v>
      </c>
      <c r="D480" s="160" t="s">
        <v>972</v>
      </c>
      <c r="E480" t="s">
        <v>1755</v>
      </c>
    </row>
    <row r="481" spans="1:7" ht="15">
      <c r="A481" t="s">
        <v>1068</v>
      </c>
      <c r="B481" t="s">
        <v>310</v>
      </c>
      <c r="C481" s="160"/>
      <c r="D481" s="160"/>
      <c r="G481" t="s">
        <v>1796</v>
      </c>
    </row>
    <row r="482" spans="1:7" ht="15">
      <c r="A482" t="s">
        <v>1068</v>
      </c>
      <c r="B482" t="s">
        <v>293</v>
      </c>
      <c r="C482" s="160"/>
      <c r="D482" s="160"/>
      <c r="G482" t="s">
        <v>1796</v>
      </c>
    </row>
    <row r="483" spans="1:7" ht="15">
      <c r="A483" t="s">
        <v>1068</v>
      </c>
      <c r="B483" t="s">
        <v>294</v>
      </c>
      <c r="C483" s="160"/>
      <c r="D483" s="160"/>
      <c r="G483" t="s">
        <v>1796</v>
      </c>
    </row>
    <row r="484" spans="1:7" ht="15">
      <c r="A484" t="s">
        <v>1068</v>
      </c>
      <c r="B484" t="s">
        <v>295</v>
      </c>
      <c r="C484" s="160"/>
      <c r="D484" s="160"/>
      <c r="G484" t="s">
        <v>1796</v>
      </c>
    </row>
    <row r="485" spans="1:7" ht="15">
      <c r="A485" t="s">
        <v>1068</v>
      </c>
      <c r="B485" t="s">
        <v>311</v>
      </c>
      <c r="C485" s="160"/>
      <c r="D485" s="160"/>
      <c r="G485" t="s">
        <v>1796</v>
      </c>
    </row>
    <row r="486" spans="1:7" ht="15">
      <c r="A486" t="s">
        <v>1068</v>
      </c>
      <c r="B486" t="s">
        <v>296</v>
      </c>
      <c r="C486" s="160"/>
      <c r="D486" s="160"/>
      <c r="G486" t="s">
        <v>1796</v>
      </c>
    </row>
    <row r="487" spans="1:8" ht="15">
      <c r="A487" t="s">
        <v>1258</v>
      </c>
      <c r="B487" t="s">
        <v>1259</v>
      </c>
      <c r="C487" s="160" t="s">
        <v>1260</v>
      </c>
      <c r="D487" s="160" t="s">
        <v>1075</v>
      </c>
      <c r="H487" t="s">
        <v>1758</v>
      </c>
    </row>
    <row r="488" spans="1:8" ht="15">
      <c r="A488" t="s">
        <v>1258</v>
      </c>
      <c r="B488" t="s">
        <v>1074</v>
      </c>
      <c r="C488" s="160" t="s">
        <v>1261</v>
      </c>
      <c r="D488" s="160" t="s">
        <v>1077</v>
      </c>
      <c r="H488" t="s">
        <v>1758</v>
      </c>
    </row>
    <row r="489" spans="1:8" ht="15">
      <c r="A489" t="s">
        <v>1258</v>
      </c>
      <c r="B489" t="s">
        <v>1076</v>
      </c>
      <c r="C489" s="160" t="s">
        <v>1262</v>
      </c>
      <c r="D489" s="160" t="s">
        <v>1079</v>
      </c>
      <c r="H489" t="s">
        <v>1758</v>
      </c>
    </row>
    <row r="490" spans="1:8" ht="15">
      <c r="A490" t="s">
        <v>1258</v>
      </c>
      <c r="B490" t="s">
        <v>1078</v>
      </c>
      <c r="C490" s="160" t="s">
        <v>1263</v>
      </c>
      <c r="D490" s="160" t="s">
        <v>1077</v>
      </c>
      <c r="H490" t="s">
        <v>1758</v>
      </c>
    </row>
    <row r="491" spans="1:8" ht="15">
      <c r="A491" t="s">
        <v>1258</v>
      </c>
      <c r="B491" t="s">
        <v>1080</v>
      </c>
      <c r="C491" s="160" t="s">
        <v>1264</v>
      </c>
      <c r="D491" s="160" t="s">
        <v>1082</v>
      </c>
      <c r="H491" t="s">
        <v>1758</v>
      </c>
    </row>
    <row r="492" spans="1:8" ht="15">
      <c r="A492" t="s">
        <v>1258</v>
      </c>
      <c r="B492" t="s">
        <v>1265</v>
      </c>
      <c r="C492" s="160" t="s">
        <v>1260</v>
      </c>
      <c r="D492" s="160" t="s">
        <v>1075</v>
      </c>
      <c r="H492" t="s">
        <v>1758</v>
      </c>
    </row>
    <row r="493" spans="1:8" ht="15">
      <c r="A493" t="s">
        <v>1258</v>
      </c>
      <c r="B493" t="s">
        <v>1083</v>
      </c>
      <c r="C493" s="160" t="s">
        <v>1266</v>
      </c>
      <c r="D493" s="160" t="s">
        <v>1077</v>
      </c>
      <c r="H493" t="s">
        <v>1758</v>
      </c>
    </row>
    <row r="494" spans="1:8" ht="15">
      <c r="A494" t="s">
        <v>1258</v>
      </c>
      <c r="B494" t="s">
        <v>1084</v>
      </c>
      <c r="C494" s="160" t="s">
        <v>1267</v>
      </c>
      <c r="D494" s="160" t="s">
        <v>1086</v>
      </c>
      <c r="H494" t="s">
        <v>1758</v>
      </c>
    </row>
    <row r="495" spans="1:8" ht="15">
      <c r="A495" t="s">
        <v>1258</v>
      </c>
      <c r="B495" t="s">
        <v>1085</v>
      </c>
      <c r="C495" s="160" t="s">
        <v>1268</v>
      </c>
      <c r="D495" s="160" t="s">
        <v>1077</v>
      </c>
      <c r="H495" t="s">
        <v>1758</v>
      </c>
    </row>
    <row r="496" spans="1:8" ht="15">
      <c r="A496" t="s">
        <v>1258</v>
      </c>
      <c r="B496" t="s">
        <v>1087</v>
      </c>
      <c r="C496" s="160" t="s">
        <v>1269</v>
      </c>
      <c r="D496" s="160" t="s">
        <v>1082</v>
      </c>
      <c r="H496" t="s">
        <v>1758</v>
      </c>
    </row>
    <row r="497" spans="1:8" ht="15">
      <c r="A497" t="s">
        <v>1258</v>
      </c>
      <c r="B497" t="s">
        <v>1270</v>
      </c>
      <c r="C497" s="160" t="s">
        <v>1260</v>
      </c>
      <c r="D497" s="160" t="s">
        <v>1075</v>
      </c>
      <c r="H497" t="s">
        <v>1758</v>
      </c>
    </row>
    <row r="498" spans="1:8" ht="15">
      <c r="A498" t="s">
        <v>1258</v>
      </c>
      <c r="B498" t="s">
        <v>1089</v>
      </c>
      <c r="C498" s="160" t="s">
        <v>1271</v>
      </c>
      <c r="D498" s="160" t="s">
        <v>1077</v>
      </c>
      <c r="H498" t="s">
        <v>1758</v>
      </c>
    </row>
    <row r="499" spans="1:8" ht="15">
      <c r="A499" t="s">
        <v>1258</v>
      </c>
      <c r="B499" t="s">
        <v>1090</v>
      </c>
      <c r="C499" s="160" t="s">
        <v>1272</v>
      </c>
      <c r="D499" s="160" t="s">
        <v>1092</v>
      </c>
      <c r="H499" t="s">
        <v>1758</v>
      </c>
    </row>
    <row r="500" spans="1:8" ht="15">
      <c r="A500" t="s">
        <v>1258</v>
      </c>
      <c r="B500" t="s">
        <v>1091</v>
      </c>
      <c r="C500" s="160" t="s">
        <v>1273</v>
      </c>
      <c r="D500" s="160" t="s">
        <v>1077</v>
      </c>
      <c r="H500" t="s">
        <v>1758</v>
      </c>
    </row>
    <row r="501" spans="1:8" ht="15">
      <c r="A501" t="s">
        <v>1258</v>
      </c>
      <c r="B501" t="s">
        <v>1093</v>
      </c>
      <c r="C501" s="160" t="s">
        <v>1274</v>
      </c>
      <c r="D501" s="160" t="s">
        <v>1082</v>
      </c>
      <c r="H501" t="s">
        <v>1758</v>
      </c>
    </row>
    <row r="502" spans="1:8" ht="15">
      <c r="A502" t="s">
        <v>1258</v>
      </c>
      <c r="B502" t="s">
        <v>1275</v>
      </c>
      <c r="C502" s="160" t="s">
        <v>1260</v>
      </c>
      <c r="D502" s="160" t="s">
        <v>1075</v>
      </c>
      <c r="H502" t="s">
        <v>1758</v>
      </c>
    </row>
    <row r="503" spans="1:8" ht="15">
      <c r="A503" t="s">
        <v>1258</v>
      </c>
      <c r="B503" t="s">
        <v>1095</v>
      </c>
      <c r="C503" s="160" t="s">
        <v>1276</v>
      </c>
      <c r="D503" s="160" t="s">
        <v>1077</v>
      </c>
      <c r="H503" t="s">
        <v>1758</v>
      </c>
    </row>
    <row r="504" spans="1:8" ht="15">
      <c r="A504" t="s">
        <v>1258</v>
      </c>
      <c r="B504" t="s">
        <v>1096</v>
      </c>
      <c r="C504" s="160" t="s">
        <v>1277</v>
      </c>
      <c r="D504" s="160" t="s">
        <v>1098</v>
      </c>
      <c r="H504" t="s">
        <v>1758</v>
      </c>
    </row>
    <row r="505" spans="1:8" ht="15">
      <c r="A505" t="s">
        <v>1258</v>
      </c>
      <c r="B505" t="s">
        <v>1097</v>
      </c>
      <c r="C505" s="160" t="s">
        <v>1278</v>
      </c>
      <c r="D505" s="160" t="s">
        <v>1077</v>
      </c>
      <c r="H505" t="s">
        <v>1758</v>
      </c>
    </row>
    <row r="506" spans="1:8" ht="15">
      <c r="A506" t="s">
        <v>1258</v>
      </c>
      <c r="B506" t="s">
        <v>1099</v>
      </c>
      <c r="C506" s="160" t="s">
        <v>1279</v>
      </c>
      <c r="D506" s="160" t="s">
        <v>1082</v>
      </c>
      <c r="H506" t="s">
        <v>1758</v>
      </c>
    </row>
    <row r="507" spans="1:8" ht="15">
      <c r="A507" t="s">
        <v>1258</v>
      </c>
      <c r="B507" t="s">
        <v>1280</v>
      </c>
      <c r="C507" s="160" t="s">
        <v>1281</v>
      </c>
      <c r="D507" s="160" t="s">
        <v>1101</v>
      </c>
      <c r="H507" t="s">
        <v>1758</v>
      </c>
    </row>
    <row r="508" spans="1:8" ht="15">
      <c r="A508" t="s">
        <v>1258</v>
      </c>
      <c r="B508" t="s">
        <v>1282</v>
      </c>
      <c r="C508" s="160" t="s">
        <v>1283</v>
      </c>
      <c r="D508" s="160" t="s">
        <v>271</v>
      </c>
      <c r="H508" t="s">
        <v>1758</v>
      </c>
    </row>
    <row r="509" spans="1:8" ht="15">
      <c r="A509" t="s">
        <v>1258</v>
      </c>
      <c r="B509" t="s">
        <v>1284</v>
      </c>
      <c r="C509" s="160" t="s">
        <v>1285</v>
      </c>
      <c r="D509" s="160" t="s">
        <v>1102</v>
      </c>
      <c r="H509" t="s">
        <v>1758</v>
      </c>
    </row>
    <row r="510" spans="1:8" ht="15">
      <c r="A510" t="s">
        <v>1258</v>
      </c>
      <c r="B510" t="s">
        <v>1286</v>
      </c>
      <c r="C510" s="160" t="s">
        <v>1287</v>
      </c>
      <c r="D510" s="160" t="s">
        <v>1101</v>
      </c>
      <c r="H510" t="s">
        <v>1758</v>
      </c>
    </row>
    <row r="511" spans="1:8" ht="15">
      <c r="A511" t="s">
        <v>1258</v>
      </c>
      <c r="B511" t="s">
        <v>1288</v>
      </c>
      <c r="C511" s="160" t="s">
        <v>1289</v>
      </c>
      <c r="D511" s="160" t="s">
        <v>271</v>
      </c>
      <c r="H511" t="s">
        <v>1758</v>
      </c>
    </row>
    <row r="512" spans="1:8" ht="15">
      <c r="A512" t="s">
        <v>1258</v>
      </c>
      <c r="B512" t="s">
        <v>1290</v>
      </c>
      <c r="C512" s="160" t="s">
        <v>1291</v>
      </c>
      <c r="D512" s="160" t="s">
        <v>1102</v>
      </c>
      <c r="H512" t="s">
        <v>1758</v>
      </c>
    </row>
    <row r="513" spans="1:8" ht="15">
      <c r="A513" t="s">
        <v>1258</v>
      </c>
      <c r="B513" t="s">
        <v>1292</v>
      </c>
      <c r="C513" s="160" t="s">
        <v>1293</v>
      </c>
      <c r="D513" s="160" t="s">
        <v>1101</v>
      </c>
      <c r="H513" t="s">
        <v>1758</v>
      </c>
    </row>
    <row r="514" spans="1:8" ht="15">
      <c r="A514" t="s">
        <v>1258</v>
      </c>
      <c r="B514" t="s">
        <v>1294</v>
      </c>
      <c r="C514" s="160" t="s">
        <v>1295</v>
      </c>
      <c r="D514" s="160" t="s">
        <v>271</v>
      </c>
      <c r="H514" t="s">
        <v>1758</v>
      </c>
    </row>
    <row r="515" spans="1:8" ht="15">
      <c r="A515" t="s">
        <v>1258</v>
      </c>
      <c r="B515" t="s">
        <v>1296</v>
      </c>
      <c r="C515" s="160" t="s">
        <v>1297</v>
      </c>
      <c r="D515" s="160" t="s">
        <v>1102</v>
      </c>
      <c r="H515" t="s">
        <v>1758</v>
      </c>
    </row>
    <row r="516" spans="1:8" ht="15">
      <c r="A516" t="s">
        <v>1258</v>
      </c>
      <c r="B516" t="s">
        <v>1298</v>
      </c>
      <c r="C516" s="160" t="s">
        <v>1299</v>
      </c>
      <c r="D516" s="160" t="s">
        <v>1101</v>
      </c>
      <c r="H516" t="s">
        <v>1758</v>
      </c>
    </row>
    <row r="517" spans="1:8" ht="15">
      <c r="A517" t="s">
        <v>1258</v>
      </c>
      <c r="B517" t="s">
        <v>1300</v>
      </c>
      <c r="C517" s="160" t="s">
        <v>1301</v>
      </c>
      <c r="D517" s="160" t="s">
        <v>271</v>
      </c>
      <c r="H517" t="s">
        <v>1758</v>
      </c>
    </row>
    <row r="518" spans="1:8" ht="15">
      <c r="A518" t="s">
        <v>1258</v>
      </c>
      <c r="B518" t="s">
        <v>1302</v>
      </c>
      <c r="C518" s="160" t="s">
        <v>1303</v>
      </c>
      <c r="D518" s="160" t="s">
        <v>1102</v>
      </c>
      <c r="H518" t="s">
        <v>1758</v>
      </c>
    </row>
    <row r="519" spans="1:8" ht="15">
      <c r="A519" t="s">
        <v>1258</v>
      </c>
      <c r="B519" t="s">
        <v>1304</v>
      </c>
      <c r="C519" s="160" t="s">
        <v>1305</v>
      </c>
      <c r="D519" s="160" t="s">
        <v>1077</v>
      </c>
      <c r="H519" t="s">
        <v>1758</v>
      </c>
    </row>
    <row r="520" spans="1:8" ht="15">
      <c r="A520" t="s">
        <v>1258</v>
      </c>
      <c r="B520" t="s">
        <v>1103</v>
      </c>
      <c r="C520" s="160" t="s">
        <v>1306</v>
      </c>
      <c r="D520" s="160" t="s">
        <v>1079</v>
      </c>
      <c r="H520" t="s">
        <v>1758</v>
      </c>
    </row>
    <row r="521" spans="1:8" ht="15">
      <c r="A521" t="s">
        <v>1258</v>
      </c>
      <c r="B521" t="s">
        <v>1104</v>
      </c>
      <c r="C521" s="160" t="s">
        <v>1307</v>
      </c>
      <c r="D521" s="160" t="s">
        <v>1077</v>
      </c>
      <c r="H521" t="s">
        <v>1758</v>
      </c>
    </row>
    <row r="522" spans="1:8" ht="15">
      <c r="A522" t="s">
        <v>1258</v>
      </c>
      <c r="B522" t="s">
        <v>1105</v>
      </c>
      <c r="C522" s="160" t="s">
        <v>1308</v>
      </c>
      <c r="D522" s="160" t="s">
        <v>1082</v>
      </c>
      <c r="H522" t="s">
        <v>1758</v>
      </c>
    </row>
    <row r="523" spans="1:8" ht="15">
      <c r="A523" t="s">
        <v>1258</v>
      </c>
      <c r="B523" t="s">
        <v>1309</v>
      </c>
      <c r="C523" s="160" t="s">
        <v>1310</v>
      </c>
      <c r="D523" s="160" t="s">
        <v>1077</v>
      </c>
      <c r="H523" t="s">
        <v>1758</v>
      </c>
    </row>
    <row r="524" spans="1:8" ht="15">
      <c r="A524" t="s">
        <v>1258</v>
      </c>
      <c r="B524" t="s">
        <v>1107</v>
      </c>
      <c r="C524" s="160" t="s">
        <v>1311</v>
      </c>
      <c r="D524" s="160" t="s">
        <v>1086</v>
      </c>
      <c r="H524" t="s">
        <v>1758</v>
      </c>
    </row>
    <row r="525" spans="1:8" ht="15">
      <c r="A525" t="s">
        <v>1258</v>
      </c>
      <c r="B525" t="s">
        <v>1108</v>
      </c>
      <c r="C525" s="160" t="s">
        <v>1312</v>
      </c>
      <c r="D525" s="160" t="s">
        <v>1077</v>
      </c>
      <c r="H525" t="s">
        <v>1758</v>
      </c>
    </row>
    <row r="526" spans="1:8" ht="15">
      <c r="A526" t="s">
        <v>1258</v>
      </c>
      <c r="B526" t="s">
        <v>1109</v>
      </c>
      <c r="C526" s="160" t="s">
        <v>1313</v>
      </c>
      <c r="D526" s="160" t="s">
        <v>1082</v>
      </c>
      <c r="H526" t="s">
        <v>1758</v>
      </c>
    </row>
    <row r="527" spans="1:8" ht="15">
      <c r="A527" t="s">
        <v>1258</v>
      </c>
      <c r="B527" t="s">
        <v>1314</v>
      </c>
      <c r="C527" s="160" t="s">
        <v>1315</v>
      </c>
      <c r="D527" s="160" t="s">
        <v>1077</v>
      </c>
      <c r="H527" t="s">
        <v>1758</v>
      </c>
    </row>
    <row r="528" spans="1:8" ht="15">
      <c r="A528" t="s">
        <v>1258</v>
      </c>
      <c r="B528" t="s">
        <v>1111</v>
      </c>
      <c r="C528" s="160" t="s">
        <v>1316</v>
      </c>
      <c r="D528" s="160" t="s">
        <v>1092</v>
      </c>
      <c r="H528" t="s">
        <v>1758</v>
      </c>
    </row>
    <row r="529" spans="1:8" ht="15">
      <c r="A529" t="s">
        <v>1258</v>
      </c>
      <c r="B529" t="s">
        <v>1112</v>
      </c>
      <c r="C529" s="160" t="s">
        <v>1317</v>
      </c>
      <c r="D529" s="160" t="s">
        <v>1077</v>
      </c>
      <c r="H529" t="s">
        <v>1758</v>
      </c>
    </row>
    <row r="530" spans="1:8" ht="15">
      <c r="A530" t="s">
        <v>1258</v>
      </c>
      <c r="B530" t="s">
        <v>1113</v>
      </c>
      <c r="C530" s="160" t="s">
        <v>1318</v>
      </c>
      <c r="D530" s="160" t="s">
        <v>1082</v>
      </c>
      <c r="H530" t="s">
        <v>1758</v>
      </c>
    </row>
    <row r="531" spans="1:8" ht="15">
      <c r="A531" t="s">
        <v>1258</v>
      </c>
      <c r="B531" t="s">
        <v>1319</v>
      </c>
      <c r="C531" s="160" t="s">
        <v>1320</v>
      </c>
      <c r="D531" s="160" t="s">
        <v>1077</v>
      </c>
      <c r="H531" t="s">
        <v>1758</v>
      </c>
    </row>
    <row r="532" spans="1:8" ht="15">
      <c r="A532" t="s">
        <v>1258</v>
      </c>
      <c r="B532" t="s">
        <v>1115</v>
      </c>
      <c r="C532" s="160" t="s">
        <v>1321</v>
      </c>
      <c r="D532" s="160" t="s">
        <v>1098</v>
      </c>
      <c r="H532" t="s">
        <v>1758</v>
      </c>
    </row>
    <row r="533" spans="1:8" ht="15">
      <c r="A533" t="s">
        <v>1258</v>
      </c>
      <c r="B533" t="s">
        <v>1116</v>
      </c>
      <c r="C533" s="160" t="s">
        <v>1322</v>
      </c>
      <c r="D533" s="160" t="s">
        <v>1077</v>
      </c>
      <c r="H533" t="s">
        <v>1758</v>
      </c>
    </row>
    <row r="534" spans="1:8" ht="15">
      <c r="A534" t="s">
        <v>1258</v>
      </c>
      <c r="B534" t="s">
        <v>1117</v>
      </c>
      <c r="C534" s="160" t="s">
        <v>1323</v>
      </c>
      <c r="D534" s="160" t="s">
        <v>1082</v>
      </c>
      <c r="H534" t="s">
        <v>1758</v>
      </c>
    </row>
    <row r="535" spans="1:8" ht="15">
      <c r="A535" t="s">
        <v>1258</v>
      </c>
      <c r="B535" t="s">
        <v>1324</v>
      </c>
      <c r="C535" s="160" t="s">
        <v>1325</v>
      </c>
      <c r="D535" s="160" t="s">
        <v>1101</v>
      </c>
      <c r="H535" t="s">
        <v>1758</v>
      </c>
    </row>
    <row r="536" spans="1:8" ht="15">
      <c r="A536" t="s">
        <v>1258</v>
      </c>
      <c r="B536" t="s">
        <v>1326</v>
      </c>
      <c r="C536" s="160" t="s">
        <v>1327</v>
      </c>
      <c r="D536" s="160" t="s">
        <v>271</v>
      </c>
      <c r="H536" t="s">
        <v>1758</v>
      </c>
    </row>
    <row r="537" spans="1:8" ht="15">
      <c r="A537" t="s">
        <v>1258</v>
      </c>
      <c r="B537" t="s">
        <v>1328</v>
      </c>
      <c r="C537" s="160" t="s">
        <v>1329</v>
      </c>
      <c r="D537" s="160" t="s">
        <v>1102</v>
      </c>
      <c r="H537" t="s">
        <v>1758</v>
      </c>
    </row>
    <row r="538" spans="1:8" ht="15">
      <c r="A538" t="s">
        <v>1258</v>
      </c>
      <c r="B538" t="s">
        <v>1330</v>
      </c>
      <c r="C538" s="160" t="s">
        <v>1331</v>
      </c>
      <c r="D538" s="160" t="s">
        <v>1101</v>
      </c>
      <c r="H538" t="s">
        <v>1758</v>
      </c>
    </row>
    <row r="539" spans="1:8" ht="15">
      <c r="A539" t="s">
        <v>1258</v>
      </c>
      <c r="B539" t="s">
        <v>1332</v>
      </c>
      <c r="C539" s="160" t="s">
        <v>1333</v>
      </c>
      <c r="D539" s="160" t="s">
        <v>271</v>
      </c>
      <c r="H539" t="s">
        <v>1758</v>
      </c>
    </row>
    <row r="540" spans="1:8" ht="15">
      <c r="A540" t="s">
        <v>1258</v>
      </c>
      <c r="B540" t="s">
        <v>1334</v>
      </c>
      <c r="C540" s="160" t="s">
        <v>1335</v>
      </c>
      <c r="D540" s="160" t="s">
        <v>1102</v>
      </c>
      <c r="H540" t="s">
        <v>1758</v>
      </c>
    </row>
    <row r="541" spans="1:8" ht="15">
      <c r="A541" t="s">
        <v>1258</v>
      </c>
      <c r="B541" t="s">
        <v>1336</v>
      </c>
      <c r="C541" s="160" t="s">
        <v>1337</v>
      </c>
      <c r="D541" s="160" t="s">
        <v>1101</v>
      </c>
      <c r="H541" t="s">
        <v>1758</v>
      </c>
    </row>
    <row r="542" spans="1:8" ht="15">
      <c r="A542" t="s">
        <v>1258</v>
      </c>
      <c r="B542" t="s">
        <v>1338</v>
      </c>
      <c r="C542" s="160" t="s">
        <v>1339</v>
      </c>
      <c r="D542" s="160" t="s">
        <v>271</v>
      </c>
      <c r="H542" t="s">
        <v>1758</v>
      </c>
    </row>
    <row r="543" spans="1:8" ht="15">
      <c r="A543" t="s">
        <v>1258</v>
      </c>
      <c r="B543" t="s">
        <v>1340</v>
      </c>
      <c r="C543" s="160" t="s">
        <v>1341</v>
      </c>
      <c r="D543" s="160" t="s">
        <v>1102</v>
      </c>
      <c r="H543" t="s">
        <v>1758</v>
      </c>
    </row>
    <row r="544" spans="1:8" ht="15">
      <c r="A544" t="s">
        <v>1258</v>
      </c>
      <c r="B544" t="s">
        <v>1342</v>
      </c>
      <c r="C544" s="160" t="s">
        <v>1343</v>
      </c>
      <c r="D544" s="160" t="s">
        <v>1101</v>
      </c>
      <c r="H544" t="s">
        <v>1758</v>
      </c>
    </row>
    <row r="545" spans="1:8" ht="15">
      <c r="A545" t="s">
        <v>1258</v>
      </c>
      <c r="B545" t="s">
        <v>1344</v>
      </c>
      <c r="C545" s="160" t="s">
        <v>1345</v>
      </c>
      <c r="D545" s="160" t="s">
        <v>271</v>
      </c>
      <c r="H545" t="s">
        <v>1758</v>
      </c>
    </row>
    <row r="546" spans="1:8" ht="15">
      <c r="A546" t="s">
        <v>1258</v>
      </c>
      <c r="B546" t="s">
        <v>1346</v>
      </c>
      <c r="C546" s="160" t="s">
        <v>1347</v>
      </c>
      <c r="D546" s="160" t="s">
        <v>1102</v>
      </c>
      <c r="H546" t="s">
        <v>1758</v>
      </c>
    </row>
    <row r="547" spans="1:8" ht="15">
      <c r="A547" t="s">
        <v>1258</v>
      </c>
      <c r="B547" t="s">
        <v>309</v>
      </c>
      <c r="C547" s="160" t="s">
        <v>1348</v>
      </c>
      <c r="D547" s="160" t="s">
        <v>271</v>
      </c>
      <c r="H547" t="s">
        <v>1758</v>
      </c>
    </row>
    <row r="548" spans="1:8" ht="15">
      <c r="A548" t="s">
        <v>1258</v>
      </c>
      <c r="B548" t="s">
        <v>285</v>
      </c>
      <c r="C548" s="160" t="s">
        <v>1349</v>
      </c>
      <c r="D548" s="160" t="s">
        <v>1077</v>
      </c>
      <c r="H548" t="s">
        <v>1758</v>
      </c>
    </row>
    <row r="549" spans="1:8" ht="15">
      <c r="A549" t="s">
        <v>1258</v>
      </c>
      <c r="B549" t="s">
        <v>287</v>
      </c>
      <c r="C549" s="160" t="s">
        <v>1350</v>
      </c>
      <c r="D549" s="160" t="s">
        <v>271</v>
      </c>
      <c r="H549" t="s">
        <v>1758</v>
      </c>
    </row>
    <row r="550" spans="1:8" ht="15">
      <c r="A550" t="s">
        <v>1258</v>
      </c>
      <c r="B550" t="s">
        <v>318</v>
      </c>
      <c r="C550" s="160" t="s">
        <v>1351</v>
      </c>
      <c r="D550" s="160" t="s">
        <v>320</v>
      </c>
      <c r="H550" t="s">
        <v>1758</v>
      </c>
    </row>
    <row r="551" spans="1:8" ht="15">
      <c r="A551" t="s">
        <v>1258</v>
      </c>
      <c r="B551" t="s">
        <v>1352</v>
      </c>
      <c r="C551" s="160" t="s">
        <v>1353</v>
      </c>
      <c r="D551" s="160" t="s">
        <v>271</v>
      </c>
      <c r="H551" t="s">
        <v>1758</v>
      </c>
    </row>
    <row r="552" spans="1:8" ht="15">
      <c r="A552" t="s">
        <v>1258</v>
      </c>
      <c r="B552" t="s">
        <v>1354</v>
      </c>
      <c r="C552" s="160" t="s">
        <v>1355</v>
      </c>
      <c r="D552" s="160" t="s">
        <v>1077</v>
      </c>
      <c r="H552" t="s">
        <v>1758</v>
      </c>
    </row>
    <row r="553" spans="1:8" ht="15">
      <c r="A553" t="s">
        <v>1258</v>
      </c>
      <c r="B553" t="s">
        <v>1119</v>
      </c>
      <c r="C553" s="160" t="s">
        <v>1356</v>
      </c>
      <c r="D553" s="160" t="s">
        <v>1079</v>
      </c>
      <c r="H553" t="s">
        <v>1758</v>
      </c>
    </row>
    <row r="554" spans="1:8" ht="15">
      <c r="A554" t="s">
        <v>1258</v>
      </c>
      <c r="B554" t="s">
        <v>1120</v>
      </c>
      <c r="C554" s="160" t="s">
        <v>1357</v>
      </c>
      <c r="D554" s="160" t="s">
        <v>1077</v>
      </c>
      <c r="H554" t="s">
        <v>1758</v>
      </c>
    </row>
    <row r="555" spans="1:8" ht="15">
      <c r="A555" t="s">
        <v>1258</v>
      </c>
      <c r="B555" t="s">
        <v>1121</v>
      </c>
      <c r="C555" s="160" t="s">
        <v>1358</v>
      </c>
      <c r="D555" s="160" t="s">
        <v>1082</v>
      </c>
      <c r="H555" t="s">
        <v>1758</v>
      </c>
    </row>
    <row r="556" spans="1:8" ht="15">
      <c r="A556" t="s">
        <v>1258</v>
      </c>
      <c r="B556" t="s">
        <v>1359</v>
      </c>
      <c r="C556" s="160" t="s">
        <v>1360</v>
      </c>
      <c r="D556" s="160" t="s">
        <v>1077</v>
      </c>
      <c r="H556" t="s">
        <v>1758</v>
      </c>
    </row>
    <row r="557" spans="1:8" ht="15">
      <c r="A557" t="s">
        <v>1258</v>
      </c>
      <c r="B557" t="s">
        <v>1123</v>
      </c>
      <c r="C557" s="160" t="s">
        <v>1361</v>
      </c>
      <c r="D557" s="160" t="s">
        <v>1086</v>
      </c>
      <c r="H557" t="s">
        <v>1758</v>
      </c>
    </row>
    <row r="558" spans="1:8" ht="15">
      <c r="A558" t="s">
        <v>1258</v>
      </c>
      <c r="B558" t="s">
        <v>1124</v>
      </c>
      <c r="C558" s="160" t="s">
        <v>1362</v>
      </c>
      <c r="D558" s="160" t="s">
        <v>1077</v>
      </c>
      <c r="H558" t="s">
        <v>1758</v>
      </c>
    </row>
    <row r="559" spans="1:8" ht="15">
      <c r="A559" t="s">
        <v>1258</v>
      </c>
      <c r="B559" t="s">
        <v>1125</v>
      </c>
      <c r="C559" s="160" t="s">
        <v>1363</v>
      </c>
      <c r="D559" s="160" t="s">
        <v>1082</v>
      </c>
      <c r="H559" t="s">
        <v>1758</v>
      </c>
    </row>
    <row r="560" spans="1:8" ht="15">
      <c r="A560" t="s">
        <v>1258</v>
      </c>
      <c r="B560" t="s">
        <v>1364</v>
      </c>
      <c r="C560" s="160" t="s">
        <v>1365</v>
      </c>
      <c r="D560" s="160" t="s">
        <v>1077</v>
      </c>
      <c r="H560" t="s">
        <v>1758</v>
      </c>
    </row>
    <row r="561" spans="1:8" ht="15">
      <c r="A561" t="s">
        <v>1258</v>
      </c>
      <c r="B561" t="s">
        <v>1127</v>
      </c>
      <c r="C561" s="160" t="s">
        <v>1366</v>
      </c>
      <c r="D561" s="160" t="s">
        <v>1092</v>
      </c>
      <c r="H561" t="s">
        <v>1758</v>
      </c>
    </row>
    <row r="562" spans="1:8" ht="15">
      <c r="A562" t="s">
        <v>1258</v>
      </c>
      <c r="B562" t="s">
        <v>255</v>
      </c>
      <c r="C562" s="160" t="s">
        <v>1367</v>
      </c>
      <c r="D562" s="160" t="s">
        <v>1077</v>
      </c>
      <c r="H562" t="s">
        <v>1758</v>
      </c>
    </row>
    <row r="563" spans="1:8" ht="15">
      <c r="A563" t="s">
        <v>1258</v>
      </c>
      <c r="B563" t="s">
        <v>1128</v>
      </c>
      <c r="C563" s="160" t="s">
        <v>1368</v>
      </c>
      <c r="D563" s="160" t="s">
        <v>1082</v>
      </c>
      <c r="H563" t="s">
        <v>1758</v>
      </c>
    </row>
    <row r="564" spans="1:8" ht="15">
      <c r="A564" t="s">
        <v>1258</v>
      </c>
      <c r="B564" t="s">
        <v>1369</v>
      </c>
      <c r="C564" s="160" t="s">
        <v>1370</v>
      </c>
      <c r="D564" s="160" t="s">
        <v>1077</v>
      </c>
      <c r="H564" t="s">
        <v>1758</v>
      </c>
    </row>
    <row r="565" spans="1:8" ht="15">
      <c r="A565" t="s">
        <v>1258</v>
      </c>
      <c r="B565" t="s">
        <v>1130</v>
      </c>
      <c r="C565" s="160" t="s">
        <v>1371</v>
      </c>
      <c r="D565" s="160" t="s">
        <v>1098</v>
      </c>
      <c r="H565" t="s">
        <v>1758</v>
      </c>
    </row>
    <row r="566" spans="1:8" ht="15">
      <c r="A566" t="s">
        <v>1258</v>
      </c>
      <c r="B566" t="s">
        <v>1131</v>
      </c>
      <c r="C566" s="160" t="s">
        <v>1372</v>
      </c>
      <c r="D566" s="160" t="s">
        <v>1077</v>
      </c>
      <c r="H566" t="s">
        <v>1758</v>
      </c>
    </row>
    <row r="567" spans="1:8" ht="15">
      <c r="A567" t="s">
        <v>1258</v>
      </c>
      <c r="B567" t="s">
        <v>1132</v>
      </c>
      <c r="C567" s="160" t="s">
        <v>1373</v>
      </c>
      <c r="D567" s="160" t="s">
        <v>1082</v>
      </c>
      <c r="H567" t="s">
        <v>1758</v>
      </c>
    </row>
    <row r="568" spans="1:8" ht="15">
      <c r="A568" t="s">
        <v>1258</v>
      </c>
      <c r="B568" t="s">
        <v>1374</v>
      </c>
      <c r="C568" s="160" t="s">
        <v>1375</v>
      </c>
      <c r="D568" s="160" t="s">
        <v>1101</v>
      </c>
      <c r="H568" t="s">
        <v>1758</v>
      </c>
    </row>
    <row r="569" spans="1:8" ht="15">
      <c r="A569" t="s">
        <v>1258</v>
      </c>
      <c r="B569" t="s">
        <v>1376</v>
      </c>
      <c r="C569" s="160" t="s">
        <v>1377</v>
      </c>
      <c r="D569" s="160" t="s">
        <v>271</v>
      </c>
      <c r="H569" t="s">
        <v>1758</v>
      </c>
    </row>
    <row r="570" spans="1:8" ht="15">
      <c r="A570" t="s">
        <v>1258</v>
      </c>
      <c r="B570" t="s">
        <v>1378</v>
      </c>
      <c r="C570" s="160" t="s">
        <v>1379</v>
      </c>
      <c r="D570" s="160" t="s">
        <v>1102</v>
      </c>
      <c r="H570" t="s">
        <v>1758</v>
      </c>
    </row>
    <row r="571" spans="1:8" ht="15">
      <c r="A571" t="s">
        <v>1258</v>
      </c>
      <c r="B571" t="s">
        <v>1380</v>
      </c>
      <c r="C571" s="160" t="s">
        <v>1381</v>
      </c>
      <c r="D571" s="160" t="s">
        <v>1101</v>
      </c>
      <c r="H571" t="s">
        <v>1758</v>
      </c>
    </row>
    <row r="572" spans="1:8" ht="15">
      <c r="A572" t="s">
        <v>1258</v>
      </c>
      <c r="B572" t="s">
        <v>1382</v>
      </c>
      <c r="C572" s="160" t="s">
        <v>1383</v>
      </c>
      <c r="D572" s="160" t="s">
        <v>271</v>
      </c>
      <c r="H572" t="s">
        <v>1758</v>
      </c>
    </row>
    <row r="573" spans="1:8" ht="15">
      <c r="A573" t="s">
        <v>1258</v>
      </c>
      <c r="B573" t="s">
        <v>1384</v>
      </c>
      <c r="C573" s="160" t="s">
        <v>1385</v>
      </c>
      <c r="D573" s="160" t="s">
        <v>1102</v>
      </c>
      <c r="H573" t="s">
        <v>1758</v>
      </c>
    </row>
    <row r="574" spans="1:8" ht="15">
      <c r="A574" t="s">
        <v>1258</v>
      </c>
      <c r="B574" t="s">
        <v>1386</v>
      </c>
      <c r="C574" s="160" t="s">
        <v>1387</v>
      </c>
      <c r="D574" s="160" t="s">
        <v>1101</v>
      </c>
      <c r="H574" t="s">
        <v>1758</v>
      </c>
    </row>
    <row r="575" spans="1:8" ht="15">
      <c r="A575" t="s">
        <v>1258</v>
      </c>
      <c r="B575" t="s">
        <v>1388</v>
      </c>
      <c r="C575" s="160" t="s">
        <v>1389</v>
      </c>
      <c r="D575" s="160" t="s">
        <v>271</v>
      </c>
      <c r="H575" t="s">
        <v>1758</v>
      </c>
    </row>
    <row r="576" spans="1:8" ht="15">
      <c r="A576" t="s">
        <v>1258</v>
      </c>
      <c r="B576" t="s">
        <v>1390</v>
      </c>
      <c r="C576" s="160" t="s">
        <v>1391</v>
      </c>
      <c r="D576" s="160" t="s">
        <v>1102</v>
      </c>
      <c r="H576" t="s">
        <v>1758</v>
      </c>
    </row>
    <row r="577" spans="1:8" ht="15">
      <c r="A577" t="s">
        <v>1258</v>
      </c>
      <c r="B577" t="s">
        <v>1392</v>
      </c>
      <c r="C577" s="160" t="s">
        <v>1393</v>
      </c>
      <c r="D577" s="160" t="s">
        <v>1101</v>
      </c>
      <c r="H577" t="s">
        <v>1758</v>
      </c>
    </row>
    <row r="578" spans="1:8" ht="15">
      <c r="A578" t="s">
        <v>1258</v>
      </c>
      <c r="B578" t="s">
        <v>1394</v>
      </c>
      <c r="C578" s="160" t="s">
        <v>1395</v>
      </c>
      <c r="D578" s="160" t="s">
        <v>271</v>
      </c>
      <c r="H578" t="s">
        <v>1758</v>
      </c>
    </row>
    <row r="579" spans="1:8" ht="15">
      <c r="A579" t="s">
        <v>1258</v>
      </c>
      <c r="B579" t="s">
        <v>1396</v>
      </c>
      <c r="C579" s="160" t="s">
        <v>1397</v>
      </c>
      <c r="D579" s="160" t="s">
        <v>1102</v>
      </c>
      <c r="H579" t="s">
        <v>1758</v>
      </c>
    </row>
    <row r="580" spans="1:8" ht="15">
      <c r="A580" t="s">
        <v>1258</v>
      </c>
      <c r="B580" t="s">
        <v>1398</v>
      </c>
      <c r="C580" s="160" t="s">
        <v>1399</v>
      </c>
      <c r="D580" s="160" t="s">
        <v>1069</v>
      </c>
      <c r="H580" t="s">
        <v>1758</v>
      </c>
    </row>
    <row r="581" spans="1:8" ht="15">
      <c r="A581" t="s">
        <v>1258</v>
      </c>
      <c r="B581" t="s">
        <v>1134</v>
      </c>
      <c r="C581" s="160" t="s">
        <v>1400</v>
      </c>
      <c r="D581" s="160" t="s">
        <v>1136</v>
      </c>
      <c r="H581" t="s">
        <v>1758</v>
      </c>
    </row>
    <row r="582" spans="1:8" ht="15">
      <c r="A582" t="s">
        <v>1258</v>
      </c>
      <c r="B582" t="s">
        <v>1135</v>
      </c>
      <c r="C582" s="160" t="s">
        <v>1401</v>
      </c>
      <c r="D582" s="160" t="s">
        <v>1138</v>
      </c>
      <c r="H582" t="s">
        <v>1758</v>
      </c>
    </row>
    <row r="583" spans="1:8" ht="15">
      <c r="A583" t="s">
        <v>1258</v>
      </c>
      <c r="B583" t="s">
        <v>1137</v>
      </c>
      <c r="C583" s="160" t="s">
        <v>1402</v>
      </c>
      <c r="D583" s="160" t="s">
        <v>1140</v>
      </c>
      <c r="H583" t="s">
        <v>1758</v>
      </c>
    </row>
    <row r="584" spans="1:8" ht="15">
      <c r="A584" t="s">
        <v>1258</v>
      </c>
      <c r="B584" t="s">
        <v>1139</v>
      </c>
      <c r="C584" s="160" t="s">
        <v>1403</v>
      </c>
      <c r="D584" s="160" t="s">
        <v>1071</v>
      </c>
      <c r="H584" t="s">
        <v>1758</v>
      </c>
    </row>
    <row r="585" spans="1:8" ht="15">
      <c r="A585" t="s">
        <v>1258</v>
      </c>
      <c r="B585" t="s">
        <v>1141</v>
      </c>
      <c r="C585" s="160" t="s">
        <v>1404</v>
      </c>
      <c r="D585" s="160" t="s">
        <v>1143</v>
      </c>
      <c r="H585" t="s">
        <v>1758</v>
      </c>
    </row>
    <row r="586" spans="1:8" ht="15">
      <c r="A586" t="s">
        <v>1258</v>
      </c>
      <c r="B586" t="s">
        <v>1142</v>
      </c>
      <c r="C586" s="160" t="s">
        <v>1405</v>
      </c>
      <c r="D586" s="160" t="s">
        <v>1145</v>
      </c>
      <c r="H586" t="s">
        <v>1758</v>
      </c>
    </row>
    <row r="587" spans="1:8" ht="15">
      <c r="A587" t="s">
        <v>1258</v>
      </c>
      <c r="B587" t="s">
        <v>1144</v>
      </c>
      <c r="C587" s="160" t="s">
        <v>1406</v>
      </c>
      <c r="D587" s="160" t="s">
        <v>1147</v>
      </c>
      <c r="H587" t="s">
        <v>1758</v>
      </c>
    </row>
    <row r="588" spans="1:8" ht="15">
      <c r="A588" t="s">
        <v>1258</v>
      </c>
      <c r="B588" t="s">
        <v>1146</v>
      </c>
      <c r="C588" s="160" t="s">
        <v>1407</v>
      </c>
      <c r="D588" s="160" t="s">
        <v>1149</v>
      </c>
      <c r="H588" t="s">
        <v>1758</v>
      </c>
    </row>
    <row r="589" spans="1:8" ht="15">
      <c r="A589" t="s">
        <v>1258</v>
      </c>
      <c r="B589" t="s">
        <v>1408</v>
      </c>
      <c r="C589" s="160" t="s">
        <v>1409</v>
      </c>
      <c r="D589" s="160" t="s">
        <v>1077</v>
      </c>
      <c r="H589" t="s">
        <v>1758</v>
      </c>
    </row>
    <row r="590" spans="1:8" ht="15">
      <c r="A590" t="s">
        <v>1258</v>
      </c>
      <c r="B590" t="s">
        <v>1150</v>
      </c>
      <c r="C590" s="160" t="s">
        <v>1410</v>
      </c>
      <c r="D590" s="160" t="s">
        <v>1079</v>
      </c>
      <c r="H590" t="s">
        <v>1758</v>
      </c>
    </row>
    <row r="591" spans="1:8" ht="15">
      <c r="A591" t="s">
        <v>1258</v>
      </c>
      <c r="B591" t="s">
        <v>1151</v>
      </c>
      <c r="C591" s="160" t="s">
        <v>1411</v>
      </c>
      <c r="D591" s="160" t="s">
        <v>1077</v>
      </c>
      <c r="H591" t="s">
        <v>1758</v>
      </c>
    </row>
    <row r="592" spans="1:8" ht="15">
      <c r="A592" t="s">
        <v>1258</v>
      </c>
      <c r="B592" t="s">
        <v>1152</v>
      </c>
      <c r="C592" s="160" t="s">
        <v>1412</v>
      </c>
      <c r="D592" s="160" t="s">
        <v>1082</v>
      </c>
      <c r="H592" t="s">
        <v>1758</v>
      </c>
    </row>
    <row r="593" spans="1:8" ht="15">
      <c r="A593" t="s">
        <v>1258</v>
      </c>
      <c r="B593" t="s">
        <v>1413</v>
      </c>
      <c r="C593" s="160" t="s">
        <v>1414</v>
      </c>
      <c r="D593" s="160" t="s">
        <v>1077</v>
      </c>
      <c r="H593" t="s">
        <v>1758</v>
      </c>
    </row>
    <row r="594" spans="1:8" ht="15">
      <c r="A594" t="s">
        <v>1258</v>
      </c>
      <c r="B594" t="s">
        <v>1154</v>
      </c>
      <c r="C594" s="160" t="s">
        <v>1415</v>
      </c>
      <c r="D594" s="160" t="s">
        <v>1086</v>
      </c>
      <c r="H594" t="s">
        <v>1758</v>
      </c>
    </row>
    <row r="595" spans="1:8" ht="15">
      <c r="A595" t="s">
        <v>1258</v>
      </c>
      <c r="B595" t="s">
        <v>1155</v>
      </c>
      <c r="C595" s="160" t="s">
        <v>1416</v>
      </c>
      <c r="D595" s="160" t="s">
        <v>1077</v>
      </c>
      <c r="H595" t="s">
        <v>1758</v>
      </c>
    </row>
    <row r="596" spans="1:8" ht="15">
      <c r="A596" t="s">
        <v>1258</v>
      </c>
      <c r="B596" t="s">
        <v>1156</v>
      </c>
      <c r="C596" s="160" t="s">
        <v>1417</v>
      </c>
      <c r="D596" s="160" t="s">
        <v>1082</v>
      </c>
      <c r="H596" t="s">
        <v>1758</v>
      </c>
    </row>
    <row r="597" spans="1:8" ht="15">
      <c r="A597" t="s">
        <v>1258</v>
      </c>
      <c r="B597" t="s">
        <v>1418</v>
      </c>
      <c r="C597" s="160" t="s">
        <v>1419</v>
      </c>
      <c r="D597" s="160" t="s">
        <v>1077</v>
      </c>
      <c r="H597" t="s">
        <v>1758</v>
      </c>
    </row>
    <row r="598" spans="1:8" ht="15">
      <c r="A598" t="s">
        <v>1258</v>
      </c>
      <c r="B598" t="s">
        <v>1158</v>
      </c>
      <c r="C598" s="160" t="s">
        <v>1420</v>
      </c>
      <c r="D598" s="160" t="s">
        <v>1092</v>
      </c>
      <c r="H598" t="s">
        <v>1758</v>
      </c>
    </row>
    <row r="599" spans="1:8" ht="15">
      <c r="A599" t="s">
        <v>1258</v>
      </c>
      <c r="B599" t="s">
        <v>1159</v>
      </c>
      <c r="C599" s="160" t="s">
        <v>1421</v>
      </c>
      <c r="D599" s="160" t="s">
        <v>1077</v>
      </c>
      <c r="H599" t="s">
        <v>1758</v>
      </c>
    </row>
    <row r="600" spans="1:8" ht="15">
      <c r="A600" t="s">
        <v>1258</v>
      </c>
      <c r="B600" t="s">
        <v>1160</v>
      </c>
      <c r="C600" s="160" t="s">
        <v>1422</v>
      </c>
      <c r="D600" s="160" t="s">
        <v>1082</v>
      </c>
      <c r="H600" t="s">
        <v>1758</v>
      </c>
    </row>
    <row r="601" spans="1:8" ht="15">
      <c r="A601" t="s">
        <v>1258</v>
      </c>
      <c r="B601" t="s">
        <v>1423</v>
      </c>
      <c r="C601" s="160" t="s">
        <v>1424</v>
      </c>
      <c r="D601" s="160" t="s">
        <v>1077</v>
      </c>
      <c r="H601" t="s">
        <v>1758</v>
      </c>
    </row>
    <row r="602" spans="1:8" ht="15">
      <c r="A602" t="s">
        <v>1258</v>
      </c>
      <c r="B602" t="s">
        <v>1425</v>
      </c>
      <c r="C602" s="160" t="s">
        <v>1426</v>
      </c>
      <c r="D602" s="160" t="s">
        <v>1098</v>
      </c>
      <c r="H602" t="s">
        <v>1758</v>
      </c>
    </row>
    <row r="603" spans="1:8" ht="15">
      <c r="A603" t="s">
        <v>1258</v>
      </c>
      <c r="B603" t="s">
        <v>1427</v>
      </c>
      <c r="C603" s="160" t="s">
        <v>1428</v>
      </c>
      <c r="D603" s="160" t="s">
        <v>1077</v>
      </c>
      <c r="H603" t="s">
        <v>1758</v>
      </c>
    </row>
    <row r="604" spans="1:8" ht="15">
      <c r="A604" t="s">
        <v>1258</v>
      </c>
      <c r="B604" t="s">
        <v>1429</v>
      </c>
      <c r="C604" s="160" t="s">
        <v>1430</v>
      </c>
      <c r="D604" s="160" t="s">
        <v>1082</v>
      </c>
      <c r="H604" t="s">
        <v>1758</v>
      </c>
    </row>
    <row r="605" spans="1:8" ht="15">
      <c r="A605" t="s">
        <v>1258</v>
      </c>
      <c r="B605" t="s">
        <v>1431</v>
      </c>
      <c r="C605" s="160" t="s">
        <v>1432</v>
      </c>
      <c r="D605" s="160" t="s">
        <v>1101</v>
      </c>
      <c r="H605" t="s">
        <v>1758</v>
      </c>
    </row>
    <row r="606" spans="1:8" ht="15">
      <c r="A606" t="s">
        <v>1258</v>
      </c>
      <c r="B606" t="s">
        <v>1433</v>
      </c>
      <c r="C606" s="160" t="s">
        <v>1434</v>
      </c>
      <c r="D606" s="160" t="s">
        <v>271</v>
      </c>
      <c r="H606" t="s">
        <v>1758</v>
      </c>
    </row>
    <row r="607" spans="1:8" ht="15">
      <c r="A607" t="s">
        <v>1258</v>
      </c>
      <c r="B607" t="s">
        <v>1435</v>
      </c>
      <c r="C607" s="160" t="s">
        <v>1436</v>
      </c>
      <c r="D607" s="160" t="s">
        <v>1102</v>
      </c>
      <c r="H607" t="s">
        <v>1758</v>
      </c>
    </row>
    <row r="608" spans="1:8" ht="15">
      <c r="A608" t="s">
        <v>1258</v>
      </c>
      <c r="B608" t="s">
        <v>1437</v>
      </c>
      <c r="C608" s="160" t="s">
        <v>1438</v>
      </c>
      <c r="D608" s="160" t="s">
        <v>1101</v>
      </c>
      <c r="H608" t="s">
        <v>1758</v>
      </c>
    </row>
    <row r="609" spans="1:8" ht="15">
      <c r="A609" t="s">
        <v>1258</v>
      </c>
      <c r="B609" t="s">
        <v>1439</v>
      </c>
      <c r="C609" s="160" t="s">
        <v>1440</v>
      </c>
      <c r="D609" s="160" t="s">
        <v>271</v>
      </c>
      <c r="H609" t="s">
        <v>1758</v>
      </c>
    </row>
    <row r="610" spans="1:8" ht="15">
      <c r="A610" t="s">
        <v>1258</v>
      </c>
      <c r="B610" t="s">
        <v>1441</v>
      </c>
      <c r="C610" s="160" t="s">
        <v>1442</v>
      </c>
      <c r="D610" s="160" t="s">
        <v>1102</v>
      </c>
      <c r="H610" t="s">
        <v>1758</v>
      </c>
    </row>
    <row r="611" spans="1:8" ht="15">
      <c r="A611" t="s">
        <v>1258</v>
      </c>
      <c r="B611" t="s">
        <v>1443</v>
      </c>
      <c r="C611" s="160" t="s">
        <v>1444</v>
      </c>
      <c r="D611" s="160" t="s">
        <v>1101</v>
      </c>
      <c r="H611" t="s">
        <v>1758</v>
      </c>
    </row>
    <row r="612" spans="1:8" ht="15">
      <c r="A612" t="s">
        <v>1258</v>
      </c>
      <c r="B612" t="s">
        <v>1445</v>
      </c>
      <c r="C612" s="160" t="s">
        <v>1446</v>
      </c>
      <c r="D612" s="160" t="s">
        <v>271</v>
      </c>
      <c r="H612" t="s">
        <v>1758</v>
      </c>
    </row>
    <row r="613" spans="1:8" ht="15">
      <c r="A613" t="s">
        <v>1258</v>
      </c>
      <c r="B613" t="s">
        <v>1447</v>
      </c>
      <c r="C613" s="160" t="s">
        <v>1448</v>
      </c>
      <c r="D613" s="160" t="s">
        <v>1102</v>
      </c>
      <c r="H613" t="s">
        <v>1758</v>
      </c>
    </row>
    <row r="614" spans="1:8" ht="15">
      <c r="A614" t="s">
        <v>1258</v>
      </c>
      <c r="B614" t="s">
        <v>1449</v>
      </c>
      <c r="C614" s="160" t="s">
        <v>1450</v>
      </c>
      <c r="D614" s="160" t="s">
        <v>1101</v>
      </c>
      <c r="H614" t="s">
        <v>1758</v>
      </c>
    </row>
    <row r="615" spans="1:8" ht="15">
      <c r="A615" t="s">
        <v>1258</v>
      </c>
      <c r="B615" t="s">
        <v>1451</v>
      </c>
      <c r="C615" s="160" t="s">
        <v>1452</v>
      </c>
      <c r="D615" s="160" t="s">
        <v>271</v>
      </c>
      <c r="H615" t="s">
        <v>1758</v>
      </c>
    </row>
    <row r="616" spans="1:8" ht="15">
      <c r="A616" t="s">
        <v>1258</v>
      </c>
      <c r="B616" t="s">
        <v>1453</v>
      </c>
      <c r="C616" s="160" t="s">
        <v>1454</v>
      </c>
      <c r="D616" s="160" t="s">
        <v>1102</v>
      </c>
      <c r="H616" t="s">
        <v>1758</v>
      </c>
    </row>
    <row r="617" spans="1:8" ht="15">
      <c r="A617" t="s">
        <v>1258</v>
      </c>
      <c r="B617" t="s">
        <v>1455</v>
      </c>
      <c r="C617" s="160" t="s">
        <v>1456</v>
      </c>
      <c r="D617" s="160" t="s">
        <v>1077</v>
      </c>
      <c r="H617" t="s">
        <v>1758</v>
      </c>
    </row>
    <row r="618" spans="1:8" ht="15">
      <c r="A618" t="s">
        <v>1258</v>
      </c>
      <c r="B618" t="s">
        <v>1457</v>
      </c>
      <c r="C618" s="160" t="s">
        <v>1353</v>
      </c>
      <c r="D618" s="160" t="s">
        <v>271</v>
      </c>
      <c r="H618" t="s">
        <v>1758</v>
      </c>
    </row>
    <row r="619" spans="1:8" ht="15">
      <c r="A619" t="s">
        <v>1258</v>
      </c>
      <c r="B619" t="s">
        <v>1458</v>
      </c>
      <c r="C619" s="160" t="s">
        <v>1399</v>
      </c>
      <c r="D619" s="160" t="s">
        <v>1069</v>
      </c>
      <c r="H619" t="s">
        <v>1758</v>
      </c>
    </row>
    <row r="620" spans="1:8" ht="15">
      <c r="A620" t="s">
        <v>1258</v>
      </c>
      <c r="B620" t="s">
        <v>1459</v>
      </c>
      <c r="C620" s="160" t="s">
        <v>1400</v>
      </c>
      <c r="D620" s="160" t="s">
        <v>1136</v>
      </c>
      <c r="H620" t="s">
        <v>1758</v>
      </c>
    </row>
    <row r="621" spans="1:8" ht="15">
      <c r="A621" t="s">
        <v>1258</v>
      </c>
      <c r="B621" t="s">
        <v>1460</v>
      </c>
      <c r="C621" s="160" t="s">
        <v>1401</v>
      </c>
      <c r="D621" s="160" t="s">
        <v>1138</v>
      </c>
      <c r="H621" t="s">
        <v>1758</v>
      </c>
    </row>
    <row r="622" spans="1:8" ht="15">
      <c r="A622" t="s">
        <v>1258</v>
      </c>
      <c r="B622" t="s">
        <v>1461</v>
      </c>
      <c r="C622" s="160" t="s">
        <v>1402</v>
      </c>
      <c r="D622" s="160" t="s">
        <v>1140</v>
      </c>
      <c r="H622" t="s">
        <v>1758</v>
      </c>
    </row>
    <row r="623" spans="1:8" ht="15">
      <c r="A623" t="s">
        <v>1258</v>
      </c>
      <c r="B623" t="s">
        <v>1462</v>
      </c>
      <c r="C623" s="160" t="s">
        <v>1403</v>
      </c>
      <c r="D623" s="160" t="s">
        <v>1071</v>
      </c>
      <c r="H623" t="s">
        <v>1758</v>
      </c>
    </row>
    <row r="624" spans="1:8" ht="15">
      <c r="A624" t="s">
        <v>1258</v>
      </c>
      <c r="B624" t="s">
        <v>1463</v>
      </c>
      <c r="C624" s="160" t="s">
        <v>1404</v>
      </c>
      <c r="D624" s="160" t="s">
        <v>1143</v>
      </c>
      <c r="H624" t="s">
        <v>1758</v>
      </c>
    </row>
    <row r="625" spans="1:8" ht="15">
      <c r="A625" t="s">
        <v>1258</v>
      </c>
      <c r="B625" t="s">
        <v>1464</v>
      </c>
      <c r="C625" s="160" t="s">
        <v>1405</v>
      </c>
      <c r="D625" s="160" t="s">
        <v>1145</v>
      </c>
      <c r="H625" t="s">
        <v>1758</v>
      </c>
    </row>
    <row r="626" spans="1:8" ht="15">
      <c r="A626" t="s">
        <v>1258</v>
      </c>
      <c r="B626" t="s">
        <v>1465</v>
      </c>
      <c r="C626" s="160" t="s">
        <v>1406</v>
      </c>
      <c r="D626" s="160" t="s">
        <v>1147</v>
      </c>
      <c r="H626" t="s">
        <v>1758</v>
      </c>
    </row>
    <row r="627" spans="1:8" ht="15">
      <c r="A627" t="s">
        <v>1258</v>
      </c>
      <c r="B627" t="s">
        <v>1466</v>
      </c>
      <c r="C627" s="160" t="s">
        <v>1407</v>
      </c>
      <c r="D627" s="160" t="s">
        <v>1149</v>
      </c>
      <c r="H627" t="s">
        <v>1758</v>
      </c>
    </row>
    <row r="628" spans="1:8" ht="15">
      <c r="A628" t="s">
        <v>1258</v>
      </c>
      <c r="B628" t="s">
        <v>1467</v>
      </c>
      <c r="C628" s="160" t="s">
        <v>1468</v>
      </c>
      <c r="D628" s="160" t="s">
        <v>1077</v>
      </c>
      <c r="H628" t="s">
        <v>1758</v>
      </c>
    </row>
    <row r="629" spans="1:8" ht="15">
      <c r="A629" t="s">
        <v>1258</v>
      </c>
      <c r="B629" t="s">
        <v>1469</v>
      </c>
      <c r="C629" s="160" t="s">
        <v>1470</v>
      </c>
      <c r="D629" s="160" t="s">
        <v>1079</v>
      </c>
      <c r="H629" t="s">
        <v>1758</v>
      </c>
    </row>
    <row r="630" spans="1:8" ht="15">
      <c r="A630" t="s">
        <v>1258</v>
      </c>
      <c r="B630" t="s">
        <v>1471</v>
      </c>
      <c r="C630" s="160" t="s">
        <v>1472</v>
      </c>
      <c r="D630" s="160" t="s">
        <v>1077</v>
      </c>
      <c r="H630" t="s">
        <v>1758</v>
      </c>
    </row>
    <row r="631" spans="1:8" ht="15">
      <c r="A631" t="s">
        <v>1258</v>
      </c>
      <c r="B631" t="s">
        <v>1473</v>
      </c>
      <c r="C631" s="160" t="s">
        <v>1474</v>
      </c>
      <c r="D631" s="160" t="s">
        <v>1082</v>
      </c>
      <c r="H631" t="s">
        <v>1758</v>
      </c>
    </row>
    <row r="632" spans="1:8" ht="15">
      <c r="A632" t="s">
        <v>1258</v>
      </c>
      <c r="B632" t="s">
        <v>1475</v>
      </c>
      <c r="C632" s="160" t="s">
        <v>1476</v>
      </c>
      <c r="D632" s="160" t="s">
        <v>1077</v>
      </c>
      <c r="H632" t="s">
        <v>1758</v>
      </c>
    </row>
    <row r="633" spans="1:8" ht="15">
      <c r="A633" t="s">
        <v>1258</v>
      </c>
      <c r="B633" t="s">
        <v>1162</v>
      </c>
      <c r="C633" s="160" t="s">
        <v>1477</v>
      </c>
      <c r="D633" s="160" t="s">
        <v>1086</v>
      </c>
      <c r="H633" t="s">
        <v>1758</v>
      </c>
    </row>
    <row r="634" spans="1:8" ht="15">
      <c r="A634" t="s">
        <v>1258</v>
      </c>
      <c r="B634" t="s">
        <v>1163</v>
      </c>
      <c r="C634" s="160" t="s">
        <v>1478</v>
      </c>
      <c r="D634" s="160" t="s">
        <v>1077</v>
      </c>
      <c r="H634" t="s">
        <v>1758</v>
      </c>
    </row>
    <row r="635" spans="1:8" ht="15">
      <c r="A635" t="s">
        <v>1258</v>
      </c>
      <c r="B635" t="s">
        <v>1164</v>
      </c>
      <c r="C635" s="160" t="s">
        <v>1479</v>
      </c>
      <c r="D635" s="160" t="s">
        <v>1082</v>
      </c>
      <c r="H635" t="s">
        <v>1758</v>
      </c>
    </row>
    <row r="636" spans="1:8" ht="15">
      <c r="A636" t="s">
        <v>1258</v>
      </c>
      <c r="B636" t="s">
        <v>1480</v>
      </c>
      <c r="C636" s="160" t="s">
        <v>1481</v>
      </c>
      <c r="D636" s="160" t="s">
        <v>1077</v>
      </c>
      <c r="H636" t="s">
        <v>1758</v>
      </c>
    </row>
    <row r="637" spans="1:8" ht="15">
      <c r="A637" t="s">
        <v>1258</v>
      </c>
      <c r="B637" t="s">
        <v>1165</v>
      </c>
      <c r="C637" s="160" t="s">
        <v>1482</v>
      </c>
      <c r="D637" s="160" t="s">
        <v>1092</v>
      </c>
      <c r="H637" t="s">
        <v>1758</v>
      </c>
    </row>
    <row r="638" spans="1:8" ht="15">
      <c r="A638" t="s">
        <v>1258</v>
      </c>
      <c r="B638" t="s">
        <v>1166</v>
      </c>
      <c r="C638" s="160" t="s">
        <v>1483</v>
      </c>
      <c r="D638" s="160" t="s">
        <v>1077</v>
      </c>
      <c r="H638" t="s">
        <v>1758</v>
      </c>
    </row>
    <row r="639" spans="1:8" ht="15">
      <c r="A639" t="s">
        <v>1258</v>
      </c>
      <c r="B639" t="s">
        <v>1167</v>
      </c>
      <c r="C639" s="160" t="s">
        <v>1484</v>
      </c>
      <c r="D639" s="160" t="s">
        <v>1082</v>
      </c>
      <c r="H639" t="s">
        <v>1758</v>
      </c>
    </row>
    <row r="640" spans="1:8" ht="15">
      <c r="A640" t="s">
        <v>1258</v>
      </c>
      <c r="B640" t="s">
        <v>1485</v>
      </c>
      <c r="C640" s="160" t="s">
        <v>1486</v>
      </c>
      <c r="D640" s="160" t="s">
        <v>1077</v>
      </c>
      <c r="H640" t="s">
        <v>1758</v>
      </c>
    </row>
    <row r="641" spans="1:8" ht="15">
      <c r="A641" t="s">
        <v>1258</v>
      </c>
      <c r="B641" t="s">
        <v>1169</v>
      </c>
      <c r="C641" s="160" t="s">
        <v>1487</v>
      </c>
      <c r="D641" s="160" t="s">
        <v>1098</v>
      </c>
      <c r="H641" t="s">
        <v>1758</v>
      </c>
    </row>
    <row r="642" spans="1:8" ht="15">
      <c r="A642" t="s">
        <v>1258</v>
      </c>
      <c r="B642" t="s">
        <v>1170</v>
      </c>
      <c r="C642" s="160" t="s">
        <v>1488</v>
      </c>
      <c r="D642" s="160" t="s">
        <v>1077</v>
      </c>
      <c r="H642" t="s">
        <v>1758</v>
      </c>
    </row>
    <row r="643" spans="1:8" ht="15">
      <c r="A643" t="s">
        <v>1258</v>
      </c>
      <c r="B643" t="s">
        <v>1171</v>
      </c>
      <c r="C643" s="160" t="s">
        <v>1489</v>
      </c>
      <c r="D643" s="160" t="s">
        <v>1082</v>
      </c>
      <c r="H643" t="s">
        <v>1758</v>
      </c>
    </row>
    <row r="644" spans="1:8" ht="15">
      <c r="A644" t="s">
        <v>1258</v>
      </c>
      <c r="B644" t="s">
        <v>1490</v>
      </c>
      <c r="C644" s="160" t="s">
        <v>1491</v>
      </c>
      <c r="D644" s="160" t="s">
        <v>1101</v>
      </c>
      <c r="H644" t="s">
        <v>1758</v>
      </c>
    </row>
    <row r="645" spans="1:8" ht="15">
      <c r="A645" t="s">
        <v>1258</v>
      </c>
      <c r="B645" t="s">
        <v>1492</v>
      </c>
      <c r="C645" s="160" t="s">
        <v>1493</v>
      </c>
      <c r="D645" s="160" t="s">
        <v>271</v>
      </c>
      <c r="H645" t="s">
        <v>1758</v>
      </c>
    </row>
    <row r="646" spans="1:8" ht="15">
      <c r="A646" t="s">
        <v>1258</v>
      </c>
      <c r="B646" t="s">
        <v>1494</v>
      </c>
      <c r="C646" s="160" t="s">
        <v>1495</v>
      </c>
      <c r="D646" s="160" t="s">
        <v>1102</v>
      </c>
      <c r="H646" t="s">
        <v>1758</v>
      </c>
    </row>
    <row r="647" spans="1:8" ht="15">
      <c r="A647" t="s">
        <v>1258</v>
      </c>
      <c r="B647" t="s">
        <v>1496</v>
      </c>
      <c r="C647" s="160" t="s">
        <v>1497</v>
      </c>
      <c r="D647" s="160" t="s">
        <v>1101</v>
      </c>
      <c r="H647" t="s">
        <v>1758</v>
      </c>
    </row>
    <row r="648" spans="1:8" ht="15">
      <c r="A648" t="s">
        <v>1258</v>
      </c>
      <c r="B648" t="s">
        <v>1498</v>
      </c>
      <c r="C648" s="160" t="s">
        <v>1499</v>
      </c>
      <c r="D648" s="160" t="s">
        <v>271</v>
      </c>
      <c r="H648" t="s">
        <v>1758</v>
      </c>
    </row>
    <row r="649" spans="1:8" ht="15">
      <c r="A649" t="s">
        <v>1258</v>
      </c>
      <c r="B649" t="s">
        <v>1500</v>
      </c>
      <c r="C649" s="160" t="s">
        <v>1501</v>
      </c>
      <c r="D649" s="160" t="s">
        <v>1102</v>
      </c>
      <c r="H649" t="s">
        <v>1758</v>
      </c>
    </row>
    <row r="650" spans="1:8" ht="15">
      <c r="A650" t="s">
        <v>1258</v>
      </c>
      <c r="B650" t="s">
        <v>1502</v>
      </c>
      <c r="C650" s="160" t="s">
        <v>1503</v>
      </c>
      <c r="D650" s="160" t="s">
        <v>1101</v>
      </c>
      <c r="H650" t="s">
        <v>1758</v>
      </c>
    </row>
    <row r="651" spans="1:8" ht="15">
      <c r="A651" t="s">
        <v>1258</v>
      </c>
      <c r="B651" t="s">
        <v>1504</v>
      </c>
      <c r="C651" s="160" t="s">
        <v>1505</v>
      </c>
      <c r="D651" s="160" t="s">
        <v>271</v>
      </c>
      <c r="H651" t="s">
        <v>1758</v>
      </c>
    </row>
    <row r="652" spans="1:8" ht="15">
      <c r="A652" t="s">
        <v>1258</v>
      </c>
      <c r="B652" t="s">
        <v>1506</v>
      </c>
      <c r="C652" s="160" t="s">
        <v>1507</v>
      </c>
      <c r="D652" s="160" t="s">
        <v>1102</v>
      </c>
      <c r="H652" t="s">
        <v>1758</v>
      </c>
    </row>
    <row r="653" spans="1:8" ht="15">
      <c r="A653" t="s">
        <v>1258</v>
      </c>
      <c r="B653" t="s">
        <v>1508</v>
      </c>
      <c r="C653" s="160" t="s">
        <v>1509</v>
      </c>
      <c r="D653" s="160" t="s">
        <v>1101</v>
      </c>
      <c r="H653" t="s">
        <v>1758</v>
      </c>
    </row>
    <row r="654" spans="1:8" ht="15">
      <c r="A654" t="s">
        <v>1258</v>
      </c>
      <c r="B654" t="s">
        <v>1510</v>
      </c>
      <c r="C654" s="160" t="s">
        <v>1511</v>
      </c>
      <c r="D654" s="160" t="s">
        <v>271</v>
      </c>
      <c r="H654" t="s">
        <v>1758</v>
      </c>
    </row>
    <row r="655" spans="1:8" ht="15">
      <c r="A655" t="s">
        <v>1258</v>
      </c>
      <c r="B655" t="s">
        <v>1512</v>
      </c>
      <c r="C655" s="160" t="s">
        <v>1513</v>
      </c>
      <c r="D655" s="160" t="s">
        <v>1102</v>
      </c>
      <c r="H655" t="s">
        <v>1758</v>
      </c>
    </row>
    <row r="656" spans="1:8" ht="15">
      <c r="A656" t="s">
        <v>1258</v>
      </c>
      <c r="B656" t="s">
        <v>1514</v>
      </c>
      <c r="C656" s="160" t="s">
        <v>1515</v>
      </c>
      <c r="D656" s="160" t="s">
        <v>1077</v>
      </c>
      <c r="H656" t="s">
        <v>1758</v>
      </c>
    </row>
    <row r="657" spans="1:8" ht="15">
      <c r="A657" t="s">
        <v>1258</v>
      </c>
      <c r="B657" t="s">
        <v>1516</v>
      </c>
      <c r="C657" s="160" t="s">
        <v>1517</v>
      </c>
      <c r="D657" s="160" t="s">
        <v>1079</v>
      </c>
      <c r="H657" t="s">
        <v>1758</v>
      </c>
    </row>
    <row r="658" spans="1:8" ht="15">
      <c r="A658" t="s">
        <v>1258</v>
      </c>
      <c r="B658" t="s">
        <v>1518</v>
      </c>
      <c r="C658" s="160" t="s">
        <v>1519</v>
      </c>
      <c r="D658" s="160" t="s">
        <v>1077</v>
      </c>
      <c r="H658" t="s">
        <v>1758</v>
      </c>
    </row>
    <row r="659" spans="1:8" ht="15">
      <c r="A659" t="s">
        <v>1258</v>
      </c>
      <c r="B659" t="s">
        <v>1520</v>
      </c>
      <c r="C659" s="160" t="s">
        <v>1521</v>
      </c>
      <c r="D659" s="160" t="s">
        <v>1082</v>
      </c>
      <c r="H659" t="s">
        <v>1758</v>
      </c>
    </row>
    <row r="660" spans="1:8" ht="15">
      <c r="A660" t="s">
        <v>1258</v>
      </c>
      <c r="B660" t="s">
        <v>1522</v>
      </c>
      <c r="C660" s="160" t="s">
        <v>1523</v>
      </c>
      <c r="D660" s="160" t="s">
        <v>1077</v>
      </c>
      <c r="H660" t="s">
        <v>1758</v>
      </c>
    </row>
    <row r="661" spans="1:8" ht="15">
      <c r="A661" t="s">
        <v>1258</v>
      </c>
      <c r="B661" t="s">
        <v>1173</v>
      </c>
      <c r="C661" s="160" t="s">
        <v>1524</v>
      </c>
      <c r="D661" s="160" t="s">
        <v>1086</v>
      </c>
      <c r="H661" t="s">
        <v>1758</v>
      </c>
    </row>
    <row r="662" spans="1:8" ht="15">
      <c r="A662" t="s">
        <v>1258</v>
      </c>
      <c r="B662" t="s">
        <v>1174</v>
      </c>
      <c r="C662" s="160" t="s">
        <v>1525</v>
      </c>
      <c r="D662" s="160" t="s">
        <v>1077</v>
      </c>
      <c r="H662" t="s">
        <v>1758</v>
      </c>
    </row>
    <row r="663" spans="1:8" ht="15">
      <c r="A663" t="s">
        <v>1258</v>
      </c>
      <c r="B663" t="s">
        <v>1175</v>
      </c>
      <c r="C663" s="160" t="s">
        <v>1526</v>
      </c>
      <c r="D663" s="160" t="s">
        <v>1082</v>
      </c>
      <c r="H663" t="s">
        <v>1758</v>
      </c>
    </row>
    <row r="664" spans="1:8" ht="15">
      <c r="A664" t="s">
        <v>1258</v>
      </c>
      <c r="B664" t="s">
        <v>1527</v>
      </c>
      <c r="C664" s="160" t="s">
        <v>1528</v>
      </c>
      <c r="D664" s="160" t="s">
        <v>1077</v>
      </c>
      <c r="H664" t="s">
        <v>1758</v>
      </c>
    </row>
    <row r="665" spans="1:8" ht="15">
      <c r="A665" t="s">
        <v>1258</v>
      </c>
      <c r="B665" t="s">
        <v>1177</v>
      </c>
      <c r="C665" s="160" t="s">
        <v>1529</v>
      </c>
      <c r="D665" s="160" t="s">
        <v>1092</v>
      </c>
      <c r="H665" t="s">
        <v>1758</v>
      </c>
    </row>
    <row r="666" spans="1:8" ht="15">
      <c r="A666" t="s">
        <v>1258</v>
      </c>
      <c r="B666" t="s">
        <v>1178</v>
      </c>
      <c r="C666" s="160" t="s">
        <v>1530</v>
      </c>
      <c r="D666" s="160" t="s">
        <v>1077</v>
      </c>
      <c r="H666" t="s">
        <v>1758</v>
      </c>
    </row>
    <row r="667" spans="1:8" ht="15">
      <c r="A667" t="s">
        <v>1258</v>
      </c>
      <c r="B667" t="s">
        <v>1179</v>
      </c>
      <c r="C667" s="160" t="s">
        <v>1531</v>
      </c>
      <c r="D667" s="160" t="s">
        <v>1082</v>
      </c>
      <c r="H667" t="s">
        <v>1758</v>
      </c>
    </row>
    <row r="668" spans="1:8" ht="15">
      <c r="A668" t="s">
        <v>1258</v>
      </c>
      <c r="B668" t="s">
        <v>1532</v>
      </c>
      <c r="C668" s="160" t="s">
        <v>1533</v>
      </c>
      <c r="D668" s="160" t="s">
        <v>1077</v>
      </c>
      <c r="H668" t="s">
        <v>1758</v>
      </c>
    </row>
    <row r="669" spans="1:8" ht="15">
      <c r="A669" t="s">
        <v>1258</v>
      </c>
      <c r="B669" t="s">
        <v>1181</v>
      </c>
      <c r="C669" s="160" t="s">
        <v>1534</v>
      </c>
      <c r="D669" s="160" t="s">
        <v>1098</v>
      </c>
      <c r="H669" t="s">
        <v>1758</v>
      </c>
    </row>
    <row r="670" spans="1:8" ht="15">
      <c r="A670" t="s">
        <v>1258</v>
      </c>
      <c r="B670" t="s">
        <v>1182</v>
      </c>
      <c r="C670" s="160" t="s">
        <v>1535</v>
      </c>
      <c r="D670" s="160" t="s">
        <v>1077</v>
      </c>
      <c r="H670" t="s">
        <v>1758</v>
      </c>
    </row>
    <row r="671" spans="1:8" ht="15">
      <c r="A671" t="s">
        <v>1258</v>
      </c>
      <c r="B671" t="s">
        <v>1183</v>
      </c>
      <c r="C671" s="160" t="s">
        <v>1536</v>
      </c>
      <c r="D671" s="160" t="s">
        <v>1082</v>
      </c>
      <c r="H671" t="s">
        <v>1758</v>
      </c>
    </row>
    <row r="672" spans="1:8" ht="15">
      <c r="A672" t="s">
        <v>1258</v>
      </c>
      <c r="B672" t="s">
        <v>1537</v>
      </c>
      <c r="C672" s="160" t="s">
        <v>1538</v>
      </c>
      <c r="D672" s="160" t="s">
        <v>1101</v>
      </c>
      <c r="H672" t="s">
        <v>1758</v>
      </c>
    </row>
    <row r="673" spans="1:8" ht="15">
      <c r="A673" t="s">
        <v>1258</v>
      </c>
      <c r="B673" t="s">
        <v>258</v>
      </c>
      <c r="C673" s="160" t="s">
        <v>1539</v>
      </c>
      <c r="D673" s="160" t="s">
        <v>1185</v>
      </c>
      <c r="H673" t="s">
        <v>1758</v>
      </c>
    </row>
    <row r="674" spans="1:8" ht="15">
      <c r="A674" t="s">
        <v>1258</v>
      </c>
      <c r="B674" t="s">
        <v>1540</v>
      </c>
      <c r="C674" s="160" t="s">
        <v>1541</v>
      </c>
      <c r="D674" s="160" t="s">
        <v>1102</v>
      </c>
      <c r="H674" t="s">
        <v>1758</v>
      </c>
    </row>
    <row r="675" spans="1:8" ht="15">
      <c r="A675" t="s">
        <v>1258</v>
      </c>
      <c r="B675" t="s">
        <v>1542</v>
      </c>
      <c r="C675" s="160" t="s">
        <v>1543</v>
      </c>
      <c r="D675" s="160" t="s">
        <v>1101</v>
      </c>
      <c r="H675" t="s">
        <v>1758</v>
      </c>
    </row>
    <row r="676" spans="1:8" ht="15">
      <c r="A676" t="s">
        <v>1258</v>
      </c>
      <c r="B676" t="s">
        <v>1544</v>
      </c>
      <c r="C676" s="160" t="s">
        <v>1545</v>
      </c>
      <c r="D676" s="160" t="s">
        <v>1185</v>
      </c>
      <c r="H676" t="s">
        <v>1758</v>
      </c>
    </row>
    <row r="677" spans="1:8" ht="15">
      <c r="A677" t="s">
        <v>1258</v>
      </c>
      <c r="B677" t="s">
        <v>1546</v>
      </c>
      <c r="C677" s="160" t="s">
        <v>1547</v>
      </c>
      <c r="D677" s="160" t="s">
        <v>1102</v>
      </c>
      <c r="H677" t="s">
        <v>1758</v>
      </c>
    </row>
    <row r="678" spans="1:8" ht="15">
      <c r="A678" t="s">
        <v>1258</v>
      </c>
      <c r="B678" t="s">
        <v>1548</v>
      </c>
      <c r="C678" s="160" t="s">
        <v>1549</v>
      </c>
      <c r="D678" s="160" t="s">
        <v>1101</v>
      </c>
      <c r="H678" t="s">
        <v>1758</v>
      </c>
    </row>
    <row r="679" spans="1:8" ht="15">
      <c r="A679" t="s">
        <v>1258</v>
      </c>
      <c r="B679" t="s">
        <v>1550</v>
      </c>
      <c r="C679" s="160" t="s">
        <v>1551</v>
      </c>
      <c r="D679" s="160" t="s">
        <v>1185</v>
      </c>
      <c r="H679" t="s">
        <v>1758</v>
      </c>
    </row>
    <row r="680" spans="1:8" ht="15">
      <c r="A680" t="s">
        <v>1258</v>
      </c>
      <c r="B680" t="s">
        <v>1552</v>
      </c>
      <c r="C680" s="160" t="s">
        <v>1553</v>
      </c>
      <c r="D680" s="160" t="s">
        <v>1102</v>
      </c>
      <c r="H680" t="s">
        <v>1758</v>
      </c>
    </row>
    <row r="681" spans="1:8" ht="15">
      <c r="A681" t="s">
        <v>1258</v>
      </c>
      <c r="B681" t="s">
        <v>1554</v>
      </c>
      <c r="C681" s="160" t="s">
        <v>1555</v>
      </c>
      <c r="D681" s="160" t="s">
        <v>1101</v>
      </c>
      <c r="H681" t="s">
        <v>1758</v>
      </c>
    </row>
    <row r="682" spans="1:8" ht="15">
      <c r="A682" t="s">
        <v>1258</v>
      </c>
      <c r="B682" t="s">
        <v>1556</v>
      </c>
      <c r="C682" s="160" t="s">
        <v>1557</v>
      </c>
      <c r="D682" s="160" t="s">
        <v>1185</v>
      </c>
      <c r="H682" t="s">
        <v>1758</v>
      </c>
    </row>
    <row r="683" spans="1:8" ht="15">
      <c r="A683" t="s">
        <v>1258</v>
      </c>
      <c r="B683" t="s">
        <v>1558</v>
      </c>
      <c r="C683" s="160" t="s">
        <v>1559</v>
      </c>
      <c r="D683" s="160" t="s">
        <v>1102</v>
      </c>
      <c r="H683" t="s">
        <v>1758</v>
      </c>
    </row>
    <row r="684" spans="1:8" ht="15">
      <c r="A684" t="s">
        <v>1258</v>
      </c>
      <c r="B684" t="s">
        <v>1560</v>
      </c>
      <c r="C684" s="160" t="s">
        <v>1350</v>
      </c>
      <c r="D684" s="160" t="s">
        <v>271</v>
      </c>
      <c r="H684" t="s">
        <v>1758</v>
      </c>
    </row>
    <row r="685" spans="1:8" ht="15">
      <c r="A685" t="s">
        <v>1258</v>
      </c>
      <c r="B685" t="s">
        <v>1561</v>
      </c>
      <c r="C685" s="160" t="s">
        <v>1399</v>
      </c>
      <c r="D685" s="160" t="s">
        <v>1069</v>
      </c>
      <c r="H685" t="s">
        <v>1758</v>
      </c>
    </row>
    <row r="686" spans="1:8" ht="15">
      <c r="A686" t="s">
        <v>1258</v>
      </c>
      <c r="B686" t="s">
        <v>1562</v>
      </c>
      <c r="C686" s="160" t="s">
        <v>1400</v>
      </c>
      <c r="D686" s="160" t="s">
        <v>1136</v>
      </c>
      <c r="H686" t="s">
        <v>1758</v>
      </c>
    </row>
    <row r="687" spans="1:8" ht="15">
      <c r="A687" t="s">
        <v>1258</v>
      </c>
      <c r="B687" t="s">
        <v>1563</v>
      </c>
      <c r="C687" s="160" t="s">
        <v>1401</v>
      </c>
      <c r="D687" s="160" t="s">
        <v>1138</v>
      </c>
      <c r="H687" t="s">
        <v>1758</v>
      </c>
    </row>
    <row r="688" spans="1:8" ht="15">
      <c r="A688" t="s">
        <v>1258</v>
      </c>
      <c r="B688" t="s">
        <v>1564</v>
      </c>
      <c r="C688" s="160" t="s">
        <v>1402</v>
      </c>
      <c r="D688" s="160" t="s">
        <v>1140</v>
      </c>
      <c r="H688" t="s">
        <v>1758</v>
      </c>
    </row>
    <row r="689" spans="1:8" ht="15">
      <c r="A689" t="s">
        <v>1258</v>
      </c>
      <c r="B689" t="s">
        <v>1565</v>
      </c>
      <c r="C689" s="160" t="s">
        <v>1403</v>
      </c>
      <c r="D689" s="160" t="s">
        <v>1071</v>
      </c>
      <c r="H689" t="s">
        <v>1758</v>
      </c>
    </row>
    <row r="690" spans="1:8" ht="15">
      <c r="A690" t="s">
        <v>1258</v>
      </c>
      <c r="B690" t="s">
        <v>1566</v>
      </c>
      <c r="C690" s="160" t="s">
        <v>1404</v>
      </c>
      <c r="D690" s="160" t="s">
        <v>1143</v>
      </c>
      <c r="H690" t="s">
        <v>1758</v>
      </c>
    </row>
    <row r="691" spans="1:8" ht="15">
      <c r="A691" t="s">
        <v>1258</v>
      </c>
      <c r="B691" t="s">
        <v>1567</v>
      </c>
      <c r="C691" s="160" t="s">
        <v>1405</v>
      </c>
      <c r="D691" s="160" t="s">
        <v>1145</v>
      </c>
      <c r="H691" t="s">
        <v>1758</v>
      </c>
    </row>
    <row r="692" spans="1:8" ht="15">
      <c r="A692" t="s">
        <v>1258</v>
      </c>
      <c r="B692" t="s">
        <v>1568</v>
      </c>
      <c r="C692" s="160" t="s">
        <v>1406</v>
      </c>
      <c r="D692" s="160" t="s">
        <v>1147</v>
      </c>
      <c r="H692" t="s">
        <v>1758</v>
      </c>
    </row>
    <row r="693" spans="1:8" ht="15">
      <c r="A693" t="s">
        <v>1258</v>
      </c>
      <c r="B693" t="s">
        <v>1569</v>
      </c>
      <c r="C693" s="160" t="s">
        <v>1407</v>
      </c>
      <c r="D693" s="160" t="s">
        <v>1149</v>
      </c>
      <c r="H693" t="s">
        <v>1758</v>
      </c>
    </row>
    <row r="694" spans="1:8" ht="15">
      <c r="A694" t="s">
        <v>1258</v>
      </c>
      <c r="B694" t="s">
        <v>1570</v>
      </c>
      <c r="C694" s="160" t="s">
        <v>1571</v>
      </c>
      <c r="D694" s="160" t="s">
        <v>1077</v>
      </c>
      <c r="H694" t="s">
        <v>1758</v>
      </c>
    </row>
    <row r="695" spans="1:8" ht="15">
      <c r="A695" t="s">
        <v>1258</v>
      </c>
      <c r="B695" t="s">
        <v>1572</v>
      </c>
      <c r="C695" s="160" t="s">
        <v>1573</v>
      </c>
      <c r="D695" s="160" t="s">
        <v>1079</v>
      </c>
      <c r="H695" t="s">
        <v>1758</v>
      </c>
    </row>
    <row r="696" spans="1:8" ht="15">
      <c r="A696" t="s">
        <v>1258</v>
      </c>
      <c r="B696" t="s">
        <v>1574</v>
      </c>
      <c r="C696" s="160" t="s">
        <v>1575</v>
      </c>
      <c r="D696" s="160" t="s">
        <v>1077</v>
      </c>
      <c r="H696" t="s">
        <v>1758</v>
      </c>
    </row>
    <row r="697" spans="1:8" ht="15">
      <c r="A697" t="s">
        <v>1258</v>
      </c>
      <c r="B697" t="s">
        <v>1576</v>
      </c>
      <c r="C697" s="160" t="s">
        <v>1577</v>
      </c>
      <c r="D697" s="160" t="s">
        <v>1082</v>
      </c>
      <c r="H697" t="s">
        <v>1758</v>
      </c>
    </row>
    <row r="698" spans="1:8" ht="15">
      <c r="A698" t="s">
        <v>1258</v>
      </c>
      <c r="B698" t="s">
        <v>1578</v>
      </c>
      <c r="C698" s="160" t="s">
        <v>1579</v>
      </c>
      <c r="D698" s="160" t="s">
        <v>1077</v>
      </c>
      <c r="H698" t="s">
        <v>1758</v>
      </c>
    </row>
    <row r="699" spans="1:8" ht="15">
      <c r="A699" t="s">
        <v>1258</v>
      </c>
      <c r="B699" t="s">
        <v>264</v>
      </c>
      <c r="C699" s="160" t="s">
        <v>1580</v>
      </c>
      <c r="D699" s="160" t="s">
        <v>1086</v>
      </c>
      <c r="H699" t="s">
        <v>1758</v>
      </c>
    </row>
    <row r="700" spans="1:8" ht="15">
      <c r="A700" t="s">
        <v>1258</v>
      </c>
      <c r="B700" t="s">
        <v>1186</v>
      </c>
      <c r="C700" s="160" t="s">
        <v>1581</v>
      </c>
      <c r="D700" s="160" t="s">
        <v>1077</v>
      </c>
      <c r="H700" t="s">
        <v>1758</v>
      </c>
    </row>
    <row r="701" spans="1:8" ht="15">
      <c r="A701" t="s">
        <v>1258</v>
      </c>
      <c r="B701" t="s">
        <v>1187</v>
      </c>
      <c r="C701" s="160" t="s">
        <v>1582</v>
      </c>
      <c r="D701" s="160" t="s">
        <v>1082</v>
      </c>
      <c r="H701" t="s">
        <v>1758</v>
      </c>
    </row>
    <row r="702" spans="1:8" ht="15">
      <c r="A702" t="s">
        <v>1258</v>
      </c>
      <c r="B702" t="s">
        <v>1583</v>
      </c>
      <c r="C702" s="160" t="s">
        <v>1584</v>
      </c>
      <c r="D702" s="160" t="s">
        <v>1077</v>
      </c>
      <c r="H702" t="s">
        <v>1758</v>
      </c>
    </row>
    <row r="703" spans="1:8" ht="15">
      <c r="A703" t="s">
        <v>1258</v>
      </c>
      <c r="B703" t="s">
        <v>1189</v>
      </c>
      <c r="C703" s="160" t="s">
        <v>1585</v>
      </c>
      <c r="D703" s="160" t="s">
        <v>1092</v>
      </c>
      <c r="H703" t="s">
        <v>1758</v>
      </c>
    </row>
    <row r="704" spans="1:8" ht="15">
      <c r="A704" t="s">
        <v>1258</v>
      </c>
      <c r="B704" t="s">
        <v>1190</v>
      </c>
      <c r="C704" s="160" t="s">
        <v>1586</v>
      </c>
      <c r="D704" s="160" t="s">
        <v>1077</v>
      </c>
      <c r="H704" t="s">
        <v>1758</v>
      </c>
    </row>
    <row r="705" spans="1:8" ht="15">
      <c r="A705" t="s">
        <v>1258</v>
      </c>
      <c r="B705" t="s">
        <v>1191</v>
      </c>
      <c r="C705" s="160" t="s">
        <v>1587</v>
      </c>
      <c r="D705" s="160" t="s">
        <v>1082</v>
      </c>
      <c r="H705" t="s">
        <v>1758</v>
      </c>
    </row>
    <row r="706" spans="1:8" ht="15">
      <c r="A706" t="s">
        <v>1258</v>
      </c>
      <c r="B706" t="s">
        <v>1588</v>
      </c>
      <c r="C706" s="160" t="s">
        <v>1589</v>
      </c>
      <c r="D706" s="160" t="s">
        <v>1077</v>
      </c>
      <c r="H706" t="s">
        <v>1758</v>
      </c>
    </row>
    <row r="707" spans="1:8" ht="15">
      <c r="A707" t="s">
        <v>1258</v>
      </c>
      <c r="B707" t="s">
        <v>1193</v>
      </c>
      <c r="C707" s="160" t="s">
        <v>1590</v>
      </c>
      <c r="D707" s="160" t="s">
        <v>1098</v>
      </c>
      <c r="H707" t="s">
        <v>1758</v>
      </c>
    </row>
    <row r="708" spans="1:8" ht="15">
      <c r="A708" t="s">
        <v>1258</v>
      </c>
      <c r="B708" t="s">
        <v>1194</v>
      </c>
      <c r="C708" s="160" t="s">
        <v>1591</v>
      </c>
      <c r="D708" s="160" t="s">
        <v>1077</v>
      </c>
      <c r="H708" t="s">
        <v>1758</v>
      </c>
    </row>
    <row r="709" spans="1:8" ht="15">
      <c r="A709" t="s">
        <v>1258</v>
      </c>
      <c r="B709" t="s">
        <v>1195</v>
      </c>
      <c r="C709" s="160" t="s">
        <v>1592</v>
      </c>
      <c r="D709" s="160" t="s">
        <v>1082</v>
      </c>
      <c r="H709" t="s">
        <v>1758</v>
      </c>
    </row>
    <row r="710" spans="1:8" ht="15">
      <c r="A710" t="s">
        <v>1258</v>
      </c>
      <c r="B710" t="s">
        <v>1593</v>
      </c>
      <c r="C710" s="160" t="s">
        <v>1594</v>
      </c>
      <c r="D710" s="160" t="s">
        <v>1101</v>
      </c>
      <c r="H710" t="s">
        <v>1758</v>
      </c>
    </row>
    <row r="711" spans="1:8" ht="15">
      <c r="A711" t="s">
        <v>1258</v>
      </c>
      <c r="B711" t="s">
        <v>1595</v>
      </c>
      <c r="C711" s="160" t="s">
        <v>1596</v>
      </c>
      <c r="D711" s="160" t="s">
        <v>1185</v>
      </c>
      <c r="H711" t="s">
        <v>1758</v>
      </c>
    </row>
    <row r="712" spans="1:8" ht="15">
      <c r="A712" t="s">
        <v>1258</v>
      </c>
      <c r="B712" t="s">
        <v>1597</v>
      </c>
      <c r="C712" s="160" t="s">
        <v>1598</v>
      </c>
      <c r="D712" s="160" t="s">
        <v>1069</v>
      </c>
      <c r="H712" t="s">
        <v>1758</v>
      </c>
    </row>
    <row r="713" spans="1:8" ht="15">
      <c r="A713" t="s">
        <v>1258</v>
      </c>
      <c r="B713" t="s">
        <v>1599</v>
      </c>
      <c r="C713" s="160" t="s">
        <v>1600</v>
      </c>
      <c r="D713" s="160" t="s">
        <v>1102</v>
      </c>
      <c r="H713" t="s">
        <v>1758</v>
      </c>
    </row>
    <row r="714" spans="1:8" ht="15">
      <c r="A714" t="s">
        <v>1258</v>
      </c>
      <c r="B714" t="s">
        <v>1601</v>
      </c>
      <c r="C714" s="160" t="s">
        <v>1602</v>
      </c>
      <c r="D714" s="160" t="s">
        <v>1101</v>
      </c>
      <c r="H714" t="s">
        <v>1758</v>
      </c>
    </row>
    <row r="715" spans="1:8" ht="15">
      <c r="A715" t="s">
        <v>1258</v>
      </c>
      <c r="B715" t="s">
        <v>1603</v>
      </c>
      <c r="C715" s="160" t="s">
        <v>1604</v>
      </c>
      <c r="D715" s="160" t="s">
        <v>1185</v>
      </c>
      <c r="H715" t="s">
        <v>1758</v>
      </c>
    </row>
    <row r="716" spans="1:8" ht="15">
      <c r="A716" t="s">
        <v>1258</v>
      </c>
      <c r="B716" t="s">
        <v>1197</v>
      </c>
      <c r="C716" s="160" t="s">
        <v>1605</v>
      </c>
      <c r="D716" s="160" t="s">
        <v>1201</v>
      </c>
      <c r="H716" t="s">
        <v>1758</v>
      </c>
    </row>
    <row r="717" spans="1:8" ht="15">
      <c r="A717" t="s">
        <v>1258</v>
      </c>
      <c r="B717" t="s">
        <v>1198</v>
      </c>
      <c r="C717" s="160" t="s">
        <v>1606</v>
      </c>
      <c r="D717" s="160" t="s">
        <v>1102</v>
      </c>
      <c r="H717" t="s">
        <v>1758</v>
      </c>
    </row>
    <row r="718" spans="1:8" ht="15">
      <c r="A718" t="s">
        <v>1258</v>
      </c>
      <c r="B718" t="s">
        <v>1607</v>
      </c>
      <c r="C718" s="160" t="s">
        <v>1608</v>
      </c>
      <c r="D718" s="160" t="s">
        <v>1101</v>
      </c>
      <c r="H718" t="s">
        <v>1758</v>
      </c>
    </row>
    <row r="719" spans="1:8" ht="15">
      <c r="A719" t="s">
        <v>1258</v>
      </c>
      <c r="B719" t="s">
        <v>1609</v>
      </c>
      <c r="C719" s="160" t="s">
        <v>1610</v>
      </c>
      <c r="D719" s="160" t="s">
        <v>1185</v>
      </c>
      <c r="H719" t="s">
        <v>1758</v>
      </c>
    </row>
    <row r="720" spans="1:8" ht="15">
      <c r="A720" t="s">
        <v>1258</v>
      </c>
      <c r="B720" t="s">
        <v>1199</v>
      </c>
      <c r="C720" s="160" t="s">
        <v>1611</v>
      </c>
      <c r="D720" s="160" t="s">
        <v>1201</v>
      </c>
      <c r="H720" t="s">
        <v>1758</v>
      </c>
    </row>
    <row r="721" spans="1:8" ht="15">
      <c r="A721" t="s">
        <v>1258</v>
      </c>
      <c r="B721" t="s">
        <v>1200</v>
      </c>
      <c r="C721" s="160" t="s">
        <v>1612</v>
      </c>
      <c r="D721" s="160" t="s">
        <v>1102</v>
      </c>
      <c r="H721" t="s">
        <v>1758</v>
      </c>
    </row>
    <row r="722" spans="1:8" ht="15">
      <c r="A722" t="s">
        <v>1258</v>
      </c>
      <c r="B722" t="s">
        <v>1613</v>
      </c>
      <c r="C722" s="160" t="s">
        <v>1614</v>
      </c>
      <c r="D722" s="160" t="s">
        <v>1101</v>
      </c>
      <c r="H722" t="s">
        <v>1758</v>
      </c>
    </row>
    <row r="723" spans="1:8" ht="15">
      <c r="A723" t="s">
        <v>1258</v>
      </c>
      <c r="B723" t="s">
        <v>1615</v>
      </c>
      <c r="C723" s="160" t="s">
        <v>1616</v>
      </c>
      <c r="D723" s="160" t="s">
        <v>1185</v>
      </c>
      <c r="H723" t="s">
        <v>1758</v>
      </c>
    </row>
    <row r="724" spans="1:8" ht="15">
      <c r="A724" t="s">
        <v>1258</v>
      </c>
      <c r="B724" t="s">
        <v>1202</v>
      </c>
      <c r="C724" s="160" t="s">
        <v>1617</v>
      </c>
      <c r="D724" s="160" t="s">
        <v>1201</v>
      </c>
      <c r="H724" t="s">
        <v>1758</v>
      </c>
    </row>
    <row r="725" spans="1:8" ht="15">
      <c r="A725" t="s">
        <v>1258</v>
      </c>
      <c r="B725" t="s">
        <v>1203</v>
      </c>
      <c r="C725" s="160" t="s">
        <v>1618</v>
      </c>
      <c r="D725" s="160" t="s">
        <v>1102</v>
      </c>
      <c r="H725" t="s">
        <v>1758</v>
      </c>
    </row>
    <row r="726" spans="1:8" ht="15">
      <c r="A726" t="s">
        <v>1258</v>
      </c>
      <c r="B726" t="s">
        <v>1619</v>
      </c>
      <c r="C726" s="160" t="s">
        <v>1620</v>
      </c>
      <c r="D726" s="160" t="s">
        <v>271</v>
      </c>
      <c r="H726" t="s">
        <v>1758</v>
      </c>
    </row>
    <row r="727" spans="1:8" ht="15">
      <c r="A727" t="s">
        <v>1258</v>
      </c>
      <c r="B727" t="s">
        <v>1621</v>
      </c>
      <c r="C727" s="160" t="s">
        <v>1622</v>
      </c>
      <c r="D727" s="160" t="s">
        <v>1077</v>
      </c>
      <c r="H727" t="s">
        <v>1758</v>
      </c>
    </row>
    <row r="728" spans="1:8" ht="15">
      <c r="A728" t="s">
        <v>1258</v>
      </c>
      <c r="B728" t="s">
        <v>1623</v>
      </c>
      <c r="C728" s="160" t="s">
        <v>1624</v>
      </c>
      <c r="D728" s="160" t="s">
        <v>1079</v>
      </c>
      <c r="H728" t="s">
        <v>1758</v>
      </c>
    </row>
    <row r="729" spans="1:8" ht="15">
      <c r="A729" t="s">
        <v>1258</v>
      </c>
      <c r="B729" t="s">
        <v>1625</v>
      </c>
      <c r="C729" s="160" t="s">
        <v>1626</v>
      </c>
      <c r="D729" s="160" t="s">
        <v>1077</v>
      </c>
      <c r="H729" t="s">
        <v>1758</v>
      </c>
    </row>
    <row r="730" spans="1:8" ht="15">
      <c r="A730" t="s">
        <v>1258</v>
      </c>
      <c r="B730" t="s">
        <v>1627</v>
      </c>
      <c r="C730" s="160" t="s">
        <v>1628</v>
      </c>
      <c r="D730" s="160" t="s">
        <v>1082</v>
      </c>
      <c r="H730" t="s">
        <v>1758</v>
      </c>
    </row>
    <row r="731" spans="1:8" ht="15">
      <c r="A731" t="s">
        <v>1258</v>
      </c>
      <c r="B731" t="s">
        <v>1629</v>
      </c>
      <c r="C731" s="160" t="s">
        <v>1630</v>
      </c>
      <c r="D731" s="160" t="s">
        <v>1077</v>
      </c>
      <c r="H731" t="s">
        <v>1758</v>
      </c>
    </row>
    <row r="732" spans="1:8" ht="15">
      <c r="A732" t="s">
        <v>1258</v>
      </c>
      <c r="B732" t="s">
        <v>1204</v>
      </c>
      <c r="C732" s="160" t="s">
        <v>1631</v>
      </c>
      <c r="D732" s="160" t="s">
        <v>1086</v>
      </c>
      <c r="H732" t="s">
        <v>1758</v>
      </c>
    </row>
    <row r="733" spans="1:8" ht="15">
      <c r="A733" t="s">
        <v>1258</v>
      </c>
      <c r="B733" t="s">
        <v>1205</v>
      </c>
      <c r="C733" s="160" t="s">
        <v>1632</v>
      </c>
      <c r="D733" s="160" t="s">
        <v>1077</v>
      </c>
      <c r="H733" t="s">
        <v>1758</v>
      </c>
    </row>
    <row r="734" spans="1:8" ht="15">
      <c r="A734" t="s">
        <v>1258</v>
      </c>
      <c r="B734" t="s">
        <v>1206</v>
      </c>
      <c r="C734" s="160" t="s">
        <v>1633</v>
      </c>
      <c r="D734" s="160" t="s">
        <v>1082</v>
      </c>
      <c r="H734" t="s">
        <v>1758</v>
      </c>
    </row>
    <row r="735" spans="1:8" ht="15">
      <c r="A735" t="s">
        <v>1258</v>
      </c>
      <c r="B735" t="s">
        <v>1634</v>
      </c>
      <c r="C735" s="160" t="s">
        <v>1635</v>
      </c>
      <c r="D735" s="160" t="s">
        <v>1077</v>
      </c>
      <c r="H735" t="s">
        <v>1758</v>
      </c>
    </row>
    <row r="736" spans="1:8" ht="15">
      <c r="A736" t="s">
        <v>1258</v>
      </c>
      <c r="B736" t="s">
        <v>1208</v>
      </c>
      <c r="C736" s="160" t="s">
        <v>1636</v>
      </c>
      <c r="D736" s="160" t="s">
        <v>1092</v>
      </c>
      <c r="H736" t="s">
        <v>1758</v>
      </c>
    </row>
    <row r="737" spans="1:8" ht="15">
      <c r="A737" t="s">
        <v>1258</v>
      </c>
      <c r="B737" t="s">
        <v>1209</v>
      </c>
      <c r="C737" s="160" t="s">
        <v>1637</v>
      </c>
      <c r="D737" s="160" t="s">
        <v>1077</v>
      </c>
      <c r="H737" t="s">
        <v>1758</v>
      </c>
    </row>
    <row r="738" spans="1:8" ht="15">
      <c r="A738" t="s">
        <v>1258</v>
      </c>
      <c r="B738" t="s">
        <v>1210</v>
      </c>
      <c r="C738" s="160" t="s">
        <v>1638</v>
      </c>
      <c r="D738" s="160" t="s">
        <v>1082</v>
      </c>
      <c r="H738" t="s">
        <v>1758</v>
      </c>
    </row>
    <row r="739" spans="1:8" ht="15">
      <c r="A739" t="s">
        <v>1258</v>
      </c>
      <c r="B739" t="s">
        <v>1639</v>
      </c>
      <c r="C739" s="160" t="s">
        <v>1640</v>
      </c>
      <c r="D739" s="160" t="s">
        <v>1077</v>
      </c>
      <c r="H739" t="s">
        <v>1758</v>
      </c>
    </row>
    <row r="740" spans="1:8" ht="15">
      <c r="A740" t="s">
        <v>1258</v>
      </c>
      <c r="B740" t="s">
        <v>1212</v>
      </c>
      <c r="C740" s="160" t="s">
        <v>1641</v>
      </c>
      <c r="D740" s="160" t="s">
        <v>1098</v>
      </c>
      <c r="H740" t="s">
        <v>1758</v>
      </c>
    </row>
    <row r="741" spans="1:8" ht="15">
      <c r="A741" t="s">
        <v>1258</v>
      </c>
      <c r="B741" t="s">
        <v>1213</v>
      </c>
      <c r="C741" s="160" t="s">
        <v>1642</v>
      </c>
      <c r="D741" s="160" t="s">
        <v>1077</v>
      </c>
      <c r="H741" t="s">
        <v>1758</v>
      </c>
    </row>
    <row r="742" spans="1:8" ht="15">
      <c r="A742" t="s">
        <v>1258</v>
      </c>
      <c r="B742" t="s">
        <v>1214</v>
      </c>
      <c r="C742" s="160" t="s">
        <v>1643</v>
      </c>
      <c r="D742" s="160" t="s">
        <v>1082</v>
      </c>
      <c r="H742" t="s">
        <v>1758</v>
      </c>
    </row>
    <row r="743" spans="1:8" ht="15">
      <c r="A743" t="s">
        <v>1258</v>
      </c>
      <c r="B743" t="s">
        <v>1644</v>
      </c>
      <c r="C743" s="160" t="s">
        <v>1645</v>
      </c>
      <c r="D743" s="160" t="s">
        <v>1101</v>
      </c>
      <c r="H743" t="s">
        <v>1758</v>
      </c>
    </row>
    <row r="744" spans="1:8" ht="15">
      <c r="A744" t="s">
        <v>1258</v>
      </c>
      <c r="B744" t="s">
        <v>1646</v>
      </c>
      <c r="C744" s="160" t="s">
        <v>1647</v>
      </c>
      <c r="D744" s="160" t="s">
        <v>1185</v>
      </c>
      <c r="H744" t="s">
        <v>1758</v>
      </c>
    </row>
    <row r="745" spans="1:8" ht="15">
      <c r="A745" t="s">
        <v>1258</v>
      </c>
      <c r="B745" t="s">
        <v>1648</v>
      </c>
      <c r="C745" s="160" t="s">
        <v>1649</v>
      </c>
      <c r="D745" s="160" t="s">
        <v>1069</v>
      </c>
      <c r="H745" t="s">
        <v>1758</v>
      </c>
    </row>
    <row r="746" spans="1:8" ht="15">
      <c r="A746" t="s">
        <v>1258</v>
      </c>
      <c r="B746" t="s">
        <v>1650</v>
      </c>
      <c r="C746" s="160" t="s">
        <v>1651</v>
      </c>
      <c r="D746" s="160" t="s">
        <v>1102</v>
      </c>
      <c r="H746" t="s">
        <v>1758</v>
      </c>
    </row>
    <row r="747" spans="1:8" ht="15">
      <c r="A747" t="s">
        <v>1258</v>
      </c>
      <c r="B747" t="s">
        <v>1652</v>
      </c>
      <c r="C747" s="160" t="s">
        <v>1653</v>
      </c>
      <c r="D747" s="160" t="s">
        <v>1101</v>
      </c>
      <c r="H747" t="s">
        <v>1758</v>
      </c>
    </row>
    <row r="748" spans="1:8" ht="15">
      <c r="A748" t="s">
        <v>1258</v>
      </c>
      <c r="B748" t="s">
        <v>1654</v>
      </c>
      <c r="C748" s="160" t="s">
        <v>1655</v>
      </c>
      <c r="D748" s="160" t="s">
        <v>1185</v>
      </c>
      <c r="H748" t="s">
        <v>1758</v>
      </c>
    </row>
    <row r="749" spans="1:8" ht="15">
      <c r="A749" t="s">
        <v>1258</v>
      </c>
      <c r="B749" t="s">
        <v>1216</v>
      </c>
      <c r="C749" s="160" t="s">
        <v>1656</v>
      </c>
      <c r="D749" s="160" t="s">
        <v>1069</v>
      </c>
      <c r="H749" t="s">
        <v>1758</v>
      </c>
    </row>
    <row r="750" spans="1:8" ht="15">
      <c r="A750" t="s">
        <v>1258</v>
      </c>
      <c r="B750" t="s">
        <v>1217</v>
      </c>
      <c r="C750" s="160" t="s">
        <v>1657</v>
      </c>
      <c r="D750" s="160" t="s">
        <v>1102</v>
      </c>
      <c r="H750" t="s">
        <v>1758</v>
      </c>
    </row>
    <row r="751" spans="1:8" ht="15">
      <c r="A751" t="s">
        <v>1258</v>
      </c>
      <c r="B751" t="s">
        <v>1658</v>
      </c>
      <c r="C751" s="160" t="s">
        <v>1659</v>
      </c>
      <c r="D751" s="160" t="s">
        <v>1101</v>
      </c>
      <c r="H751" t="s">
        <v>1758</v>
      </c>
    </row>
    <row r="752" spans="1:8" ht="15">
      <c r="A752" t="s">
        <v>1258</v>
      </c>
      <c r="B752" t="s">
        <v>1660</v>
      </c>
      <c r="C752" s="160" t="s">
        <v>1661</v>
      </c>
      <c r="D752" s="160" t="s">
        <v>1185</v>
      </c>
      <c r="H752" t="s">
        <v>1758</v>
      </c>
    </row>
    <row r="753" spans="1:8" ht="15">
      <c r="A753" t="s">
        <v>1258</v>
      </c>
      <c r="B753" t="s">
        <v>1218</v>
      </c>
      <c r="C753" s="160" t="s">
        <v>1662</v>
      </c>
      <c r="D753" s="160" t="s">
        <v>1069</v>
      </c>
      <c r="H753" t="s">
        <v>1758</v>
      </c>
    </row>
    <row r="754" spans="1:8" ht="15">
      <c r="A754" t="s">
        <v>1258</v>
      </c>
      <c r="B754" t="s">
        <v>1219</v>
      </c>
      <c r="C754" s="160" t="s">
        <v>1663</v>
      </c>
      <c r="D754" s="160" t="s">
        <v>1102</v>
      </c>
      <c r="H754" t="s">
        <v>1758</v>
      </c>
    </row>
    <row r="755" spans="1:8" ht="15">
      <c r="A755" t="s">
        <v>1258</v>
      </c>
      <c r="B755" t="s">
        <v>1664</v>
      </c>
      <c r="C755" s="160" t="s">
        <v>1665</v>
      </c>
      <c r="D755" s="160" t="s">
        <v>1101</v>
      </c>
      <c r="H755" t="s">
        <v>1758</v>
      </c>
    </row>
    <row r="756" spans="1:8" ht="15">
      <c r="A756" t="s">
        <v>1258</v>
      </c>
      <c r="B756" t="s">
        <v>1666</v>
      </c>
      <c r="C756" s="160" t="s">
        <v>1667</v>
      </c>
      <c r="D756" s="160" t="s">
        <v>1185</v>
      </c>
      <c r="H756" t="s">
        <v>1758</v>
      </c>
    </row>
    <row r="757" spans="1:8" ht="15">
      <c r="A757" t="s">
        <v>1258</v>
      </c>
      <c r="B757" t="s">
        <v>1220</v>
      </c>
      <c r="C757" s="160" t="s">
        <v>1668</v>
      </c>
      <c r="D757" s="160" t="s">
        <v>1069</v>
      </c>
      <c r="H757" t="s">
        <v>1758</v>
      </c>
    </row>
    <row r="758" spans="1:8" ht="15">
      <c r="A758" t="s">
        <v>1258</v>
      </c>
      <c r="B758" t="s">
        <v>1221</v>
      </c>
      <c r="C758" s="160" t="s">
        <v>1669</v>
      </c>
      <c r="D758" s="160" t="s">
        <v>1102</v>
      </c>
      <c r="H758" t="s">
        <v>1758</v>
      </c>
    </row>
    <row r="759" spans="1:8" ht="15">
      <c r="A759" t="s">
        <v>1258</v>
      </c>
      <c r="B759" t="s">
        <v>265</v>
      </c>
      <c r="C759" s="160" t="s">
        <v>1670</v>
      </c>
      <c r="D759" s="160" t="s">
        <v>1077</v>
      </c>
      <c r="H759" t="s">
        <v>1758</v>
      </c>
    </row>
    <row r="760" spans="1:8" ht="15">
      <c r="A760" t="s">
        <v>1258</v>
      </c>
      <c r="B760" t="s">
        <v>1671</v>
      </c>
      <c r="C760" s="160" t="s">
        <v>1672</v>
      </c>
      <c r="D760" s="160" t="s">
        <v>1079</v>
      </c>
      <c r="H760" t="s">
        <v>1758</v>
      </c>
    </row>
    <row r="761" spans="1:8" ht="15">
      <c r="A761" t="s">
        <v>1258</v>
      </c>
      <c r="B761" t="s">
        <v>1673</v>
      </c>
      <c r="C761" s="160" t="s">
        <v>1674</v>
      </c>
      <c r="D761" s="160" t="s">
        <v>1077</v>
      </c>
      <c r="H761" t="s">
        <v>1758</v>
      </c>
    </row>
    <row r="762" spans="1:8" ht="15">
      <c r="A762" t="s">
        <v>1258</v>
      </c>
      <c r="B762" t="s">
        <v>1675</v>
      </c>
      <c r="C762" s="160" t="s">
        <v>1676</v>
      </c>
      <c r="D762" s="160" t="s">
        <v>1082</v>
      </c>
      <c r="H762" t="s">
        <v>1758</v>
      </c>
    </row>
    <row r="763" spans="1:8" ht="15">
      <c r="A763" t="s">
        <v>1258</v>
      </c>
      <c r="B763" t="s">
        <v>1677</v>
      </c>
      <c r="C763" s="160" t="s">
        <v>1678</v>
      </c>
      <c r="D763" s="160" t="s">
        <v>1077</v>
      </c>
      <c r="H763" t="s">
        <v>1758</v>
      </c>
    </row>
    <row r="764" spans="1:8" ht="15">
      <c r="A764" t="s">
        <v>1258</v>
      </c>
      <c r="B764" t="s">
        <v>1222</v>
      </c>
      <c r="C764" s="160" t="s">
        <v>1679</v>
      </c>
      <c r="D764" s="160" t="s">
        <v>1086</v>
      </c>
      <c r="H764" t="s">
        <v>1758</v>
      </c>
    </row>
    <row r="765" spans="1:8" ht="15">
      <c r="A765" t="s">
        <v>1258</v>
      </c>
      <c r="B765" t="s">
        <v>1223</v>
      </c>
      <c r="C765" s="160" t="s">
        <v>1680</v>
      </c>
      <c r="D765" s="160" t="s">
        <v>1077</v>
      </c>
      <c r="H765" t="s">
        <v>1758</v>
      </c>
    </row>
    <row r="766" spans="1:8" ht="15">
      <c r="A766" t="s">
        <v>1258</v>
      </c>
      <c r="B766" t="s">
        <v>1224</v>
      </c>
      <c r="C766" s="160" t="s">
        <v>1681</v>
      </c>
      <c r="D766" s="160" t="s">
        <v>1082</v>
      </c>
      <c r="H766" t="s">
        <v>1758</v>
      </c>
    </row>
    <row r="767" spans="1:8" ht="15">
      <c r="A767" t="s">
        <v>1258</v>
      </c>
      <c r="B767" t="s">
        <v>266</v>
      </c>
      <c r="C767" s="160" t="s">
        <v>1682</v>
      </c>
      <c r="D767" s="160" t="s">
        <v>1077</v>
      </c>
      <c r="H767" t="s">
        <v>1758</v>
      </c>
    </row>
    <row r="768" spans="1:8" ht="15">
      <c r="A768" t="s">
        <v>1258</v>
      </c>
      <c r="B768" t="s">
        <v>1226</v>
      </c>
      <c r="C768" s="160" t="s">
        <v>1683</v>
      </c>
      <c r="D768" s="160" t="s">
        <v>1092</v>
      </c>
      <c r="H768" t="s">
        <v>1758</v>
      </c>
    </row>
    <row r="769" spans="1:8" ht="15">
      <c r="A769" t="s">
        <v>1258</v>
      </c>
      <c r="B769" t="s">
        <v>1227</v>
      </c>
      <c r="C769" s="160" t="s">
        <v>1684</v>
      </c>
      <c r="D769" s="160" t="s">
        <v>1077</v>
      </c>
      <c r="H769" t="s">
        <v>1758</v>
      </c>
    </row>
    <row r="770" spans="1:8" ht="15">
      <c r="A770" t="s">
        <v>1258</v>
      </c>
      <c r="B770" t="s">
        <v>1228</v>
      </c>
      <c r="C770" s="160" t="s">
        <v>1685</v>
      </c>
      <c r="D770" s="160" t="s">
        <v>1082</v>
      </c>
      <c r="H770" t="s">
        <v>1758</v>
      </c>
    </row>
    <row r="771" spans="1:8" ht="15">
      <c r="A771" t="s">
        <v>1258</v>
      </c>
      <c r="B771" t="s">
        <v>267</v>
      </c>
      <c r="C771" s="160" t="s">
        <v>1686</v>
      </c>
      <c r="D771" s="160" t="s">
        <v>1077</v>
      </c>
      <c r="H771" t="s">
        <v>1758</v>
      </c>
    </row>
    <row r="772" spans="1:8" ht="15">
      <c r="A772" t="s">
        <v>1258</v>
      </c>
      <c r="B772" t="s">
        <v>1230</v>
      </c>
      <c r="C772" s="160" t="s">
        <v>1687</v>
      </c>
      <c r="D772" s="160" t="s">
        <v>1098</v>
      </c>
      <c r="H772" t="s">
        <v>1758</v>
      </c>
    </row>
    <row r="773" spans="1:8" ht="15">
      <c r="A773" t="s">
        <v>1258</v>
      </c>
      <c r="B773" t="s">
        <v>1231</v>
      </c>
      <c r="C773" s="160" t="s">
        <v>1688</v>
      </c>
      <c r="D773" s="160" t="s">
        <v>1077</v>
      </c>
      <c r="H773" t="s">
        <v>1758</v>
      </c>
    </row>
    <row r="774" spans="1:8" ht="15">
      <c r="A774" t="s">
        <v>1258</v>
      </c>
      <c r="B774" t="s">
        <v>1232</v>
      </c>
      <c r="C774" s="160" t="s">
        <v>1689</v>
      </c>
      <c r="D774" s="160" t="s">
        <v>1082</v>
      </c>
      <c r="H774" t="s">
        <v>1758</v>
      </c>
    </row>
    <row r="775" spans="1:8" ht="15">
      <c r="A775" t="s">
        <v>1258</v>
      </c>
      <c r="B775" t="s">
        <v>1690</v>
      </c>
      <c r="C775" s="160" t="s">
        <v>1691</v>
      </c>
      <c r="D775" s="160" t="s">
        <v>1101</v>
      </c>
      <c r="H775" t="s">
        <v>1758</v>
      </c>
    </row>
    <row r="776" spans="1:8" ht="15">
      <c r="A776" t="s">
        <v>1258</v>
      </c>
      <c r="B776" t="s">
        <v>1692</v>
      </c>
      <c r="C776" s="160" t="s">
        <v>1693</v>
      </c>
      <c r="D776" s="160" t="s">
        <v>1185</v>
      </c>
      <c r="H776" t="s">
        <v>1758</v>
      </c>
    </row>
    <row r="777" spans="1:8" ht="15">
      <c r="A777" t="s">
        <v>1258</v>
      </c>
      <c r="B777" t="s">
        <v>1694</v>
      </c>
      <c r="C777" s="160" t="s">
        <v>1695</v>
      </c>
      <c r="D777" s="160" t="s">
        <v>1069</v>
      </c>
      <c r="H777" t="s">
        <v>1758</v>
      </c>
    </row>
    <row r="778" spans="1:8" ht="15">
      <c r="A778" t="s">
        <v>1258</v>
      </c>
      <c r="B778" t="s">
        <v>1696</v>
      </c>
      <c r="C778" s="160" t="s">
        <v>1697</v>
      </c>
      <c r="D778" s="160" t="s">
        <v>1102</v>
      </c>
      <c r="H778" t="s">
        <v>1758</v>
      </c>
    </row>
    <row r="779" spans="1:8" ht="15">
      <c r="A779" t="s">
        <v>1258</v>
      </c>
      <c r="B779" t="s">
        <v>1698</v>
      </c>
      <c r="C779" s="160" t="s">
        <v>1699</v>
      </c>
      <c r="D779" s="160" t="s">
        <v>1101</v>
      </c>
      <c r="H779" t="s">
        <v>1758</v>
      </c>
    </row>
    <row r="780" spans="1:8" ht="15">
      <c r="A780" t="s">
        <v>1258</v>
      </c>
      <c r="B780" t="s">
        <v>1700</v>
      </c>
      <c r="C780" s="160" t="s">
        <v>1701</v>
      </c>
      <c r="D780" s="160" t="s">
        <v>1185</v>
      </c>
      <c r="H780" t="s">
        <v>1758</v>
      </c>
    </row>
    <row r="781" spans="1:8" ht="15">
      <c r="A781" t="s">
        <v>1258</v>
      </c>
      <c r="B781" t="s">
        <v>1234</v>
      </c>
      <c r="C781" s="160" t="s">
        <v>1702</v>
      </c>
      <c r="D781" s="160" t="s">
        <v>1069</v>
      </c>
      <c r="H781" t="s">
        <v>1758</v>
      </c>
    </row>
    <row r="782" spans="1:8" ht="15">
      <c r="A782" t="s">
        <v>1258</v>
      </c>
      <c r="B782" t="s">
        <v>1235</v>
      </c>
      <c r="C782" s="160" t="s">
        <v>1703</v>
      </c>
      <c r="D782" s="160" t="s">
        <v>1102</v>
      </c>
      <c r="H782" t="s">
        <v>1758</v>
      </c>
    </row>
    <row r="783" spans="1:8" ht="15">
      <c r="A783" t="s">
        <v>1258</v>
      </c>
      <c r="B783" t="s">
        <v>1704</v>
      </c>
      <c r="C783" s="160" t="s">
        <v>1705</v>
      </c>
      <c r="D783" s="160" t="s">
        <v>1101</v>
      </c>
      <c r="H783" t="s">
        <v>1758</v>
      </c>
    </row>
    <row r="784" spans="1:8" ht="15">
      <c r="A784" t="s">
        <v>1258</v>
      </c>
      <c r="B784" t="s">
        <v>1706</v>
      </c>
      <c r="C784" s="160" t="s">
        <v>1707</v>
      </c>
      <c r="D784" s="160" t="s">
        <v>1185</v>
      </c>
      <c r="H784" t="s">
        <v>1758</v>
      </c>
    </row>
    <row r="785" spans="1:8" ht="15">
      <c r="A785" t="s">
        <v>1258</v>
      </c>
      <c r="B785" t="s">
        <v>1236</v>
      </c>
      <c r="C785" s="160" t="s">
        <v>1708</v>
      </c>
      <c r="D785" s="160" t="s">
        <v>1069</v>
      </c>
      <c r="H785" t="s">
        <v>1758</v>
      </c>
    </row>
    <row r="786" spans="1:8" ht="15">
      <c r="A786" t="s">
        <v>1258</v>
      </c>
      <c r="B786" t="s">
        <v>1237</v>
      </c>
      <c r="C786" s="160" t="s">
        <v>1709</v>
      </c>
      <c r="D786" s="160" t="s">
        <v>1102</v>
      </c>
      <c r="H786" t="s">
        <v>1758</v>
      </c>
    </row>
    <row r="787" spans="1:8" ht="15">
      <c r="A787" t="s">
        <v>1258</v>
      </c>
      <c r="B787" t="s">
        <v>1710</v>
      </c>
      <c r="C787" s="160" t="s">
        <v>1711</v>
      </c>
      <c r="D787" s="160" t="s">
        <v>1101</v>
      </c>
      <c r="H787" t="s">
        <v>1758</v>
      </c>
    </row>
    <row r="788" spans="1:8" ht="15">
      <c r="A788" t="s">
        <v>1258</v>
      </c>
      <c r="B788" t="s">
        <v>1712</v>
      </c>
      <c r="C788" s="160" t="s">
        <v>1713</v>
      </c>
      <c r="D788" s="160" t="s">
        <v>1185</v>
      </c>
      <c r="H788" t="s">
        <v>1758</v>
      </c>
    </row>
    <row r="789" spans="1:8" ht="15">
      <c r="A789" t="s">
        <v>1258</v>
      </c>
      <c r="B789" t="s">
        <v>1238</v>
      </c>
      <c r="C789" s="160" t="s">
        <v>1714</v>
      </c>
      <c r="D789" s="160" t="s">
        <v>1069</v>
      </c>
      <c r="H789" t="s">
        <v>1758</v>
      </c>
    </row>
    <row r="790" spans="1:8" ht="15">
      <c r="A790" t="s">
        <v>1258</v>
      </c>
      <c r="B790" t="s">
        <v>1239</v>
      </c>
      <c r="C790" s="160" t="s">
        <v>1715</v>
      </c>
      <c r="D790" s="160" t="s">
        <v>1102</v>
      </c>
      <c r="H790" t="s">
        <v>1758</v>
      </c>
    </row>
    <row r="791" spans="1:8" ht="15">
      <c r="A791" t="s">
        <v>1258</v>
      </c>
      <c r="B791" t="s">
        <v>1716</v>
      </c>
      <c r="D791" s="160" t="s">
        <v>262</v>
      </c>
      <c r="H791" t="s">
        <v>1758</v>
      </c>
    </row>
    <row r="792" spans="1:8" ht="15">
      <c r="A792" t="s">
        <v>1258</v>
      </c>
      <c r="B792" t="s">
        <v>1240</v>
      </c>
      <c r="D792" s="160" t="s">
        <v>271</v>
      </c>
      <c r="H792" t="s">
        <v>1758</v>
      </c>
    </row>
    <row r="793" spans="1:8" ht="15">
      <c r="A793" t="s">
        <v>1258</v>
      </c>
      <c r="B793" t="s">
        <v>1717</v>
      </c>
      <c r="D793" s="160" t="s">
        <v>1073</v>
      </c>
      <c r="H793" t="s">
        <v>1758</v>
      </c>
    </row>
    <row r="794" spans="1:8" ht="15">
      <c r="A794" t="s">
        <v>1258</v>
      </c>
      <c r="B794" t="s">
        <v>1241</v>
      </c>
      <c r="D794" s="160" t="s">
        <v>320</v>
      </c>
      <c r="H794" t="s">
        <v>1758</v>
      </c>
    </row>
    <row r="795" spans="1:8" ht="15">
      <c r="A795" t="s">
        <v>1258</v>
      </c>
      <c r="B795" t="s">
        <v>1718</v>
      </c>
      <c r="D795" s="160" t="s">
        <v>1243</v>
      </c>
      <c r="H795" t="s">
        <v>1758</v>
      </c>
    </row>
    <row r="796" spans="1:8" ht="15">
      <c r="A796" t="s">
        <v>1258</v>
      </c>
      <c r="B796" t="s">
        <v>1242</v>
      </c>
      <c r="D796" s="160" t="s">
        <v>1072</v>
      </c>
      <c r="H796" t="s">
        <v>1758</v>
      </c>
    </row>
    <row r="797" spans="1:8" ht="15">
      <c r="A797" t="s">
        <v>1258</v>
      </c>
      <c r="B797" t="s">
        <v>1719</v>
      </c>
      <c r="D797" s="160" t="s">
        <v>1245</v>
      </c>
      <c r="H797" t="s">
        <v>1758</v>
      </c>
    </row>
    <row r="798" spans="1:8" ht="15">
      <c r="A798" t="s">
        <v>1258</v>
      </c>
      <c r="B798" t="s">
        <v>1244</v>
      </c>
      <c r="D798" s="160" t="s">
        <v>332</v>
      </c>
      <c r="H798" t="s">
        <v>1758</v>
      </c>
    </row>
    <row r="799" spans="1:8" ht="15">
      <c r="A799" t="s">
        <v>1258</v>
      </c>
      <c r="B799" t="s">
        <v>1081</v>
      </c>
      <c r="D799" s="160" t="s">
        <v>262</v>
      </c>
      <c r="H799" t="s">
        <v>1758</v>
      </c>
    </row>
    <row r="800" spans="1:8" ht="15">
      <c r="A800" t="s">
        <v>1258</v>
      </c>
      <c r="B800" t="s">
        <v>1088</v>
      </c>
      <c r="D800" s="160" t="s">
        <v>262</v>
      </c>
      <c r="H800" t="s">
        <v>1758</v>
      </c>
    </row>
    <row r="801" spans="1:8" ht="15">
      <c r="A801" t="s">
        <v>1258</v>
      </c>
      <c r="B801" t="s">
        <v>1094</v>
      </c>
      <c r="D801" s="160" t="s">
        <v>262</v>
      </c>
      <c r="H801" t="s">
        <v>1758</v>
      </c>
    </row>
    <row r="802" spans="1:8" ht="15">
      <c r="A802" t="s">
        <v>1258</v>
      </c>
      <c r="B802" t="s">
        <v>1100</v>
      </c>
      <c r="D802" s="160" t="s">
        <v>262</v>
      </c>
      <c r="H802" t="s">
        <v>1758</v>
      </c>
    </row>
    <row r="803" spans="1:8" ht="15">
      <c r="A803" t="s">
        <v>1258</v>
      </c>
      <c r="B803" t="s">
        <v>1720</v>
      </c>
      <c r="D803" s="160" t="s">
        <v>262</v>
      </c>
      <c r="H803" t="s">
        <v>1758</v>
      </c>
    </row>
    <row r="804" spans="1:8" ht="15">
      <c r="A804" t="s">
        <v>1258</v>
      </c>
      <c r="B804" t="s">
        <v>305</v>
      </c>
      <c r="D804" s="160" t="s">
        <v>262</v>
      </c>
      <c r="H804" t="s">
        <v>1758</v>
      </c>
    </row>
    <row r="805" spans="1:8" ht="15">
      <c r="A805" t="s">
        <v>1258</v>
      </c>
      <c r="B805" t="s">
        <v>306</v>
      </c>
      <c r="D805" s="160" t="s">
        <v>271</v>
      </c>
      <c r="H805" t="s">
        <v>1758</v>
      </c>
    </row>
    <row r="806" spans="1:8" ht="15">
      <c r="A806" t="s">
        <v>1258</v>
      </c>
      <c r="B806" t="s">
        <v>307</v>
      </c>
      <c r="D806" s="160" t="s">
        <v>1246</v>
      </c>
      <c r="E806" t="s">
        <v>1763</v>
      </c>
      <c r="H806" t="s">
        <v>1758</v>
      </c>
    </row>
    <row r="807" spans="1:8" ht="15">
      <c r="A807" t="s">
        <v>1258</v>
      </c>
      <c r="B807" t="s">
        <v>308</v>
      </c>
      <c r="D807" s="160" t="s">
        <v>1247</v>
      </c>
      <c r="E807" t="s">
        <v>1763</v>
      </c>
      <c r="H807" t="s">
        <v>1758</v>
      </c>
    </row>
    <row r="808" spans="1:8" ht="15">
      <c r="A808" t="s">
        <v>1258</v>
      </c>
      <c r="B808" t="s">
        <v>1721</v>
      </c>
      <c r="D808" s="160" t="s">
        <v>271</v>
      </c>
      <c r="H808" t="s">
        <v>1758</v>
      </c>
    </row>
    <row r="809" spans="1:8" ht="15">
      <c r="A809" t="s">
        <v>1258</v>
      </c>
      <c r="B809" t="s">
        <v>1248</v>
      </c>
      <c r="D809" s="160" t="s">
        <v>320</v>
      </c>
      <c r="H809" t="s">
        <v>1758</v>
      </c>
    </row>
    <row r="810" spans="1:8" ht="15">
      <c r="A810" t="s">
        <v>1258</v>
      </c>
      <c r="B810" t="s">
        <v>1249</v>
      </c>
      <c r="D810" s="160" t="s">
        <v>1072</v>
      </c>
      <c r="H810" t="s">
        <v>1758</v>
      </c>
    </row>
    <row r="811" spans="1:8" ht="15">
      <c r="A811" t="s">
        <v>1258</v>
      </c>
      <c r="B811" t="s">
        <v>1250</v>
      </c>
      <c r="D811" s="160" t="s">
        <v>332</v>
      </c>
      <c r="H811" t="s">
        <v>1758</v>
      </c>
    </row>
    <row r="812" spans="1:8" ht="15">
      <c r="A812" t="s">
        <v>1258</v>
      </c>
      <c r="B812" t="s">
        <v>1251</v>
      </c>
      <c r="D812" s="160" t="s">
        <v>972</v>
      </c>
      <c r="H812" t="s">
        <v>1758</v>
      </c>
    </row>
    <row r="813" spans="1:8" ht="15">
      <c r="A813" t="s">
        <v>1258</v>
      </c>
      <c r="B813" t="s">
        <v>1252</v>
      </c>
      <c r="D813" s="160" t="s">
        <v>1070</v>
      </c>
      <c r="H813" t="s">
        <v>1758</v>
      </c>
    </row>
    <row r="814" spans="1:8" ht="15">
      <c r="A814" t="s">
        <v>1258</v>
      </c>
      <c r="B814" t="s">
        <v>1253</v>
      </c>
      <c r="D814" s="160" t="s">
        <v>970</v>
      </c>
      <c r="H814" t="s">
        <v>1758</v>
      </c>
    </row>
    <row r="815" spans="1:8" ht="15">
      <c r="A815" t="s">
        <v>1258</v>
      </c>
      <c r="B815" t="s">
        <v>1254</v>
      </c>
      <c r="D815" s="160" t="s">
        <v>333</v>
      </c>
      <c r="H815" t="s">
        <v>1758</v>
      </c>
    </row>
    <row r="816" spans="1:8" ht="15">
      <c r="A816" t="s">
        <v>1258</v>
      </c>
      <c r="B816" t="s">
        <v>1255</v>
      </c>
      <c r="D816" s="160" t="s">
        <v>1148</v>
      </c>
      <c r="H816" t="s">
        <v>1758</v>
      </c>
    </row>
    <row r="817" spans="1:8" ht="15">
      <c r="A817" t="s">
        <v>1258</v>
      </c>
      <c r="B817" t="s">
        <v>1106</v>
      </c>
      <c r="D817" s="160" t="s">
        <v>262</v>
      </c>
      <c r="H817" t="s">
        <v>1758</v>
      </c>
    </row>
    <row r="818" spans="1:8" ht="15">
      <c r="A818" t="s">
        <v>1258</v>
      </c>
      <c r="B818" t="s">
        <v>1110</v>
      </c>
      <c r="D818" s="160" t="s">
        <v>262</v>
      </c>
      <c r="H818" t="s">
        <v>1758</v>
      </c>
    </row>
    <row r="819" spans="1:8" ht="15">
      <c r="A819" t="s">
        <v>1258</v>
      </c>
      <c r="B819" t="s">
        <v>1114</v>
      </c>
      <c r="D819" s="160" t="s">
        <v>262</v>
      </c>
      <c r="H819" t="s">
        <v>1758</v>
      </c>
    </row>
    <row r="820" spans="1:8" ht="15">
      <c r="A820" t="s">
        <v>1258</v>
      </c>
      <c r="B820" t="s">
        <v>1118</v>
      </c>
      <c r="D820" s="160" t="s">
        <v>262</v>
      </c>
      <c r="H820" t="s">
        <v>1758</v>
      </c>
    </row>
    <row r="821" spans="1:8" ht="15">
      <c r="A821" t="s">
        <v>1258</v>
      </c>
      <c r="B821" t="s">
        <v>1122</v>
      </c>
      <c r="D821" s="160" t="s">
        <v>262</v>
      </c>
      <c r="H821" t="s">
        <v>1758</v>
      </c>
    </row>
    <row r="822" spans="1:8" ht="15">
      <c r="A822" t="s">
        <v>1258</v>
      </c>
      <c r="B822" t="s">
        <v>1126</v>
      </c>
      <c r="D822" s="160" t="s">
        <v>262</v>
      </c>
      <c r="H822" t="s">
        <v>1758</v>
      </c>
    </row>
    <row r="823" spans="1:8" ht="15">
      <c r="A823" t="s">
        <v>1258</v>
      </c>
      <c r="B823" t="s">
        <v>1129</v>
      </c>
      <c r="D823" s="160" t="s">
        <v>262</v>
      </c>
      <c r="H823" t="s">
        <v>1758</v>
      </c>
    </row>
    <row r="824" spans="1:8" ht="15">
      <c r="A824" t="s">
        <v>1258</v>
      </c>
      <c r="B824" t="s">
        <v>1133</v>
      </c>
      <c r="D824" s="160" t="s">
        <v>262</v>
      </c>
      <c r="H824" t="s">
        <v>1758</v>
      </c>
    </row>
    <row r="825" spans="1:8" ht="15">
      <c r="A825" t="s">
        <v>1258</v>
      </c>
      <c r="B825" t="s">
        <v>327</v>
      </c>
      <c r="D825" s="160" t="s">
        <v>1256</v>
      </c>
      <c r="E825" t="s">
        <v>1760</v>
      </c>
      <c r="H825" t="s">
        <v>1758</v>
      </c>
    </row>
    <row r="826" spans="1:8" ht="15">
      <c r="A826" t="s">
        <v>1258</v>
      </c>
      <c r="B826" t="s">
        <v>967</v>
      </c>
      <c r="D826" s="160" t="s">
        <v>261</v>
      </c>
      <c r="E826" t="s">
        <v>1761</v>
      </c>
      <c r="H826" t="s">
        <v>1758</v>
      </c>
    </row>
    <row r="827" spans="1:8" ht="15">
      <c r="A827" t="s">
        <v>1258</v>
      </c>
      <c r="B827" t="s">
        <v>968</v>
      </c>
      <c r="D827" s="160" t="s">
        <v>259</v>
      </c>
      <c r="E827" t="s">
        <v>1762</v>
      </c>
      <c r="H827" t="s">
        <v>1758</v>
      </c>
    </row>
    <row r="828" spans="1:8" ht="15">
      <c r="A828" t="s">
        <v>1258</v>
      </c>
      <c r="B828" t="s">
        <v>969</v>
      </c>
      <c r="D828" s="160" t="s">
        <v>262</v>
      </c>
      <c r="H828" t="s">
        <v>1758</v>
      </c>
    </row>
    <row r="829" spans="1:8" ht="15">
      <c r="A829" t="s">
        <v>1258</v>
      </c>
      <c r="B829" t="s">
        <v>276</v>
      </c>
      <c r="D829" s="160" t="s">
        <v>1257</v>
      </c>
      <c r="E829" t="s">
        <v>1759</v>
      </c>
      <c r="H829" t="s">
        <v>1758</v>
      </c>
    </row>
    <row r="830" spans="1:8" ht="15">
      <c r="A830" t="s">
        <v>1258</v>
      </c>
      <c r="B830" t="s">
        <v>1722</v>
      </c>
      <c r="D830" s="160" t="s">
        <v>271</v>
      </c>
      <c r="H830" t="s">
        <v>1758</v>
      </c>
    </row>
    <row r="831" spans="1:8" ht="15">
      <c r="A831" t="s">
        <v>1258</v>
      </c>
      <c r="B831" t="s">
        <v>1723</v>
      </c>
      <c r="D831" s="160" t="s">
        <v>320</v>
      </c>
      <c r="H831" t="s">
        <v>1758</v>
      </c>
    </row>
    <row r="832" spans="1:8" ht="15">
      <c r="A832" t="s">
        <v>1258</v>
      </c>
      <c r="B832" t="s">
        <v>1724</v>
      </c>
      <c r="D832" s="160" t="s">
        <v>1072</v>
      </c>
      <c r="H832" t="s">
        <v>1758</v>
      </c>
    </row>
    <row r="833" spans="1:8" ht="15">
      <c r="A833" t="s">
        <v>1258</v>
      </c>
      <c r="B833" t="s">
        <v>1725</v>
      </c>
      <c r="D833" s="160" t="s">
        <v>332</v>
      </c>
      <c r="H833" t="s">
        <v>1758</v>
      </c>
    </row>
    <row r="834" spans="1:8" ht="15">
      <c r="A834" t="s">
        <v>1258</v>
      </c>
      <c r="B834" t="s">
        <v>1153</v>
      </c>
      <c r="D834" s="160" t="s">
        <v>262</v>
      </c>
      <c r="H834" t="s">
        <v>1758</v>
      </c>
    </row>
    <row r="835" spans="1:8" ht="15">
      <c r="A835" t="s">
        <v>1258</v>
      </c>
      <c r="B835" t="s">
        <v>1157</v>
      </c>
      <c r="D835" s="160" t="s">
        <v>262</v>
      </c>
      <c r="H835" t="s">
        <v>1758</v>
      </c>
    </row>
    <row r="836" spans="1:8" ht="15">
      <c r="A836" t="s">
        <v>1258</v>
      </c>
      <c r="B836" t="s">
        <v>1161</v>
      </c>
      <c r="D836" s="160" t="s">
        <v>262</v>
      </c>
      <c r="H836" t="s">
        <v>1758</v>
      </c>
    </row>
    <row r="837" spans="1:8" ht="15">
      <c r="A837" t="s">
        <v>1258</v>
      </c>
      <c r="B837" t="s">
        <v>1726</v>
      </c>
      <c r="D837" s="160" t="s">
        <v>262</v>
      </c>
      <c r="H837" t="s">
        <v>1758</v>
      </c>
    </row>
    <row r="838" spans="1:8" ht="15">
      <c r="A838" t="s">
        <v>1258</v>
      </c>
      <c r="B838" t="s">
        <v>1727</v>
      </c>
      <c r="D838" s="160" t="s">
        <v>262</v>
      </c>
      <c r="H838" t="s">
        <v>1758</v>
      </c>
    </row>
    <row r="839" spans="1:8" ht="15">
      <c r="A839" t="s">
        <v>1258</v>
      </c>
      <c r="B839" t="s">
        <v>973</v>
      </c>
      <c r="D839" s="160" t="s">
        <v>262</v>
      </c>
      <c r="H839" t="s">
        <v>1758</v>
      </c>
    </row>
    <row r="840" spans="1:8" ht="15">
      <c r="A840" t="s">
        <v>1258</v>
      </c>
      <c r="B840" t="s">
        <v>1168</v>
      </c>
      <c r="D840" s="160" t="s">
        <v>262</v>
      </c>
      <c r="H840" t="s">
        <v>1758</v>
      </c>
    </row>
    <row r="841" spans="1:8" ht="15">
      <c r="A841" t="s">
        <v>1258</v>
      </c>
      <c r="B841" t="s">
        <v>1172</v>
      </c>
      <c r="D841" s="160" t="s">
        <v>262</v>
      </c>
      <c r="H841" t="s">
        <v>1758</v>
      </c>
    </row>
    <row r="842" spans="1:8" ht="15">
      <c r="A842" t="s">
        <v>1258</v>
      </c>
      <c r="B842" t="s">
        <v>1728</v>
      </c>
      <c r="D842" s="160" t="s">
        <v>271</v>
      </c>
      <c r="H842" t="s">
        <v>1758</v>
      </c>
    </row>
    <row r="843" spans="1:8" ht="15">
      <c r="A843" t="s">
        <v>1258</v>
      </c>
      <c r="B843" t="s">
        <v>1729</v>
      </c>
      <c r="D843" s="160" t="s">
        <v>320</v>
      </c>
      <c r="H843" t="s">
        <v>1758</v>
      </c>
    </row>
    <row r="844" spans="1:8" ht="15">
      <c r="A844" t="s">
        <v>1258</v>
      </c>
      <c r="B844" t="s">
        <v>1730</v>
      </c>
      <c r="D844" s="160" t="s">
        <v>1072</v>
      </c>
      <c r="H844" t="s">
        <v>1758</v>
      </c>
    </row>
    <row r="845" spans="1:8" ht="15">
      <c r="A845" t="s">
        <v>1258</v>
      </c>
      <c r="B845" t="s">
        <v>1731</v>
      </c>
      <c r="D845" s="160" t="s">
        <v>332</v>
      </c>
      <c r="H845" t="s">
        <v>1758</v>
      </c>
    </row>
    <row r="846" spans="1:8" ht="15">
      <c r="A846" t="s">
        <v>1258</v>
      </c>
      <c r="B846" t="s">
        <v>1732</v>
      </c>
      <c r="D846" s="160" t="s">
        <v>262</v>
      </c>
      <c r="H846" t="s">
        <v>1758</v>
      </c>
    </row>
    <row r="847" spans="1:8" ht="15">
      <c r="A847" t="s">
        <v>1258</v>
      </c>
      <c r="B847" t="s">
        <v>1176</v>
      </c>
      <c r="D847" s="160" t="s">
        <v>262</v>
      </c>
      <c r="H847" t="s">
        <v>1758</v>
      </c>
    </row>
    <row r="848" spans="1:8" ht="15">
      <c r="A848" t="s">
        <v>1258</v>
      </c>
      <c r="B848" t="s">
        <v>1180</v>
      </c>
      <c r="D848" s="160" t="s">
        <v>262</v>
      </c>
      <c r="H848" t="s">
        <v>1758</v>
      </c>
    </row>
    <row r="849" spans="1:8" ht="15">
      <c r="A849" t="s">
        <v>1258</v>
      </c>
      <c r="B849" t="s">
        <v>1184</v>
      </c>
      <c r="D849" s="160" t="s">
        <v>262</v>
      </c>
      <c r="H849" t="s">
        <v>1758</v>
      </c>
    </row>
    <row r="850" spans="1:8" ht="15">
      <c r="A850" t="s">
        <v>1258</v>
      </c>
      <c r="B850" t="s">
        <v>1733</v>
      </c>
      <c r="D850" s="160" t="s">
        <v>271</v>
      </c>
      <c r="H850" t="s">
        <v>1758</v>
      </c>
    </row>
    <row r="851" spans="1:8" ht="15">
      <c r="A851" t="s">
        <v>1258</v>
      </c>
      <c r="B851" t="s">
        <v>263</v>
      </c>
      <c r="D851" s="160" t="s">
        <v>320</v>
      </c>
      <c r="H851" t="s">
        <v>1758</v>
      </c>
    </row>
    <row r="852" spans="1:8" ht="15">
      <c r="A852" t="s">
        <v>1258</v>
      </c>
      <c r="B852" t="s">
        <v>1734</v>
      </c>
      <c r="D852" s="160" t="s">
        <v>1072</v>
      </c>
      <c r="H852" t="s">
        <v>1758</v>
      </c>
    </row>
    <row r="853" spans="1:8" ht="15">
      <c r="A853" t="s">
        <v>1258</v>
      </c>
      <c r="B853" t="s">
        <v>1735</v>
      </c>
      <c r="D853" s="160" t="s">
        <v>332</v>
      </c>
      <c r="H853" t="s">
        <v>1758</v>
      </c>
    </row>
    <row r="854" spans="1:8" ht="15">
      <c r="A854" t="s">
        <v>1258</v>
      </c>
      <c r="B854" t="s">
        <v>1736</v>
      </c>
      <c r="D854" s="160" t="s">
        <v>262</v>
      </c>
      <c r="H854" t="s">
        <v>1758</v>
      </c>
    </row>
    <row r="855" spans="1:8" ht="15">
      <c r="A855" t="s">
        <v>1258</v>
      </c>
      <c r="B855" t="s">
        <v>1188</v>
      </c>
      <c r="D855" s="160" t="s">
        <v>262</v>
      </c>
      <c r="H855" t="s">
        <v>1758</v>
      </c>
    </row>
    <row r="856" spans="1:8" ht="15">
      <c r="A856" t="s">
        <v>1258</v>
      </c>
      <c r="B856" t="s">
        <v>1192</v>
      </c>
      <c r="D856" s="160" t="s">
        <v>262</v>
      </c>
      <c r="H856" t="s">
        <v>1758</v>
      </c>
    </row>
    <row r="857" spans="1:8" ht="15">
      <c r="A857" t="s">
        <v>1258</v>
      </c>
      <c r="B857" t="s">
        <v>1196</v>
      </c>
      <c r="D857" s="160" t="s">
        <v>262</v>
      </c>
      <c r="H857" t="s">
        <v>1758</v>
      </c>
    </row>
    <row r="858" spans="1:8" ht="15">
      <c r="A858" t="s">
        <v>1258</v>
      </c>
      <c r="B858" t="s">
        <v>1737</v>
      </c>
      <c r="D858" s="160" t="s">
        <v>262</v>
      </c>
      <c r="H858" t="s">
        <v>1758</v>
      </c>
    </row>
    <row r="859" spans="1:8" ht="15">
      <c r="A859" t="s">
        <v>1258</v>
      </c>
      <c r="B859" t="s">
        <v>1207</v>
      </c>
      <c r="D859" s="160" t="s">
        <v>262</v>
      </c>
      <c r="H859" t="s">
        <v>1758</v>
      </c>
    </row>
    <row r="860" spans="1:8" ht="15">
      <c r="A860" t="s">
        <v>1258</v>
      </c>
      <c r="B860" t="s">
        <v>1211</v>
      </c>
      <c r="D860" s="160" t="s">
        <v>262</v>
      </c>
      <c r="H860" t="s">
        <v>1758</v>
      </c>
    </row>
    <row r="861" spans="1:8" ht="15">
      <c r="A861" t="s">
        <v>1258</v>
      </c>
      <c r="B861" t="s">
        <v>1215</v>
      </c>
      <c r="D861" s="160" t="s">
        <v>262</v>
      </c>
      <c r="H861" t="s">
        <v>1758</v>
      </c>
    </row>
    <row r="862" spans="1:8" ht="15">
      <c r="A862" t="s">
        <v>1258</v>
      </c>
      <c r="B862" t="s">
        <v>1738</v>
      </c>
      <c r="D862" s="160" t="s">
        <v>262</v>
      </c>
      <c r="H862" t="s">
        <v>1758</v>
      </c>
    </row>
    <row r="863" spans="1:8" ht="15">
      <c r="A863" t="s">
        <v>1258</v>
      </c>
      <c r="B863" t="s">
        <v>1225</v>
      </c>
      <c r="D863" s="160" t="s">
        <v>262</v>
      </c>
      <c r="H863" t="s">
        <v>1758</v>
      </c>
    </row>
    <row r="864" spans="1:8" ht="15">
      <c r="A864" t="s">
        <v>1258</v>
      </c>
      <c r="B864" t="s">
        <v>1229</v>
      </c>
      <c r="D864" s="160" t="s">
        <v>262</v>
      </c>
      <c r="H864" t="s">
        <v>1758</v>
      </c>
    </row>
    <row r="865" spans="1:8" ht="15">
      <c r="A865" t="s">
        <v>1258</v>
      </c>
      <c r="B865" t="s">
        <v>1233</v>
      </c>
      <c r="D865" s="160" t="s">
        <v>262</v>
      </c>
      <c r="H865" t="s">
        <v>1758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I40"/>
  <sheetViews>
    <sheetView zoomScalePageLayoutView="0" workbookViewId="0" topLeftCell="A16">
      <selection activeCell="B40" sqref="B40"/>
    </sheetView>
  </sheetViews>
  <sheetFormatPr defaultColWidth="8.88671875" defaultRowHeight="15"/>
  <cols>
    <col min="1" max="1" width="23.77734375" style="0" customWidth="1"/>
    <col min="2" max="2" width="11.88671875" style="7" customWidth="1"/>
    <col min="3" max="3" width="10.99609375" style="7" bestFit="1" customWidth="1"/>
    <col min="4" max="4" width="3.21484375" style="0" hidden="1" customWidth="1"/>
    <col min="5" max="5" width="2.88671875" style="0" hidden="1" customWidth="1"/>
    <col min="6" max="6" width="9.99609375" style="0" customWidth="1"/>
    <col min="7" max="8" width="7.5546875" style="0" customWidth="1"/>
  </cols>
  <sheetData>
    <row r="1" ht="15">
      <c r="A1" s="9" t="s">
        <v>249</v>
      </c>
    </row>
    <row r="2" ht="15"/>
    <row r="3" spans="1:5" ht="15">
      <c r="A3" s="170" t="s">
        <v>116</v>
      </c>
      <c r="B3" s="171"/>
      <c r="C3" s="171"/>
      <c r="E3" s="9" t="s">
        <v>136</v>
      </c>
    </row>
    <row r="4" ht="15"/>
    <row r="5" ht="15"/>
    <row r="7" ht="15">
      <c r="A7" s="9"/>
    </row>
    <row r="8" spans="1:3" ht="15.75" thickBot="1">
      <c r="A8" t="s">
        <v>117</v>
      </c>
      <c r="B8" s="113">
        <v>393664</v>
      </c>
      <c r="C8" s="113">
        <v>431338</v>
      </c>
    </row>
    <row r="9" ht="15.75" thickTop="1"/>
    <row r="10" ht="15">
      <c r="A10" s="170" t="s">
        <v>118</v>
      </c>
    </row>
    <row r="11" spans="1:3" ht="15">
      <c r="A11" t="s">
        <v>119</v>
      </c>
      <c r="B11" s="7">
        <v>0</v>
      </c>
      <c r="C11" s="7">
        <v>0</v>
      </c>
    </row>
    <row r="12" spans="1:3" ht="15">
      <c r="A12" t="s">
        <v>120</v>
      </c>
      <c r="B12" s="7">
        <v>2540591</v>
      </c>
      <c r="C12" s="7">
        <v>2773427</v>
      </c>
    </row>
    <row r="13" spans="1:3" ht="15">
      <c r="A13" t="s">
        <v>121</v>
      </c>
      <c r="B13" s="72">
        <f>-2043204</f>
        <v>-2043204</v>
      </c>
      <c r="C13" s="72">
        <f>-2374851</f>
        <v>-2374851</v>
      </c>
    </row>
    <row r="14" spans="1:3" ht="15.75" thickBot="1">
      <c r="A14" t="s">
        <v>122</v>
      </c>
      <c r="B14" s="235">
        <f>SUM(B11:B13)</f>
        <v>497387</v>
      </c>
      <c r="C14" s="235">
        <f>SUM(C11:C13)</f>
        <v>398576</v>
      </c>
    </row>
    <row r="15" spans="2:3" ht="15.75" thickTop="1">
      <c r="B15" s="72"/>
      <c r="C15" s="72"/>
    </row>
    <row r="16" spans="1:3" ht="15">
      <c r="A16" s="170" t="s">
        <v>123</v>
      </c>
      <c r="B16" s="72"/>
      <c r="C16" s="72"/>
    </row>
    <row r="17" spans="1:3" ht="15">
      <c r="A17" s="9" t="s">
        <v>1790</v>
      </c>
      <c r="B17" s="174">
        <v>16922</v>
      </c>
      <c r="C17" s="72">
        <v>0</v>
      </c>
    </row>
    <row r="18" spans="1:3" ht="15">
      <c r="A18" s="9" t="s">
        <v>226</v>
      </c>
      <c r="B18" s="174">
        <v>0</v>
      </c>
      <c r="C18" s="72">
        <v>0</v>
      </c>
    </row>
    <row r="19" spans="1:3" ht="15.75" thickBot="1">
      <c r="A19" t="s">
        <v>124</v>
      </c>
      <c r="B19" s="235">
        <f>SUM(B17:B18)</f>
        <v>16922</v>
      </c>
      <c r="C19" s="235">
        <f>SUM(C17:C18)</f>
        <v>0</v>
      </c>
    </row>
    <row r="20" spans="1:3" ht="17.25" thickBot="1" thickTop="1">
      <c r="A20" s="17" t="s">
        <v>125</v>
      </c>
      <c r="B20" s="244">
        <f>+B19+B14+B8</f>
        <v>907973</v>
      </c>
      <c r="C20" s="244">
        <f>+C19+C14+C8</f>
        <v>829914</v>
      </c>
    </row>
    <row r="21" ht="15.75" thickTop="1"/>
    <row r="22" ht="15">
      <c r="A22" s="170" t="s">
        <v>126</v>
      </c>
    </row>
    <row r="23" spans="1:3" ht="15">
      <c r="A23" s="9" t="s">
        <v>127</v>
      </c>
      <c r="B23" s="7">
        <v>128148</v>
      </c>
      <c r="C23" s="7">
        <v>119967</v>
      </c>
    </row>
    <row r="24" spans="1:9" ht="15.75" thickBot="1">
      <c r="A24" s="9" t="s">
        <v>128</v>
      </c>
      <c r="B24" s="113">
        <f>SUM(B23)</f>
        <v>128148</v>
      </c>
      <c r="C24" s="113">
        <f>SUM(C23)</f>
        <v>119967</v>
      </c>
      <c r="D24" s="113" t="e">
        <f>SUM(#REF!)</f>
        <v>#REF!</v>
      </c>
      <c r="E24" s="31"/>
      <c r="F24" s="245" t="s">
        <v>141</v>
      </c>
      <c r="G24" s="240"/>
      <c r="H24" s="240"/>
      <c r="I24" s="240"/>
    </row>
    <row r="25" spans="3:9" ht="30.75" thickTop="1">
      <c r="C25" s="72"/>
      <c r="F25" s="246" t="s">
        <v>137</v>
      </c>
      <c r="G25" s="246" t="s">
        <v>138</v>
      </c>
      <c r="H25" s="246" t="s">
        <v>139</v>
      </c>
      <c r="I25" s="246" t="s">
        <v>140</v>
      </c>
    </row>
    <row r="26" spans="1:9" ht="15">
      <c r="A26" s="170" t="s">
        <v>129</v>
      </c>
      <c r="C26" s="72"/>
      <c r="F26" s="236"/>
      <c r="G26" s="237"/>
      <c r="H26" s="238"/>
      <c r="I26" s="239"/>
    </row>
    <row r="27" spans="1:9" ht="15">
      <c r="A27" s="9" t="s">
        <v>1791</v>
      </c>
      <c r="B27" s="7">
        <v>64024</v>
      </c>
      <c r="C27" s="174">
        <v>29573</v>
      </c>
      <c r="E27" s="7"/>
      <c r="F27" s="236">
        <f>+B27</f>
        <v>64024</v>
      </c>
      <c r="G27" s="237">
        <f>+F27/$F$29</f>
        <v>1</v>
      </c>
      <c r="H27" s="238">
        <v>0.05</v>
      </c>
      <c r="I27" s="239">
        <f>+H27*G27</f>
        <v>0.05</v>
      </c>
    </row>
    <row r="28" spans="1:9" ht="15">
      <c r="A28" s="9"/>
      <c r="C28" s="174"/>
      <c r="E28" s="7"/>
      <c r="F28" s="236"/>
      <c r="G28" s="237"/>
      <c r="H28" s="238"/>
      <c r="I28" s="239"/>
    </row>
    <row r="29" spans="1:9" ht="15.75" thickBot="1">
      <c r="A29" s="9" t="s">
        <v>130</v>
      </c>
      <c r="B29" s="113">
        <f>SUM(B27:B28)</f>
        <v>64024</v>
      </c>
      <c r="C29" s="113">
        <f>SUM(C27:C28)</f>
        <v>29573</v>
      </c>
      <c r="D29" s="113">
        <f>SUM(D27:D28)</f>
        <v>0</v>
      </c>
      <c r="E29" s="113">
        <f>SUM(E27:E28)+E24</f>
        <v>0</v>
      </c>
      <c r="F29" s="241">
        <f>SUM(F26:F28)</f>
        <v>64024</v>
      </c>
      <c r="G29" s="242">
        <f>SUM(G26:G28)</f>
        <v>1</v>
      </c>
      <c r="H29" s="240"/>
      <c r="I29" s="243">
        <f>SUM(I27:I28)</f>
        <v>0.05</v>
      </c>
    </row>
    <row r="30" spans="6:9" ht="15.75" thickTop="1">
      <c r="F30" s="240"/>
      <c r="G30" s="240"/>
      <c r="H30" s="240"/>
      <c r="I30" s="240"/>
    </row>
    <row r="31" ht="15">
      <c r="A31" s="170" t="s">
        <v>131</v>
      </c>
    </row>
    <row r="32" spans="1:5" ht="15">
      <c r="A32" s="9" t="s">
        <v>132</v>
      </c>
      <c r="B32" s="7">
        <v>88946</v>
      </c>
      <c r="C32" s="7">
        <v>88948</v>
      </c>
      <c r="E32" s="7"/>
    </row>
    <row r="33" spans="1:5" ht="15">
      <c r="A33" s="9" t="s">
        <v>133</v>
      </c>
      <c r="B33" s="7">
        <v>626855</v>
      </c>
      <c r="C33" s="7">
        <v>591426</v>
      </c>
      <c r="E33" s="7"/>
    </row>
    <row r="34" spans="1:5" ht="15.75" thickBot="1">
      <c r="A34" s="9" t="s">
        <v>134</v>
      </c>
      <c r="B34" s="113">
        <f>SUM(B32:B33)</f>
        <v>715801</v>
      </c>
      <c r="C34" s="113">
        <f>SUM(C32:C33)</f>
        <v>680374</v>
      </c>
      <c r="D34" s="113">
        <f>SUM(D32:D33)</f>
        <v>0</v>
      </c>
      <c r="E34" s="113"/>
    </row>
    <row r="35" ht="15.75" thickTop="1"/>
    <row r="36" spans="1:5" ht="15">
      <c r="A36" s="9" t="s">
        <v>251</v>
      </c>
      <c r="B36" s="7">
        <f>+B34+B29+B24</f>
        <v>907973</v>
      </c>
      <c r="C36" s="7">
        <f>+C34+C29+C24</f>
        <v>829914</v>
      </c>
      <c r="D36" s="7" t="e">
        <f>+D34+D29+D24</f>
        <v>#REF!</v>
      </c>
      <c r="E36" s="7"/>
    </row>
    <row r="38" ht="15">
      <c r="B38" t="s">
        <v>135</v>
      </c>
    </row>
    <row r="39" spans="1:3" ht="15">
      <c r="A39" t="s">
        <v>126</v>
      </c>
      <c r="B39" s="14">
        <f>+(B24+B29)/B36</f>
        <v>0.21164946534753787</v>
      </c>
      <c r="C39" s="169" t="s">
        <v>250</v>
      </c>
    </row>
    <row r="40" spans="1:2" ht="15">
      <c r="A40" t="s">
        <v>115</v>
      </c>
      <c r="B40" s="14">
        <f>+B34/B36</f>
        <v>0.7883505346524622</v>
      </c>
    </row>
  </sheetData>
  <sheetProtection/>
  <printOptions/>
  <pageMargins left="0.22" right="0.19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106"/>
  <sheetViews>
    <sheetView zoomScalePageLayoutView="0" workbookViewId="0" topLeftCell="A32">
      <selection activeCell="M64" sqref="M64"/>
    </sheetView>
  </sheetViews>
  <sheetFormatPr defaultColWidth="8.88671875" defaultRowHeight="15"/>
  <cols>
    <col min="1" max="1" width="22.6640625" style="54" customWidth="1"/>
    <col min="2" max="2" width="7.3359375" style="54" customWidth="1"/>
    <col min="3" max="3" width="8.10546875" style="54" customWidth="1"/>
    <col min="4" max="4" width="1.5625" style="54" customWidth="1"/>
    <col min="5" max="5" width="8.88671875" style="54" hidden="1" customWidth="1"/>
    <col min="6" max="6" width="2.4453125" style="258" customWidth="1"/>
    <col min="7" max="7" width="9.88671875" style="258" bestFit="1" customWidth="1"/>
    <col min="8" max="8" width="3.21484375" style="258" customWidth="1"/>
    <col min="9" max="16384" width="8.88671875" style="54" customWidth="1"/>
  </cols>
  <sheetData>
    <row r="1" spans="1:12" ht="15.75">
      <c r="A1" s="249" t="s">
        <v>1840</v>
      </c>
      <c r="B1" s="250"/>
      <c r="C1" s="250"/>
      <c r="D1" s="250"/>
      <c r="E1" s="250"/>
      <c r="F1" s="251"/>
      <c r="I1" s="250"/>
      <c r="J1" s="250"/>
      <c r="K1" s="250"/>
      <c r="L1" s="250"/>
    </row>
    <row r="2" spans="1:12" ht="15.75">
      <c r="A2" s="250" t="s">
        <v>1841</v>
      </c>
      <c r="B2" s="250"/>
      <c r="C2" s="252"/>
      <c r="D2" s="252"/>
      <c r="E2" s="252"/>
      <c r="F2" s="252"/>
      <c r="G2" s="252"/>
      <c r="H2" s="252"/>
      <c r="I2" s="250"/>
      <c r="J2" s="250"/>
      <c r="K2" s="250"/>
      <c r="L2" s="250"/>
    </row>
    <row r="3" spans="1:12" ht="15.75">
      <c r="A3" s="250"/>
      <c r="B3" s="250"/>
      <c r="C3" s="252" t="s">
        <v>1777</v>
      </c>
      <c r="D3" s="252"/>
      <c r="E3" s="252"/>
      <c r="F3" s="252"/>
      <c r="G3" s="252"/>
      <c r="H3" s="252"/>
      <c r="I3" s="250" t="s">
        <v>78</v>
      </c>
      <c r="J3" s="250"/>
      <c r="K3" s="289">
        <v>0.119</v>
      </c>
      <c r="L3" s="250"/>
    </row>
    <row r="4" spans="1:13" ht="15.75">
      <c r="A4" s="250"/>
      <c r="B4" s="252" t="s">
        <v>228</v>
      </c>
      <c r="C4" s="252" t="s">
        <v>229</v>
      </c>
      <c r="D4" s="252"/>
      <c r="E4" s="252" t="s">
        <v>229</v>
      </c>
      <c r="F4" s="252"/>
      <c r="G4" s="252" t="s">
        <v>229</v>
      </c>
      <c r="H4" s="252"/>
      <c r="I4" s="252" t="s">
        <v>229</v>
      </c>
      <c r="J4" s="252" t="s">
        <v>229</v>
      </c>
      <c r="K4" s="289">
        <v>0.084</v>
      </c>
      <c r="L4" s="252"/>
      <c r="M4" s="252"/>
    </row>
    <row r="5" spans="1:13" ht="15.75">
      <c r="A5" s="253" t="s">
        <v>79</v>
      </c>
      <c r="B5" s="253" t="s">
        <v>230</v>
      </c>
      <c r="C5" s="253" t="s">
        <v>16</v>
      </c>
      <c r="D5" s="253"/>
      <c r="E5" s="253" t="s">
        <v>19</v>
      </c>
      <c r="F5" s="253"/>
      <c r="G5" s="253" t="s">
        <v>19</v>
      </c>
      <c r="H5" s="253"/>
      <c r="I5" s="253" t="s">
        <v>16</v>
      </c>
      <c r="J5" s="262" t="s">
        <v>232</v>
      </c>
      <c r="K5" s="262"/>
      <c r="L5" s="253"/>
      <c r="M5" s="253"/>
    </row>
    <row r="6" spans="1:13" ht="16.5">
      <c r="A6" s="271" t="s">
        <v>1842</v>
      </c>
      <c r="B6" s="254">
        <v>0</v>
      </c>
      <c r="C6" s="255">
        <v>13.47</v>
      </c>
      <c r="D6" s="255"/>
      <c r="E6" s="254" t="e">
        <f>B6*#REF!</f>
        <v>#REF!</v>
      </c>
      <c r="F6" s="251"/>
      <c r="G6" s="256">
        <f aca="true" t="shared" si="0" ref="G6:G15">C6*B6</f>
        <v>0</v>
      </c>
      <c r="H6" s="256"/>
      <c r="I6" s="255">
        <f>C6*(1+K3)</f>
        <v>15.072930000000001</v>
      </c>
      <c r="J6" s="251">
        <f aca="true" t="shared" si="1" ref="J6:J15">(I6-C6)*B6</f>
        <v>0</v>
      </c>
      <c r="K6" s="250"/>
      <c r="L6" s="285"/>
      <c r="M6" s="251"/>
    </row>
    <row r="7" spans="1:13" ht="15.75">
      <c r="A7" s="249" t="s">
        <v>1886</v>
      </c>
      <c r="B7" s="254">
        <v>201</v>
      </c>
      <c r="C7" s="255">
        <v>16.39</v>
      </c>
      <c r="D7" s="255"/>
      <c r="E7" s="254" t="e">
        <f>B7*#REF!</f>
        <v>#REF!</v>
      </c>
      <c r="F7" s="251"/>
      <c r="G7" s="256">
        <f t="shared" si="0"/>
        <v>3294.3900000000003</v>
      </c>
      <c r="H7" s="256"/>
      <c r="I7" s="255">
        <f>C7*(1+K3)</f>
        <v>18.340410000000002</v>
      </c>
      <c r="J7" s="251">
        <f t="shared" si="1"/>
        <v>392.0324100000003</v>
      </c>
      <c r="K7" s="250"/>
      <c r="L7" s="285"/>
      <c r="M7" s="251"/>
    </row>
    <row r="8" spans="1:13" ht="15.75">
      <c r="A8" s="249" t="s">
        <v>1887</v>
      </c>
      <c r="B8" s="254">
        <v>87</v>
      </c>
      <c r="C8" s="255">
        <v>24.92</v>
      </c>
      <c r="D8" s="255"/>
      <c r="E8" s="254" t="e">
        <f>B8*#REF!</f>
        <v>#REF!</v>
      </c>
      <c r="F8" s="251"/>
      <c r="G8" s="256">
        <f t="shared" si="0"/>
        <v>2168.04</v>
      </c>
      <c r="H8" s="256"/>
      <c r="I8" s="255">
        <f>C8*(1+K3)</f>
        <v>27.88548</v>
      </c>
      <c r="J8" s="251">
        <f t="shared" si="1"/>
        <v>257.99675999999994</v>
      </c>
      <c r="K8" s="250"/>
      <c r="L8" s="285"/>
      <c r="M8" s="251"/>
    </row>
    <row r="9" spans="1:13" ht="15.75">
      <c r="A9" s="249" t="s">
        <v>1888</v>
      </c>
      <c r="B9" s="254">
        <v>2</v>
      </c>
      <c r="C9" s="255">
        <v>32.98</v>
      </c>
      <c r="D9" s="255"/>
      <c r="E9" s="254" t="e">
        <f>B9*#REF!</f>
        <v>#REF!</v>
      </c>
      <c r="F9" s="251"/>
      <c r="G9" s="256">
        <f t="shared" si="0"/>
        <v>65.96</v>
      </c>
      <c r="H9" s="256"/>
      <c r="I9" s="255">
        <f>C9*(1+K3)</f>
        <v>36.904619999999994</v>
      </c>
      <c r="J9" s="251">
        <f t="shared" si="1"/>
        <v>7.849239999999995</v>
      </c>
      <c r="K9" s="250"/>
      <c r="L9" s="285"/>
      <c r="M9" s="251"/>
    </row>
    <row r="10" spans="1:13" ht="15.75">
      <c r="A10" s="249" t="s">
        <v>1889</v>
      </c>
      <c r="B10" s="254">
        <v>0</v>
      </c>
      <c r="C10" s="255">
        <v>41.47</v>
      </c>
      <c r="D10" s="255"/>
      <c r="E10" s="254" t="e">
        <f>B10*#REF!</f>
        <v>#REF!</v>
      </c>
      <c r="F10" s="251"/>
      <c r="G10" s="256">
        <f t="shared" si="0"/>
        <v>0</v>
      </c>
      <c r="H10" s="256"/>
      <c r="I10" s="255">
        <f>C10*(1+K3)</f>
        <v>46.40493</v>
      </c>
      <c r="J10" s="251">
        <f t="shared" si="1"/>
        <v>0</v>
      </c>
      <c r="K10" s="250"/>
      <c r="L10" s="285"/>
      <c r="M10" s="251"/>
    </row>
    <row r="11" spans="1:13" ht="15.75">
      <c r="A11" s="249" t="s">
        <v>1890</v>
      </c>
      <c r="B11" s="254">
        <v>1</v>
      </c>
      <c r="C11" s="255">
        <v>49.53</v>
      </c>
      <c r="D11" s="255"/>
      <c r="E11" s="254" t="e">
        <f>B11*#REF!</f>
        <v>#REF!</v>
      </c>
      <c r="F11" s="251"/>
      <c r="G11" s="256">
        <f t="shared" si="0"/>
        <v>49.53</v>
      </c>
      <c r="H11" s="256"/>
      <c r="I11" s="255">
        <f>C11*(1+K3)</f>
        <v>55.42407</v>
      </c>
      <c r="J11" s="251">
        <f t="shared" si="1"/>
        <v>5.894069999999999</v>
      </c>
      <c r="K11" s="250"/>
      <c r="L11" s="285"/>
      <c r="M11" s="251"/>
    </row>
    <row r="12" spans="1:13" ht="15.75">
      <c r="A12" s="249" t="s">
        <v>1891</v>
      </c>
      <c r="B12" s="254">
        <v>262</v>
      </c>
      <c r="C12" s="255">
        <v>9.07</v>
      </c>
      <c r="D12" s="255"/>
      <c r="E12" s="254" t="e">
        <f>B12*#REF!</f>
        <v>#REF!</v>
      </c>
      <c r="F12" s="251"/>
      <c r="G12" s="256">
        <f t="shared" si="0"/>
        <v>2376.34</v>
      </c>
      <c r="H12" s="256"/>
      <c r="I12" s="255">
        <f>C12*(1+K3)</f>
        <v>10.14933</v>
      </c>
      <c r="J12" s="251">
        <f t="shared" si="1"/>
        <v>282.78446000000014</v>
      </c>
      <c r="K12" s="250"/>
      <c r="L12" s="285"/>
      <c r="M12" s="251"/>
    </row>
    <row r="13" spans="1:13" ht="15.75">
      <c r="A13" s="249" t="s">
        <v>1892</v>
      </c>
      <c r="B13" s="254">
        <v>65</v>
      </c>
      <c r="C13" s="255">
        <v>12.78</v>
      </c>
      <c r="D13" s="255"/>
      <c r="E13" s="254" t="e">
        <f>B13*#REF!</f>
        <v>#REF!</v>
      </c>
      <c r="F13" s="251"/>
      <c r="G13" s="256">
        <f t="shared" si="0"/>
        <v>830.6999999999999</v>
      </c>
      <c r="H13" s="256"/>
      <c r="I13" s="255">
        <f>C13*(1+K3)</f>
        <v>14.30082</v>
      </c>
      <c r="J13" s="251">
        <f t="shared" si="1"/>
        <v>98.85330000000003</v>
      </c>
      <c r="K13" s="250"/>
      <c r="L13" s="285"/>
      <c r="M13" s="251"/>
    </row>
    <row r="14" spans="1:13" ht="15.75">
      <c r="A14" s="249" t="s">
        <v>1893</v>
      </c>
      <c r="B14" s="254">
        <v>5</v>
      </c>
      <c r="C14" s="255">
        <v>17.55</v>
      </c>
      <c r="D14" s="255"/>
      <c r="E14" s="254" t="e">
        <f>B14*#REF!</f>
        <v>#REF!</v>
      </c>
      <c r="F14" s="251"/>
      <c r="G14" s="256">
        <f t="shared" si="0"/>
        <v>87.75</v>
      </c>
      <c r="H14" s="256"/>
      <c r="I14" s="255">
        <f>C14*(1+K3)</f>
        <v>19.638450000000002</v>
      </c>
      <c r="J14" s="251">
        <f>(I14-C14)*B14</f>
        <v>10.442250000000008</v>
      </c>
      <c r="K14" s="250"/>
      <c r="L14" s="285"/>
      <c r="M14" s="251"/>
    </row>
    <row r="15" spans="1:13" ht="15.75">
      <c r="A15" s="249" t="s">
        <v>1894</v>
      </c>
      <c r="B15" s="254">
        <v>25</v>
      </c>
      <c r="C15" s="255">
        <v>5.78</v>
      </c>
      <c r="D15" s="255"/>
      <c r="E15" s="254" t="e">
        <f>B15*#REF!</f>
        <v>#REF!</v>
      </c>
      <c r="F15" s="251"/>
      <c r="G15" s="256">
        <f t="shared" si="0"/>
        <v>144.5</v>
      </c>
      <c r="H15" s="256"/>
      <c r="I15" s="255">
        <f>C15*(1+K3)</f>
        <v>6.467820000000001</v>
      </c>
      <c r="J15" s="251">
        <f t="shared" si="1"/>
        <v>17.19550000000001</v>
      </c>
      <c r="K15" s="250"/>
      <c r="L15" s="250"/>
      <c r="M15" s="251"/>
    </row>
    <row r="16" spans="1:13" ht="15.75">
      <c r="A16" s="249" t="s">
        <v>1895</v>
      </c>
      <c r="B16" s="254">
        <v>46</v>
      </c>
      <c r="C16" s="255">
        <v>5.78</v>
      </c>
      <c r="D16" s="255"/>
      <c r="E16" s="254" t="e">
        <f>B16*#REF!</f>
        <v>#REF!</v>
      </c>
      <c r="F16" s="251"/>
      <c r="G16" s="256">
        <f>C16*B16</f>
        <v>265.88</v>
      </c>
      <c r="H16" s="256"/>
      <c r="I16" s="255">
        <f>C16*(1+K3)</f>
        <v>6.467820000000001</v>
      </c>
      <c r="J16" s="251">
        <f>(I16-C16)*B16</f>
        <v>31.639720000000015</v>
      </c>
      <c r="K16" s="250"/>
      <c r="L16" s="250"/>
      <c r="M16" s="251"/>
    </row>
    <row r="17" spans="1:13" ht="15.75">
      <c r="A17" s="249" t="s">
        <v>52</v>
      </c>
      <c r="B17" s="254">
        <v>0</v>
      </c>
      <c r="C17" s="255">
        <v>4.24</v>
      </c>
      <c r="D17" s="255"/>
      <c r="E17" s="254" t="e">
        <f>B17*#REF!</f>
        <v>#REF!</v>
      </c>
      <c r="F17" s="251"/>
      <c r="G17" s="256">
        <f>C17*B17</f>
        <v>0</v>
      </c>
      <c r="H17" s="256"/>
      <c r="I17" s="255">
        <f>C17*(1+K3)</f>
        <v>4.74456</v>
      </c>
      <c r="J17" s="251">
        <f>(I17-C17)*B17</f>
        <v>0</v>
      </c>
      <c r="K17" s="250"/>
      <c r="L17" s="250"/>
      <c r="M17" s="251"/>
    </row>
    <row r="18" spans="2:13" ht="15.75" hidden="1">
      <c r="B18" s="254"/>
      <c r="C18" s="255"/>
      <c r="D18" s="255"/>
      <c r="E18" s="254"/>
      <c r="F18" s="251"/>
      <c r="G18" s="256"/>
      <c r="H18" s="256"/>
      <c r="I18" s="267"/>
      <c r="J18" s="251"/>
      <c r="K18" s="250"/>
      <c r="L18" s="250"/>
      <c r="M18" s="251"/>
    </row>
    <row r="19" spans="1:12" ht="15.75" hidden="1">
      <c r="A19" s="250" t="s">
        <v>231</v>
      </c>
      <c r="B19" s="250"/>
      <c r="C19" s="250"/>
      <c r="D19" s="250"/>
      <c r="E19" s="257"/>
      <c r="F19" s="251"/>
      <c r="G19" s="251"/>
      <c r="H19" s="251"/>
      <c r="I19" s="267"/>
      <c r="J19" s="250"/>
      <c r="K19" s="250"/>
      <c r="L19" s="250"/>
    </row>
    <row r="20" spans="1:12" ht="15.75">
      <c r="A20" s="249" t="s">
        <v>233</v>
      </c>
      <c r="B20" s="250"/>
      <c r="C20" s="250"/>
      <c r="D20" s="250"/>
      <c r="E20" s="254" t="e">
        <f>SUM(E6:E18)</f>
        <v>#REF!</v>
      </c>
      <c r="G20" s="254">
        <f>SUM(G6:G19)</f>
        <v>9283.09</v>
      </c>
      <c r="H20" s="254"/>
      <c r="I20" s="254"/>
      <c r="J20" s="254">
        <f>SUM(J6:J19)</f>
        <v>1104.6877100000006</v>
      </c>
      <c r="K20" s="254"/>
      <c r="L20" s="250"/>
    </row>
    <row r="21" spans="1:12" ht="16.5" thickBot="1">
      <c r="A21" s="249" t="s">
        <v>1778</v>
      </c>
      <c r="B21" s="250"/>
      <c r="C21" s="250"/>
      <c r="D21" s="250"/>
      <c r="E21" s="259" t="e">
        <f>E20*12</f>
        <v>#REF!</v>
      </c>
      <c r="G21" s="259">
        <f>G20*12</f>
        <v>111397.08</v>
      </c>
      <c r="H21" s="259"/>
      <c r="J21" s="259">
        <f>J20*12</f>
        <v>13256.252520000007</v>
      </c>
      <c r="K21" s="259"/>
      <c r="L21" s="250"/>
    </row>
    <row r="22" spans="1:12" ht="17.25" thickTop="1">
      <c r="A22" s="271" t="s">
        <v>1896</v>
      </c>
      <c r="B22" s="250"/>
      <c r="D22" s="250"/>
      <c r="E22" s="254"/>
      <c r="F22" s="251"/>
      <c r="G22" s="286"/>
      <c r="H22" s="286"/>
      <c r="I22" s="260"/>
      <c r="J22" s="250"/>
      <c r="K22" s="250"/>
      <c r="L22" s="250"/>
    </row>
    <row r="23" spans="1:12" ht="15.75">
      <c r="A23" s="249" t="s">
        <v>1897</v>
      </c>
      <c r="B23" s="250">
        <v>74</v>
      </c>
      <c r="C23" s="258">
        <v>64.35</v>
      </c>
      <c r="D23" s="249"/>
      <c r="E23" s="250"/>
      <c r="F23" s="251"/>
      <c r="G23" s="256">
        <f>C23*B23</f>
        <v>4761.9</v>
      </c>
      <c r="H23" s="256"/>
      <c r="I23" s="255">
        <f>C23*(1+K3)</f>
        <v>72.00765</v>
      </c>
      <c r="J23" s="251">
        <f aca="true" t="shared" si="2" ref="J23:J40">(I23-C23)*B23</f>
        <v>566.6661000000003</v>
      </c>
      <c r="K23" s="250"/>
      <c r="L23" s="250"/>
    </row>
    <row r="24" spans="1:12" ht="15.75">
      <c r="A24" s="249" t="s">
        <v>1898</v>
      </c>
      <c r="B24" s="250">
        <v>2</v>
      </c>
      <c r="C24" s="258">
        <v>128.7</v>
      </c>
      <c r="D24" s="249"/>
      <c r="E24" s="250"/>
      <c r="F24" s="251"/>
      <c r="G24" s="256">
        <f aca="true" t="shared" si="3" ref="G24:G37">C24*B24</f>
        <v>257.4</v>
      </c>
      <c r="H24" s="256"/>
      <c r="I24" s="255">
        <f>C24*(1+K3)</f>
        <v>144.0153</v>
      </c>
      <c r="J24" s="251">
        <f t="shared" si="2"/>
        <v>30.630600000000015</v>
      </c>
      <c r="K24" s="250"/>
      <c r="L24" s="250"/>
    </row>
    <row r="25" spans="1:12" ht="15.75">
      <c r="A25" s="249" t="s">
        <v>1899</v>
      </c>
      <c r="B25" s="250">
        <v>1056</v>
      </c>
      <c r="C25" s="251">
        <v>32.23</v>
      </c>
      <c r="D25" s="250"/>
      <c r="E25" s="250"/>
      <c r="F25" s="251"/>
      <c r="G25" s="256">
        <f t="shared" si="3"/>
        <v>34034.88</v>
      </c>
      <c r="H25" s="256"/>
      <c r="I25" s="255">
        <f>C25*(1+K3)</f>
        <v>36.065369999999994</v>
      </c>
      <c r="J25" s="251">
        <f t="shared" si="2"/>
        <v>4050.1507199999974</v>
      </c>
      <c r="K25" s="250"/>
      <c r="L25" s="250"/>
    </row>
    <row r="26" spans="1:12" ht="15.75">
      <c r="A26" s="249" t="s">
        <v>1900</v>
      </c>
      <c r="B26" s="250">
        <v>2</v>
      </c>
      <c r="C26" s="251">
        <v>16.97</v>
      </c>
      <c r="D26" s="250"/>
      <c r="E26" s="250"/>
      <c r="F26" s="251"/>
      <c r="G26" s="256">
        <f t="shared" si="3"/>
        <v>33.94</v>
      </c>
      <c r="H26" s="256"/>
      <c r="I26" s="255">
        <f>C26*(1+K3)</f>
        <v>18.98943</v>
      </c>
      <c r="J26" s="251">
        <f t="shared" si="2"/>
        <v>4.03886</v>
      </c>
      <c r="K26" s="250"/>
      <c r="L26" s="250"/>
    </row>
    <row r="27" spans="1:12" ht="15.75">
      <c r="A27" s="249" t="s">
        <v>1901</v>
      </c>
      <c r="B27" s="250">
        <v>6</v>
      </c>
      <c r="C27" s="251">
        <v>16.97</v>
      </c>
      <c r="D27" s="250"/>
      <c r="E27" s="250"/>
      <c r="F27" s="251"/>
      <c r="G27" s="256">
        <f t="shared" si="3"/>
        <v>101.82</v>
      </c>
      <c r="H27" s="256"/>
      <c r="I27" s="255">
        <f>C27*(1+K3)</f>
        <v>18.98943</v>
      </c>
      <c r="J27" s="251">
        <f t="shared" si="2"/>
        <v>12.116579999999999</v>
      </c>
      <c r="K27" s="250"/>
      <c r="L27" s="250"/>
    </row>
    <row r="28" spans="1:10" ht="15.75">
      <c r="A28" s="249" t="s">
        <v>1902</v>
      </c>
      <c r="B28" s="250">
        <v>21</v>
      </c>
      <c r="C28" s="258">
        <v>90.02</v>
      </c>
      <c r="G28" s="256">
        <f t="shared" si="3"/>
        <v>1890.4199999999998</v>
      </c>
      <c r="H28" s="256"/>
      <c r="I28" s="255">
        <f>C28*(1+K3)</f>
        <v>100.73237999999999</v>
      </c>
      <c r="J28" s="251">
        <f t="shared" si="2"/>
        <v>224.95997999999992</v>
      </c>
    </row>
    <row r="29" spans="1:10" ht="15.75">
      <c r="A29" s="249" t="s">
        <v>1903</v>
      </c>
      <c r="B29" s="250">
        <v>5</v>
      </c>
      <c r="C29" s="251">
        <v>180.04</v>
      </c>
      <c r="G29" s="256">
        <f t="shared" si="3"/>
        <v>900.1999999999999</v>
      </c>
      <c r="H29" s="256"/>
      <c r="I29" s="255">
        <f>C29*(1+K3)</f>
        <v>201.46475999999998</v>
      </c>
      <c r="J29" s="251">
        <f t="shared" si="2"/>
        <v>107.12379999999996</v>
      </c>
    </row>
    <row r="30" spans="1:10" ht="15.75">
      <c r="A30" s="249" t="s">
        <v>1904</v>
      </c>
      <c r="B30" s="250">
        <v>32</v>
      </c>
      <c r="C30" s="251">
        <v>45.12</v>
      </c>
      <c r="G30" s="256">
        <f t="shared" si="3"/>
        <v>1443.84</v>
      </c>
      <c r="H30" s="256"/>
      <c r="I30" s="255">
        <f>C30*(1+K3)</f>
        <v>50.489279999999994</v>
      </c>
      <c r="J30" s="251">
        <f t="shared" si="2"/>
        <v>171.81695999999988</v>
      </c>
    </row>
    <row r="31" spans="1:10" ht="15.75">
      <c r="A31" s="249" t="s">
        <v>1905</v>
      </c>
      <c r="B31" s="250">
        <v>3</v>
      </c>
      <c r="C31" s="258">
        <v>22.91</v>
      </c>
      <c r="G31" s="256">
        <f t="shared" si="3"/>
        <v>68.73</v>
      </c>
      <c r="H31" s="256"/>
      <c r="I31" s="255">
        <f>C31*(1+K3)</f>
        <v>25.63629</v>
      </c>
      <c r="J31" s="251">
        <f t="shared" si="2"/>
        <v>8.178869999999996</v>
      </c>
    </row>
    <row r="32" spans="1:10" ht="15.75">
      <c r="A32" s="249" t="s">
        <v>1906</v>
      </c>
      <c r="B32" s="250">
        <v>50</v>
      </c>
      <c r="C32" s="251">
        <v>127.22</v>
      </c>
      <c r="G32" s="256">
        <f t="shared" si="3"/>
        <v>6361</v>
      </c>
      <c r="H32" s="256"/>
      <c r="I32" s="255">
        <f>C32*(1+K3)</f>
        <v>142.35918</v>
      </c>
      <c r="J32" s="251">
        <f t="shared" si="2"/>
        <v>756.9590000000005</v>
      </c>
    </row>
    <row r="33" spans="1:10" ht="15.75">
      <c r="A33" s="249" t="s">
        <v>1907</v>
      </c>
      <c r="B33" s="250">
        <v>113</v>
      </c>
      <c r="C33" s="251">
        <v>254.44</v>
      </c>
      <c r="G33" s="256">
        <f t="shared" si="3"/>
        <v>28751.72</v>
      </c>
      <c r="H33" s="256"/>
      <c r="I33" s="255">
        <f>C33*(1+K3)</f>
        <v>284.71836</v>
      </c>
      <c r="J33" s="251">
        <f t="shared" si="2"/>
        <v>3421.4546800000026</v>
      </c>
    </row>
    <row r="34" spans="1:10" ht="15.75">
      <c r="A34" s="249" t="s">
        <v>1908</v>
      </c>
      <c r="B34" s="250">
        <v>5</v>
      </c>
      <c r="C34" s="258">
        <v>381.66</v>
      </c>
      <c r="G34" s="256">
        <f t="shared" si="3"/>
        <v>1908.3000000000002</v>
      </c>
      <c r="H34" s="256"/>
      <c r="I34" s="255">
        <f>C34*(1+K3)</f>
        <v>427.07754</v>
      </c>
      <c r="J34" s="251">
        <f t="shared" si="2"/>
        <v>227.08769999999987</v>
      </c>
    </row>
    <row r="35" spans="1:10" ht="15.75">
      <c r="A35" s="249" t="s">
        <v>1909</v>
      </c>
      <c r="B35" s="250">
        <v>21</v>
      </c>
      <c r="C35" s="251">
        <v>63.76</v>
      </c>
      <c r="G35" s="256">
        <f t="shared" si="3"/>
        <v>1338.96</v>
      </c>
      <c r="H35" s="256"/>
      <c r="I35" s="255">
        <f>C35*(1+K3)</f>
        <v>71.34743999999999</v>
      </c>
      <c r="J35" s="251">
        <f t="shared" si="2"/>
        <v>159.33623999999986</v>
      </c>
    </row>
    <row r="36" spans="1:10" ht="15.75">
      <c r="A36" s="249" t="s">
        <v>1910</v>
      </c>
      <c r="B36" s="250">
        <v>1</v>
      </c>
      <c r="C36" s="251">
        <v>31.5</v>
      </c>
      <c r="G36" s="256">
        <f t="shared" si="3"/>
        <v>31.5</v>
      </c>
      <c r="H36" s="256"/>
      <c r="I36" s="255">
        <f>C36*(1+K3)</f>
        <v>35.2485</v>
      </c>
      <c r="J36" s="251">
        <f t="shared" si="2"/>
        <v>3.7485</v>
      </c>
    </row>
    <row r="37" spans="1:10" ht="15.75">
      <c r="A37" s="249" t="s">
        <v>1911</v>
      </c>
      <c r="B37" s="250">
        <v>3</v>
      </c>
      <c r="C37" s="258">
        <v>31.5</v>
      </c>
      <c r="G37" s="256">
        <f t="shared" si="3"/>
        <v>94.5</v>
      </c>
      <c r="H37" s="256"/>
      <c r="I37" s="255">
        <f>C37*(1+K3)</f>
        <v>35.2485</v>
      </c>
      <c r="J37" s="251">
        <f t="shared" si="2"/>
        <v>11.2455</v>
      </c>
    </row>
    <row r="38" spans="1:10" ht="15.75">
      <c r="A38" s="249" t="s">
        <v>1912</v>
      </c>
      <c r="B38" s="250">
        <v>2</v>
      </c>
      <c r="C38" s="258">
        <v>254.43</v>
      </c>
      <c r="G38" s="256">
        <f>C38*B38</f>
        <v>508.86</v>
      </c>
      <c r="H38" s="256"/>
      <c r="I38" s="255">
        <f>C38*(1+K3)</f>
        <v>284.70717</v>
      </c>
      <c r="J38" s="251">
        <f t="shared" si="2"/>
        <v>60.554340000000025</v>
      </c>
    </row>
    <row r="39" spans="1:10" ht="15.75">
      <c r="A39" s="249" t="s">
        <v>1913</v>
      </c>
      <c r="B39" s="250">
        <v>1</v>
      </c>
      <c r="C39" s="258">
        <v>508.86</v>
      </c>
      <c r="G39" s="256">
        <f>C39*B39</f>
        <v>508.86</v>
      </c>
      <c r="H39" s="256"/>
      <c r="I39" s="255">
        <f>C39*(1+K3)</f>
        <v>569.41434</v>
      </c>
      <c r="J39" s="251">
        <f t="shared" si="2"/>
        <v>60.554340000000025</v>
      </c>
    </row>
    <row r="40" spans="1:10" ht="15.75">
      <c r="A40" s="249" t="s">
        <v>1914</v>
      </c>
      <c r="B40" s="250">
        <v>1</v>
      </c>
      <c r="C40" s="258">
        <v>127.51</v>
      </c>
      <c r="G40" s="256">
        <f>C40*B40</f>
        <v>127.51</v>
      </c>
      <c r="H40" s="256"/>
      <c r="I40" s="255">
        <f>C40*(1+K3)</f>
        <v>142.68369</v>
      </c>
      <c r="J40" s="251">
        <f t="shared" si="2"/>
        <v>15.173690000000008</v>
      </c>
    </row>
    <row r="41" spans="1:10" ht="15.75">
      <c r="A41" s="249"/>
      <c r="B41" s="250"/>
      <c r="C41" s="258"/>
      <c r="G41" s="256"/>
      <c r="H41" s="256"/>
      <c r="I41" s="267"/>
      <c r="J41" s="251"/>
    </row>
    <row r="42" spans="1:10" ht="15.75">
      <c r="A42" s="249" t="s">
        <v>233</v>
      </c>
      <c r="B42" s="250"/>
      <c r="C42" s="258"/>
      <c r="G42" s="256">
        <f>SUM(G23:G41)</f>
        <v>83124.34</v>
      </c>
      <c r="H42" s="256"/>
      <c r="I42" s="256"/>
      <c r="J42" s="256">
        <f>SUM(J23:J41)</f>
        <v>9891.796460000003</v>
      </c>
    </row>
    <row r="43" spans="1:10" ht="15.75">
      <c r="A43" s="249" t="s">
        <v>1778</v>
      </c>
      <c r="C43" s="258"/>
      <c r="G43" s="256">
        <f>G42*12</f>
        <v>997492.08</v>
      </c>
      <c r="H43" s="256"/>
      <c r="I43" s="256">
        <f>I42*12</f>
        <v>0</v>
      </c>
      <c r="J43" s="256">
        <f>J42*12</f>
        <v>118701.55752000003</v>
      </c>
    </row>
    <row r="44" ht="15">
      <c r="C44" s="258"/>
    </row>
    <row r="45" spans="1:2" ht="16.5">
      <c r="A45" s="271" t="s">
        <v>1915</v>
      </c>
      <c r="B45" s="250"/>
    </row>
    <row r="46" spans="1:10" ht="15.75">
      <c r="A46" s="249" t="s">
        <v>1916</v>
      </c>
      <c r="B46" s="250">
        <v>13</v>
      </c>
      <c r="C46" s="251">
        <v>100</v>
      </c>
      <c r="G46" s="256">
        <f aca="true" t="shared" si="4" ref="G46:G53">C46*B46</f>
        <v>1300</v>
      </c>
      <c r="H46" s="256"/>
      <c r="I46" s="255">
        <v>110</v>
      </c>
      <c r="J46" s="251">
        <f aca="true" t="shared" si="5" ref="J46:J53">(I46-C46)*B46</f>
        <v>130</v>
      </c>
    </row>
    <row r="47" spans="1:10" ht="15.75">
      <c r="A47" s="249" t="s">
        <v>1917</v>
      </c>
      <c r="B47" s="250">
        <v>6</v>
      </c>
      <c r="C47" s="258">
        <v>50</v>
      </c>
      <c r="G47" s="256">
        <f t="shared" si="4"/>
        <v>300</v>
      </c>
      <c r="H47" s="256"/>
      <c r="I47" s="255">
        <v>55</v>
      </c>
      <c r="J47" s="251">
        <f t="shared" si="5"/>
        <v>30</v>
      </c>
    </row>
    <row r="48" spans="1:10" ht="15.75">
      <c r="A48" s="249" t="s">
        <v>1917</v>
      </c>
      <c r="B48" s="250">
        <v>7</v>
      </c>
      <c r="C48" s="258">
        <v>70</v>
      </c>
      <c r="G48" s="256">
        <f>C48*B48</f>
        <v>490</v>
      </c>
      <c r="H48" s="256"/>
      <c r="I48" s="255">
        <v>76</v>
      </c>
      <c r="J48" s="251">
        <f>(I48-C48)*B48</f>
        <v>42</v>
      </c>
    </row>
    <row r="49" spans="1:10" ht="15.75">
      <c r="A49" s="249" t="s">
        <v>1918</v>
      </c>
      <c r="B49" s="250">
        <v>2</v>
      </c>
      <c r="C49" s="258">
        <v>210</v>
      </c>
      <c r="G49" s="256">
        <f>C49*B49</f>
        <v>420</v>
      </c>
      <c r="H49" s="256"/>
      <c r="I49" s="255">
        <v>228</v>
      </c>
      <c r="J49" s="251">
        <f>(I49-C49)*B49</f>
        <v>36</v>
      </c>
    </row>
    <row r="50" spans="1:10" ht="15.75">
      <c r="A50" s="249" t="s">
        <v>1780</v>
      </c>
      <c r="B50" s="250">
        <v>290</v>
      </c>
      <c r="C50" s="251">
        <v>2.3</v>
      </c>
      <c r="G50" s="256">
        <f t="shared" si="4"/>
        <v>667</v>
      </c>
      <c r="H50" s="256"/>
      <c r="I50" s="255">
        <v>3</v>
      </c>
      <c r="J50" s="251">
        <f t="shared" si="5"/>
        <v>203.00000000000006</v>
      </c>
    </row>
    <row r="51" spans="1:10" ht="15.75">
      <c r="A51" s="249" t="s">
        <v>1779</v>
      </c>
      <c r="B51" s="250">
        <v>12</v>
      </c>
      <c r="C51" s="251">
        <v>70</v>
      </c>
      <c r="G51" s="256">
        <f t="shared" si="4"/>
        <v>840</v>
      </c>
      <c r="H51" s="256"/>
      <c r="I51" s="255">
        <v>76</v>
      </c>
      <c r="J51" s="251">
        <f t="shared" si="5"/>
        <v>72</v>
      </c>
    </row>
    <row r="52" spans="1:10" ht="15.75">
      <c r="A52" s="249" t="s">
        <v>1919</v>
      </c>
      <c r="B52" s="250">
        <v>5</v>
      </c>
      <c r="C52" s="251">
        <v>80</v>
      </c>
      <c r="G52" s="256">
        <f t="shared" si="4"/>
        <v>400</v>
      </c>
      <c r="H52" s="256"/>
      <c r="I52" s="255">
        <v>87</v>
      </c>
      <c r="J52" s="251">
        <f t="shared" si="5"/>
        <v>35</v>
      </c>
    </row>
    <row r="53" spans="1:10" ht="15.75">
      <c r="A53" s="249" t="s">
        <v>1920</v>
      </c>
      <c r="B53" s="250">
        <v>4.3</v>
      </c>
      <c r="C53" s="258">
        <v>50</v>
      </c>
      <c r="G53" s="256">
        <f t="shared" si="4"/>
        <v>215</v>
      </c>
      <c r="H53" s="256"/>
      <c r="I53" s="255">
        <v>55</v>
      </c>
      <c r="J53" s="251">
        <f t="shared" si="5"/>
        <v>21.5</v>
      </c>
    </row>
    <row r="54" spans="1:10" ht="15.75" hidden="1">
      <c r="A54" s="249"/>
      <c r="B54" s="250"/>
      <c r="C54" s="251"/>
      <c r="G54" s="256"/>
      <c r="H54" s="256"/>
      <c r="I54" s="251"/>
      <c r="J54" s="251"/>
    </row>
    <row r="55" spans="1:10" ht="15.75">
      <c r="A55" s="249" t="s">
        <v>233</v>
      </c>
      <c r="B55" s="250"/>
      <c r="C55" s="250"/>
      <c r="D55" s="250"/>
      <c r="E55" s="254">
        <f>SUM(E45:E54)</f>
        <v>0</v>
      </c>
      <c r="G55" s="254">
        <f>SUM(G46:G54)</f>
        <v>4632</v>
      </c>
      <c r="H55" s="254"/>
      <c r="I55" s="254"/>
      <c r="J55" s="254">
        <f>SUM(J45:J54)</f>
        <v>569.5</v>
      </c>
    </row>
    <row r="56" spans="1:10" ht="16.5" thickBot="1">
      <c r="A56" s="249" t="s">
        <v>1781</v>
      </c>
      <c r="B56" s="250"/>
      <c r="C56" s="250"/>
      <c r="D56" s="250"/>
      <c r="E56" s="259">
        <f>E55*12</f>
        <v>0</v>
      </c>
      <c r="G56" s="287">
        <f>G55*12</f>
        <v>55584</v>
      </c>
      <c r="H56" s="259"/>
      <c r="J56" s="259">
        <f>J55*12</f>
        <v>6834</v>
      </c>
    </row>
    <row r="57" spans="1:10" ht="17.25" hidden="1" thickBot="1" thickTop="1">
      <c r="A57" s="249"/>
      <c r="B57" s="250"/>
      <c r="C57" s="250"/>
      <c r="D57" s="250"/>
      <c r="E57" s="287"/>
      <c r="G57" s="287"/>
      <c r="H57" s="259"/>
      <c r="J57" s="287"/>
    </row>
    <row r="58" spans="1:10" ht="17.25" thickBot="1" thickTop="1">
      <c r="A58" s="249" t="s">
        <v>19</v>
      </c>
      <c r="B58" s="250"/>
      <c r="C58" s="250"/>
      <c r="D58" s="250"/>
      <c r="E58" s="287"/>
      <c r="G58" s="259">
        <f>G56+G43+G21</f>
        <v>1164473.1600000001</v>
      </c>
      <c r="H58" s="259"/>
      <c r="J58" s="287">
        <f>J56+J43+J21</f>
        <v>138791.81004000004</v>
      </c>
    </row>
    <row r="59" spans="1:10" ht="18" thickBot="1" thickTop="1">
      <c r="A59" s="260" t="s">
        <v>1921</v>
      </c>
      <c r="B59" s="250"/>
      <c r="D59" s="250"/>
      <c r="E59" s="250"/>
      <c r="F59" s="251"/>
      <c r="G59" s="261">
        <f>ProF!H5</f>
        <v>1168356</v>
      </c>
      <c r="H59" s="263"/>
      <c r="I59" s="250"/>
      <c r="J59" s="287"/>
    </row>
    <row r="60" spans="1:10" ht="18" thickBot="1" thickTop="1">
      <c r="A60" s="250" t="s">
        <v>1922</v>
      </c>
      <c r="B60" s="250"/>
      <c r="D60" s="250"/>
      <c r="E60" s="254" t="e">
        <f>#REF!*12</f>
        <v>#REF!</v>
      </c>
      <c r="F60" s="251"/>
      <c r="G60" s="288">
        <f>G58/G59</f>
        <v>0.9966766636196503</v>
      </c>
      <c r="H60" s="288"/>
      <c r="I60" s="250"/>
      <c r="J60" s="250"/>
    </row>
    <row r="61" spans="1:10" ht="17.25" thickBot="1" thickTop="1">
      <c r="A61" s="54" t="s">
        <v>1792</v>
      </c>
      <c r="C61" s="258"/>
      <c r="J61" s="261">
        <f>J56+J43+J21</f>
        <v>138791.81004000004</v>
      </c>
    </row>
    <row r="62" ht="15.75" thickTop="1">
      <c r="C62" s="258"/>
    </row>
    <row r="63" ht="15">
      <c r="C63" s="258"/>
    </row>
    <row r="64" ht="15">
      <c r="C64" s="258"/>
    </row>
    <row r="65" ht="15">
      <c r="C65" s="258"/>
    </row>
    <row r="66" ht="15">
      <c r="C66" s="258"/>
    </row>
    <row r="67" ht="15">
      <c r="C67" s="258"/>
    </row>
    <row r="68" ht="15">
      <c r="C68" s="258"/>
    </row>
    <row r="69" ht="15">
      <c r="C69" s="258"/>
    </row>
    <row r="70" ht="15">
      <c r="C70" s="258"/>
    </row>
    <row r="71" ht="15">
      <c r="C71" s="258"/>
    </row>
    <row r="72" ht="15">
      <c r="C72" s="258"/>
    </row>
    <row r="73" ht="15">
      <c r="C73" s="258"/>
    </row>
    <row r="74" ht="15">
      <c r="C74" s="258"/>
    </row>
    <row r="75" ht="15">
      <c r="C75" s="258"/>
    </row>
    <row r="76" ht="15">
      <c r="C76" s="258"/>
    </row>
    <row r="77" ht="15">
      <c r="C77" s="258"/>
    </row>
    <row r="78" ht="15">
      <c r="C78" s="258"/>
    </row>
    <row r="79" ht="15">
      <c r="C79" s="258"/>
    </row>
    <row r="80" ht="15">
      <c r="C80" s="258"/>
    </row>
    <row r="81" ht="15">
      <c r="C81" s="258"/>
    </row>
    <row r="82" ht="15">
      <c r="C82" s="258"/>
    </row>
    <row r="83" ht="15">
      <c r="C83" s="258"/>
    </row>
    <row r="84" ht="15">
      <c r="C84" s="258"/>
    </row>
    <row r="85" ht="15">
      <c r="C85" s="258"/>
    </row>
    <row r="86" ht="15">
      <c r="C86" s="258"/>
    </row>
    <row r="87" ht="15">
      <c r="C87" s="258"/>
    </row>
    <row r="88" ht="15">
      <c r="C88" s="258"/>
    </row>
    <row r="89" ht="15">
      <c r="C89" s="258"/>
    </row>
    <row r="90" ht="15">
      <c r="C90" s="258"/>
    </row>
    <row r="91" ht="15">
      <c r="C91" s="258"/>
    </row>
    <row r="92" ht="15">
      <c r="C92" s="258"/>
    </row>
    <row r="93" ht="15">
      <c r="C93" s="258"/>
    </row>
    <row r="94" ht="15">
      <c r="C94" s="258"/>
    </row>
    <row r="95" ht="15">
      <c r="C95" s="258"/>
    </row>
    <row r="96" ht="15">
      <c r="C96" s="258"/>
    </row>
    <row r="97" ht="15">
      <c r="C97" s="258"/>
    </row>
    <row r="98" ht="15">
      <c r="C98" s="258"/>
    </row>
    <row r="99" ht="15">
      <c r="C99" s="258"/>
    </row>
    <row r="100" ht="15">
      <c r="C100" s="258"/>
    </row>
    <row r="101" ht="15">
      <c r="C101" s="258"/>
    </row>
    <row r="102" ht="15">
      <c r="C102" s="258"/>
    </row>
    <row r="103" ht="15">
      <c r="C103" s="258"/>
    </row>
    <row r="104" ht="15">
      <c r="C104" s="258"/>
    </row>
    <row r="105" ht="15">
      <c r="C105" s="258"/>
    </row>
    <row r="106" ht="15">
      <c r="C106" s="258"/>
    </row>
  </sheetData>
  <sheetProtection/>
  <printOptions/>
  <pageMargins left="0.22" right="0.19" top="0.21" bottom="0.18" header="0.17" footer="0.17"/>
  <pageSetup fitToHeight="1" fitToWidth="1" horizontalDpi="600" verticalDpi="600" orientation="portrait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Q56"/>
  <sheetViews>
    <sheetView zoomScalePageLayoutView="0" workbookViewId="0" topLeftCell="A1">
      <selection activeCell="G3" sqref="G3:H3"/>
    </sheetView>
  </sheetViews>
  <sheetFormatPr defaultColWidth="8.6640625" defaultRowHeight="15"/>
  <cols>
    <col min="1" max="4" width="8.6640625" style="145" customWidth="1"/>
    <col min="5" max="5" width="11.4453125" style="145" customWidth="1"/>
    <col min="6" max="16384" width="8.6640625" style="145" customWidth="1"/>
  </cols>
  <sheetData>
    <row r="1" ht="15.75">
      <c r="A1" s="175"/>
    </row>
    <row r="2" ht="15"/>
    <row r="3" spans="2:34" ht="23.25">
      <c r="B3" s="145" t="s">
        <v>142</v>
      </c>
      <c r="G3" s="176" t="s">
        <v>143</v>
      </c>
      <c r="AD3" s="60" t="s">
        <v>144</v>
      </c>
      <c r="AE3" s="60" t="s">
        <v>145</v>
      </c>
      <c r="AH3" s="145" t="s">
        <v>146</v>
      </c>
    </row>
    <row r="4" spans="3:34" ht="15">
      <c r="C4" s="145" t="s">
        <v>147</v>
      </c>
      <c r="E4" s="183">
        <f>HLOOKUP($AI$34,$AI$37:$AP$41,($E$12)+1)</f>
        <v>1576110</v>
      </c>
      <c r="F4" s="184" t="s">
        <v>148</v>
      </c>
      <c r="I4" s="145" t="s">
        <v>149</v>
      </c>
      <c r="M4" s="145" t="s">
        <v>150</v>
      </c>
      <c r="T4" s="60" t="s">
        <v>151</v>
      </c>
      <c r="U4" s="60" t="s">
        <v>152</v>
      </c>
      <c r="V4" s="60" t="s">
        <v>113</v>
      </c>
      <c r="W4" s="60" t="s">
        <v>153</v>
      </c>
      <c r="X4" s="60" t="s">
        <v>154</v>
      </c>
      <c r="Z4" s="60" t="s">
        <v>155</v>
      </c>
      <c r="AA4" s="145" t="s">
        <v>156</v>
      </c>
      <c r="AB4" s="60" t="s">
        <v>157</v>
      </c>
      <c r="AC4" s="60" t="s">
        <v>158</v>
      </c>
      <c r="AD4" s="60" t="s">
        <v>159</v>
      </c>
      <c r="AH4" s="145" t="s">
        <v>160</v>
      </c>
    </row>
    <row r="5" spans="2:35" ht="15">
      <c r="B5" s="145" t="s">
        <v>161</v>
      </c>
      <c r="C5" s="145" t="s">
        <v>162</v>
      </c>
      <c r="E5" s="54">
        <f>E7+E6</f>
        <v>1583479.9694166896</v>
      </c>
      <c r="F5" s="145" t="s">
        <v>163</v>
      </c>
      <c r="I5" s="145" t="s">
        <v>164</v>
      </c>
      <c r="K5" s="51">
        <v>0</v>
      </c>
      <c r="M5" s="145" t="s">
        <v>165</v>
      </c>
      <c r="P5" s="145" t="s">
        <v>166</v>
      </c>
      <c r="T5" s="54">
        <f>$E$8*1.25</f>
        <v>1797060.64902453</v>
      </c>
      <c r="U5" s="177">
        <f>100*(+T5/$E$9)</f>
        <v>328.8436577077325</v>
      </c>
      <c r="V5" s="178">
        <f>EXP(5.7226-(0.68367*LN(+U5)))</f>
        <v>5.81437999045661</v>
      </c>
      <c r="W5" s="178">
        <f>(+V5*U5)/100</f>
        <v>19.120219833644025</v>
      </c>
      <c r="X5" s="177">
        <f>100*((((W5/100)-((W5/100)-0.03574)*$E$21)-0.03574-0.00619)/0.344)</f>
        <v>27.57570608101343</v>
      </c>
      <c r="Y5" s="145">
        <v>0</v>
      </c>
      <c r="Z5" s="177">
        <f>X5+Y5</f>
        <v>27.57570608101343</v>
      </c>
      <c r="AA5" s="177">
        <f>100*($E$17*$E$19+($E$18*(Z5/100))/(1-$E$21))</f>
        <v>27.454497920935474</v>
      </c>
      <c r="AB5" s="178">
        <f>AA5/U5</f>
        <v>0.08348799582242909</v>
      </c>
      <c r="AC5" s="54">
        <f>$E$8/(1-AB5)</f>
        <v>1568608.4990340015</v>
      </c>
      <c r="AD5" s="145" t="str">
        <f>IF(AC5=$T$5,"yes","not yet")</f>
        <v>not yet</v>
      </c>
      <c r="AE5" s="177">
        <f>100*(1-AB5)</f>
        <v>91.6512004177571</v>
      </c>
      <c r="AH5" s="145">
        <v>0</v>
      </c>
      <c r="AI5" s="145">
        <v>1</v>
      </c>
    </row>
    <row r="6" spans="2:35" ht="15">
      <c r="B6" s="145" t="s">
        <v>161</v>
      </c>
      <c r="C6" s="145" t="s">
        <v>167</v>
      </c>
      <c r="E6" s="54">
        <f>(+E8-((H15/100)*E7))/H25</f>
        <v>276933.3219166895</v>
      </c>
      <c r="F6" s="21" t="s">
        <v>163</v>
      </c>
      <c r="I6" s="145" t="s">
        <v>168</v>
      </c>
      <c r="K6" s="51">
        <v>0</v>
      </c>
      <c r="M6" s="145" t="s">
        <v>169</v>
      </c>
      <c r="P6" s="145" t="s">
        <v>170</v>
      </c>
      <c r="T6" s="54">
        <f>$E$8*1.25</f>
        <v>1797060.64902453</v>
      </c>
      <c r="U6" s="177">
        <f>100*(+T6/$E$9)</f>
        <v>328.8436577077325</v>
      </c>
      <c r="V6" s="178">
        <f>EXP(5.70827-(0.68367*LN(+U6)))</f>
        <v>5.731654072033717</v>
      </c>
      <c r="W6" s="178">
        <f>(+V6*U6)/100</f>
        <v>18.848180897629867</v>
      </c>
      <c r="X6" s="177">
        <f>100*((((W6/100)-((W6/100)-0.03574)*$E$21)-0.03574-0.00619)/0.344)</f>
        <v>27.06167902168435</v>
      </c>
      <c r="Y6" s="145">
        <v>0</v>
      </c>
      <c r="Z6" s="177">
        <f>X6+Y6</f>
        <v>27.06167902168435</v>
      </c>
      <c r="AA6" s="177">
        <f>100*($E$17*$E$19+($E$18*(Z6/100))/(1-$E$21))</f>
        <v>26.980011404631703</v>
      </c>
      <c r="AB6" s="178">
        <f>AA6/U6</f>
        <v>0.08204510189644837</v>
      </c>
      <c r="AC6" s="54">
        <f>$E$8/(1-AB6)</f>
        <v>1566142.870624399</v>
      </c>
      <c r="AD6" s="145" t="str">
        <f>IF(AC6=$T$6,"yes","not yet")</f>
        <v>not yet</v>
      </c>
      <c r="AE6" s="177">
        <f>100*(1-AB6)</f>
        <v>91.79548981035516</v>
      </c>
      <c r="AH6" s="145">
        <v>50</v>
      </c>
      <c r="AI6" s="145">
        <v>2</v>
      </c>
    </row>
    <row r="7" spans="2:35" ht="15">
      <c r="B7" s="179" t="s">
        <v>171</v>
      </c>
      <c r="C7" s="145" t="s">
        <v>19</v>
      </c>
      <c r="D7" s="179"/>
      <c r="E7" s="54">
        <f>+ProF!L14</f>
        <v>1306546.6475</v>
      </c>
      <c r="F7" s="145" t="s">
        <v>172</v>
      </c>
      <c r="I7" s="145" t="s">
        <v>173</v>
      </c>
      <c r="K7" s="51">
        <v>1</v>
      </c>
      <c r="M7" s="145" t="s">
        <v>174</v>
      </c>
      <c r="P7" s="145" t="s">
        <v>175</v>
      </c>
      <c r="T7" s="54">
        <f>$E$8*1.25</f>
        <v>1797060.64902453</v>
      </c>
      <c r="U7" s="177">
        <f>100*(+T7/$E$9)</f>
        <v>328.8436577077325</v>
      </c>
      <c r="V7" s="178">
        <f>EXP(5.6985-(0.68367*LN(U7)))</f>
        <v>5.675928474557074</v>
      </c>
      <c r="W7" s="178">
        <f>(+V7*U7)/100</f>
        <v>18.66493080460819</v>
      </c>
      <c r="X7" s="177">
        <f>100*((((W7/100)-((W7/100)-0.03574)*$E$21)-0.03574-0.00619)/0.344)</f>
        <v>26.71542157847478</v>
      </c>
      <c r="Y7" s="145">
        <v>0</v>
      </c>
      <c r="Z7" s="177">
        <f>X7+Y7</f>
        <v>26.71542157847478</v>
      </c>
      <c r="AA7" s="177">
        <f>100*($E$17*$E$19+($E$18*(Z7/100))/(1-$E$21))</f>
        <v>26.660389149361336</v>
      </c>
      <c r="AB7" s="178">
        <f>AA7/U7</f>
        <v>0.08107314380092555</v>
      </c>
      <c r="AC7" s="54">
        <f>$E$8/(1-AB7)</f>
        <v>1564486.3456990693</v>
      </c>
      <c r="AD7" s="145" t="str">
        <f>IF(AC7=$T$7,"yes","not yet")</f>
        <v>not yet</v>
      </c>
      <c r="AE7" s="177">
        <f>100*(1-AB7)</f>
        <v>91.89268561990744</v>
      </c>
      <c r="AH7" s="145">
        <v>125</v>
      </c>
      <c r="AI7" s="145">
        <v>3</v>
      </c>
    </row>
    <row r="8" spans="2:35" ht="15">
      <c r="B8" s="179" t="s">
        <v>171</v>
      </c>
      <c r="C8" s="145" t="s">
        <v>1</v>
      </c>
      <c r="D8" s="179" t="s">
        <v>98</v>
      </c>
      <c r="E8" s="54">
        <f>ProF!N55</f>
        <v>1437648.519219624</v>
      </c>
      <c r="F8" s="145" t="s">
        <v>172</v>
      </c>
      <c r="I8" s="145" t="s">
        <v>176</v>
      </c>
      <c r="K8" s="51">
        <v>0.95</v>
      </c>
      <c r="M8" s="145" t="s">
        <v>177</v>
      </c>
      <c r="P8" s="145" t="s">
        <v>178</v>
      </c>
      <c r="T8" s="54">
        <f>$E$8*1.25</f>
        <v>1797060.64902453</v>
      </c>
      <c r="U8" s="177">
        <f>100*(+T8/$E$9)</f>
        <v>328.8436577077325</v>
      </c>
      <c r="V8" s="178">
        <f>EXP(5.6922-(0.68367*LN(U8)))</f>
        <v>5.640282527798543</v>
      </c>
      <c r="W8" s="178">
        <f>(+V8*U8)/100</f>
        <v>18.547711369462885</v>
      </c>
      <c r="X8" s="177">
        <f>100*((((W8/100)-((W8/100)-0.03574)*$E$21)-0.03574-0.00619)/0.344)</f>
        <v>26.49393136671767</v>
      </c>
      <c r="Y8" s="145">
        <v>0</v>
      </c>
      <c r="Z8" s="177">
        <f>X8+Y8</f>
        <v>26.49393136671767</v>
      </c>
      <c r="AA8" s="177">
        <f>100*($E$17*$E$19+($E$18*(Z8/100))/(1-$E$21))</f>
        <v>26.45593664620092</v>
      </c>
      <c r="AB8" s="178">
        <f>AA8/U8</f>
        <v>0.08045141217141628</v>
      </c>
      <c r="AC8" s="54">
        <f>$E$8/(1-AB8)</f>
        <v>1563428.5542371157</v>
      </c>
      <c r="AD8" s="145" t="str">
        <f>IF(AC8=$T$8,"yes","not yet")</f>
        <v>not yet</v>
      </c>
      <c r="AE8" s="177">
        <f>100*(1-AB8)</f>
        <v>91.95485878285837</v>
      </c>
      <c r="AH8" s="145">
        <v>401</v>
      </c>
      <c r="AI8" s="145">
        <v>4</v>
      </c>
    </row>
    <row r="9" spans="2:11" ht="15">
      <c r="B9" s="179" t="s">
        <v>171</v>
      </c>
      <c r="C9" s="145" t="s">
        <v>179</v>
      </c>
      <c r="E9" s="54">
        <f>Depr!O63</f>
        <v>546478.7314285714</v>
      </c>
      <c r="F9" s="145" t="s">
        <v>172</v>
      </c>
      <c r="I9" s="145" t="s">
        <v>180</v>
      </c>
      <c r="K9" s="51">
        <v>0.095</v>
      </c>
    </row>
    <row r="10" spans="3:34" ht="15">
      <c r="C10" s="145" t="s">
        <v>181</v>
      </c>
      <c r="E10" s="177">
        <f>U5</f>
        <v>328.8436577077325</v>
      </c>
      <c r="F10" s="145" t="s">
        <v>148</v>
      </c>
      <c r="U10" s="60" t="s">
        <v>182</v>
      </c>
      <c r="V10" s="60" t="s">
        <v>113</v>
      </c>
      <c r="W10" s="60" t="s">
        <v>153</v>
      </c>
      <c r="X10" s="60" t="s">
        <v>154</v>
      </c>
      <c r="AH10" s="145" t="s">
        <v>183</v>
      </c>
    </row>
    <row r="11" spans="3:31" ht="15">
      <c r="C11" s="145" t="s">
        <v>184</v>
      </c>
      <c r="E11" s="177">
        <f>HLOOKUP($AI$34,$AI$28:$AQ$32,($E$12)+1)</f>
        <v>288.4119562859893</v>
      </c>
      <c r="F11" s="145" t="s">
        <v>148</v>
      </c>
      <c r="U11" s="177">
        <f>100*(+AC5/$E$9)</f>
        <v>287.039258588059</v>
      </c>
      <c r="V11" s="180">
        <f>EXP(5.7226-(0.68367*LN(+U11)))</f>
        <v>6.380766818144318</v>
      </c>
      <c r="W11" s="178">
        <f>(+V11*U11)/100</f>
        <v>18.31530576703433</v>
      </c>
      <c r="X11" s="177">
        <f>100*((((W11/100)-((W11/100)-0.03574)*$E$21)-0.03574-0.00619)/0.344)</f>
        <v>26.05479287375674</v>
      </c>
      <c r="Y11" s="145">
        <v>0</v>
      </c>
      <c r="Z11" s="177">
        <f>X11+Y11</f>
        <v>26.05479287375674</v>
      </c>
      <c r="AA11" s="177">
        <f>100*($E$17*$E$19+($E$18*(Z11/100))/(1-$E$21))</f>
        <v>26.050578037313908</v>
      </c>
      <c r="AB11" s="178">
        <f>AA11/U11</f>
        <v>0.09075615010105668</v>
      </c>
      <c r="AC11" s="54">
        <f>$E$8/(1-AB11)</f>
        <v>1581147.366990065</v>
      </c>
      <c r="AD11" s="145" t="str">
        <f>IF(AC11=AC5,"yes","not yet")</f>
        <v>not yet</v>
      </c>
      <c r="AE11" s="177">
        <f>100*(1-AB11)</f>
        <v>90.92438498989434</v>
      </c>
    </row>
    <row r="12" spans="3:31" ht="15">
      <c r="C12" s="145" t="s">
        <v>185</v>
      </c>
      <c r="E12" s="145">
        <f>VLOOKUP(E10,AH5:AI8,2)</f>
        <v>3</v>
      </c>
      <c r="F12" s="145" t="s">
        <v>148</v>
      </c>
      <c r="U12" s="177">
        <f>100*(+AC6/$E$9)</f>
        <v>286.5880738908692</v>
      </c>
      <c r="V12" s="180">
        <f>EXP(5.70827-(0.68367*LN(+U12)))</f>
        <v>6.296750823661511</v>
      </c>
      <c r="W12" s="178">
        <f>(+V12*U12)/100</f>
        <v>18.045736903238968</v>
      </c>
      <c r="X12" s="177">
        <f>100*((((W12/100)-((W12/100)-0.03574)*$E$21)-0.03574-0.00619)/0.344)</f>
        <v>25.54543310205038</v>
      </c>
      <c r="Y12" s="145">
        <v>0</v>
      </c>
      <c r="Z12" s="177">
        <f>X12+Y12</f>
        <v>25.54543310205038</v>
      </c>
      <c r="AA12" s="177">
        <f>100*($E$17*$E$19+($E$18*(Z12/100))/(1-$E$21))</f>
        <v>25.58039978650804</v>
      </c>
      <c r="AB12" s="178">
        <f>AA12/U12</f>
        <v>0.0892584239086267</v>
      </c>
      <c r="AC12" s="54">
        <f>$E$8/(1-AB12)</f>
        <v>1578547.1498836977</v>
      </c>
      <c r="AD12" s="145" t="str">
        <f>IF(AC12=AC6,"yes","not yet")</f>
        <v>not yet</v>
      </c>
      <c r="AE12" s="177">
        <f>100*(1-AB12)</f>
        <v>91.07415760913733</v>
      </c>
    </row>
    <row r="13" spans="21:43" ht="15">
      <c r="U13" s="177">
        <f>100*(+AC7/$E$9)</f>
        <v>286.28494682844916</v>
      </c>
      <c r="V13" s="180">
        <f>EXP(5.6985-(0.68367*LN(U13)))</f>
        <v>6.240044197895808</v>
      </c>
      <c r="W13" s="178">
        <f>(+V13*U13)/100</f>
        <v>17.864307214017742</v>
      </c>
      <c r="X13" s="177">
        <f>100*((((W13/100)-((W13/100)-0.03574)*$E$21)-0.03574-0.00619)/0.344)</f>
        <v>25.20261537532422</v>
      </c>
      <c r="Y13" s="145">
        <v>0</v>
      </c>
      <c r="Z13" s="177">
        <f>X13+Y13</f>
        <v>25.20261537532422</v>
      </c>
      <c r="AA13" s="177">
        <f>100*($E$17*$E$19+($E$18*(Z13/100))/(1-$E$21))</f>
        <v>25.263952654145438</v>
      </c>
      <c r="AB13" s="178">
        <f>AA13/U13</f>
        <v>0.08824757617900317</v>
      </c>
      <c r="AC13" s="54">
        <f>$E$8/(1-AB13)</f>
        <v>1576797.035750876</v>
      </c>
      <c r="AD13" s="145" t="str">
        <f>IF(AC13=AC7,"yes","not yet")</f>
        <v>not yet</v>
      </c>
      <c r="AE13" s="177">
        <f>100*(1-AB13)</f>
        <v>91.17524238209968</v>
      </c>
      <c r="AI13" s="145">
        <v>1</v>
      </c>
      <c r="AJ13" s="145">
        <v>2</v>
      </c>
      <c r="AK13" s="145">
        <v>3</v>
      </c>
      <c r="AL13" s="145">
        <v>4</v>
      </c>
      <c r="AM13" s="145">
        <v>5</v>
      </c>
      <c r="AN13" s="145">
        <v>6</v>
      </c>
      <c r="AO13" s="145">
        <v>7</v>
      </c>
      <c r="AP13" s="145">
        <v>8</v>
      </c>
      <c r="AQ13" s="145">
        <v>9</v>
      </c>
    </row>
    <row r="14" spans="3:43" ht="15">
      <c r="C14" s="145" t="s">
        <v>186</v>
      </c>
      <c r="U14" s="177">
        <f>100*(+AC8/$E$9)</f>
        <v>286.0913818457483</v>
      </c>
      <c r="V14" s="180">
        <f>EXP(5.6922-(0.68367*LN(U14)))</f>
        <v>6.203723457434047</v>
      </c>
      <c r="W14" s="178">
        <f>(+V14*U14)/100</f>
        <v>17.7483181652619</v>
      </c>
      <c r="X14" s="177">
        <f>100*((((W14/100)-((W14/100)-0.03574)*$E$21)-0.03574-0.00619)/0.344)</f>
        <v>24.98345002157045</v>
      </c>
      <c r="Y14" s="145">
        <v>0</v>
      </c>
      <c r="Z14" s="177">
        <f>X14+Y14</f>
        <v>24.98345002157045</v>
      </c>
      <c r="AA14" s="177">
        <f>100*($E$17*$E$19+($E$18*(Z14/100))/(1-$E$21))</f>
        <v>25.06164617375734</v>
      </c>
      <c r="AB14" s="178">
        <f>AA14/U14</f>
        <v>0.087600143744525</v>
      </c>
      <c r="AC14" s="54">
        <f>$E$8/(1-AB14)</f>
        <v>1575678.1518136032</v>
      </c>
      <c r="AD14" s="145" t="str">
        <f>IF(AC14=AC8,"yes","not yet")</f>
        <v>not yet</v>
      </c>
      <c r="AE14" s="177">
        <f>100*(1-AB14)</f>
        <v>91.2399856255475</v>
      </c>
      <c r="AI14" s="145" t="str">
        <f>AD5</f>
        <v>not yet</v>
      </c>
      <c r="AJ14" s="145" t="str">
        <f>AD11</f>
        <v>not yet</v>
      </c>
      <c r="AK14" s="145" t="str">
        <f>AD17</f>
        <v>not yet</v>
      </c>
      <c r="AL14" s="145" t="str">
        <f>AD23</f>
        <v>not yet</v>
      </c>
      <c r="AM14" s="145" t="str">
        <f>AD29</f>
        <v>not yet</v>
      </c>
      <c r="AN14" s="145" t="str">
        <f>AD35</f>
        <v>not yet</v>
      </c>
      <c r="AO14" s="145" t="str">
        <f>AD41</f>
        <v>yes</v>
      </c>
      <c r="AP14" s="145" t="str">
        <f>AD47</f>
        <v>yes</v>
      </c>
      <c r="AQ14" s="145" t="str">
        <f>AD53</f>
        <v>yes</v>
      </c>
    </row>
    <row r="15" spans="3:43" ht="15.75">
      <c r="C15" s="145" t="s">
        <v>187</v>
      </c>
      <c r="E15" s="179" t="s">
        <v>161</v>
      </c>
      <c r="F15" s="175" t="s">
        <v>188</v>
      </c>
      <c r="G15" s="175"/>
      <c r="H15" s="181">
        <f>HLOOKUP($AI$25,$AI$19:$AQ$23,($E$12)+1)</f>
        <v>91.21499747217386</v>
      </c>
      <c r="I15" s="145" t="s">
        <v>163</v>
      </c>
      <c r="AI15" s="145" t="str">
        <f>AD6</f>
        <v>not yet</v>
      </c>
      <c r="AJ15" s="145" t="str">
        <f>AD12</f>
        <v>not yet</v>
      </c>
      <c r="AK15" s="145" t="str">
        <f>AD18</f>
        <v>not yet</v>
      </c>
      <c r="AL15" s="145" t="str">
        <f>AD24</f>
        <v>not yet</v>
      </c>
      <c r="AM15" s="145" t="str">
        <f>AD30</f>
        <v>not yet</v>
      </c>
      <c r="AN15" s="145" t="str">
        <f>AD36</f>
        <v>not yet</v>
      </c>
      <c r="AO15" s="145" t="str">
        <f>AD42</f>
        <v>not yet</v>
      </c>
      <c r="AP15" s="145" t="str">
        <f>AD48</f>
        <v>yes</v>
      </c>
      <c r="AQ15" s="145" t="str">
        <f>AD54</f>
        <v>yes</v>
      </c>
    </row>
    <row r="16" spans="3:43" ht="15">
      <c r="C16" s="182" t="s">
        <v>98</v>
      </c>
      <c r="D16" s="182" t="s">
        <v>98</v>
      </c>
      <c r="H16" s="182" t="s">
        <v>189</v>
      </c>
      <c r="U16" s="145" t="s">
        <v>190</v>
      </c>
      <c r="V16" s="60" t="s">
        <v>113</v>
      </c>
      <c r="W16" s="60" t="s">
        <v>153</v>
      </c>
      <c r="X16" s="60" t="s">
        <v>154</v>
      </c>
      <c r="AI16" s="145" t="str">
        <f>AD7</f>
        <v>not yet</v>
      </c>
      <c r="AJ16" s="145" t="str">
        <f>AD13</f>
        <v>not yet</v>
      </c>
      <c r="AK16" s="145" t="str">
        <f>AD19</f>
        <v>not yet</v>
      </c>
      <c r="AL16" s="145" t="str">
        <f>AD25</f>
        <v>not yet</v>
      </c>
      <c r="AM16" s="145" t="str">
        <f>AD31</f>
        <v>not yet</v>
      </c>
      <c r="AN16" s="145" t="str">
        <f>AD37</f>
        <v>not yet</v>
      </c>
      <c r="AO16" s="145" t="str">
        <f>AD43</f>
        <v>yes</v>
      </c>
      <c r="AP16" s="145" t="str">
        <f>AD49</f>
        <v>yes</v>
      </c>
      <c r="AQ16" s="145" t="str">
        <f>AD55</f>
        <v>yes</v>
      </c>
    </row>
    <row r="17" spans="2:43" ht="15">
      <c r="B17" s="179" t="s">
        <v>171</v>
      </c>
      <c r="C17" s="145" t="s">
        <v>191</v>
      </c>
      <c r="E17" s="142">
        <v>0.4</v>
      </c>
      <c r="F17" s="145" t="s">
        <v>192</v>
      </c>
      <c r="U17" s="177">
        <f>100*(+AC11/$E$9)</f>
        <v>289.33374275275565</v>
      </c>
      <c r="V17" s="180">
        <f>EXP(5.7226-(0.68367*LN(+U17)))</f>
        <v>6.346128909183465</v>
      </c>
      <c r="W17" s="178">
        <f>(+V17*U17)/100</f>
        <v>18.361492292855143</v>
      </c>
      <c r="X17" s="177">
        <f>100*((((W17/100)-((W17/100)-0.03574)*$E$21)-0.03574-0.00619)/0.344)</f>
        <v>26.14206392545303</v>
      </c>
      <c r="Y17" s="145">
        <v>0</v>
      </c>
      <c r="Z17" s="177">
        <f>X17+Y17</f>
        <v>26.14206392545303</v>
      </c>
      <c r="AA17" s="177">
        <f>100*($E$17*$E$19+($E$18*(Z17/100))/(1-$E$21))</f>
        <v>26.13113593118741</v>
      </c>
      <c r="AB17" s="178">
        <f>AA17/U17</f>
        <v>0.09031485813777775</v>
      </c>
      <c r="AC17" s="54">
        <f>$E$8/(1-AB17)</f>
        <v>1580380.3459696006</v>
      </c>
      <c r="AD17" s="145" t="str">
        <f>IF(AC17=AC11,"yes","not yet")</f>
        <v>not yet</v>
      </c>
      <c r="AE17" s="177">
        <f>100*(1-AB17)</f>
        <v>90.96851418622222</v>
      </c>
      <c r="AI17" s="145" t="str">
        <f>AD8</f>
        <v>not yet</v>
      </c>
      <c r="AJ17" s="145" t="str">
        <f>AD14</f>
        <v>not yet</v>
      </c>
      <c r="AK17" s="145" t="str">
        <f>AD20</f>
        <v>not yet</v>
      </c>
      <c r="AL17" s="145" t="str">
        <f>AD26</f>
        <v>not yet</v>
      </c>
      <c r="AM17" s="145" t="str">
        <f>AD32</f>
        <v>not yet</v>
      </c>
      <c r="AN17" s="145" t="str">
        <f>AD38</f>
        <v>not yet</v>
      </c>
      <c r="AO17" s="145" t="str">
        <f>AD44</f>
        <v>yes</v>
      </c>
      <c r="AP17" s="145" t="str">
        <f>AD50</f>
        <v>yes</v>
      </c>
      <c r="AQ17" s="145" t="str">
        <f>AD56</f>
        <v>yes</v>
      </c>
    </row>
    <row r="18" spans="2:31" ht="15">
      <c r="B18" s="179" t="s">
        <v>171</v>
      </c>
      <c r="C18" s="145" t="s">
        <v>193</v>
      </c>
      <c r="E18" s="142">
        <v>0.6</v>
      </c>
      <c r="F18" s="145" t="s">
        <v>194</v>
      </c>
      <c r="H18" s="180">
        <v>0.015</v>
      </c>
      <c r="I18" s="145" t="s">
        <v>171</v>
      </c>
      <c r="U18" s="177">
        <f>100*(+AC12/$E$9)</f>
        <v>288.85792970517923</v>
      </c>
      <c r="V18" s="180">
        <f>EXP(5.70827-(0.68367*LN(+U18)))</f>
        <v>6.262880580903093</v>
      </c>
      <c r="W18" s="178">
        <f>(+V18*U18)/100</f>
        <v>18.090827185904377</v>
      </c>
      <c r="X18" s="177">
        <f>100*((((W18/100)-((W18/100)-0.03574)*$E$21)-0.03574-0.00619)/0.344)</f>
        <v>25.63063276406351</v>
      </c>
      <c r="Y18" s="145">
        <v>0</v>
      </c>
      <c r="Z18" s="177">
        <f>X18+Y18</f>
        <v>25.63063276406351</v>
      </c>
      <c r="AA18" s="177">
        <f>100*($E$17*$E$19+($E$18*(Z18/100))/(1-$E$21))</f>
        <v>25.65904562836631</v>
      </c>
      <c r="AB18" s="178">
        <f>AA18/U18</f>
        <v>0.08882929284494641</v>
      </c>
      <c r="AC18" s="54">
        <f>$E$8/(1-AB18)</f>
        <v>1577803.7067372273</v>
      </c>
      <c r="AD18" s="145" t="str">
        <f>IF(AC18=AC12,"yes","not yet")</f>
        <v>not yet</v>
      </c>
      <c r="AE18" s="177">
        <f>100*(1-AB18)</f>
        <v>91.11707071550535</v>
      </c>
    </row>
    <row r="19" spans="2:43" ht="15">
      <c r="B19" s="179" t="s">
        <v>171</v>
      </c>
      <c r="C19" s="145" t="s">
        <v>195</v>
      </c>
      <c r="E19" s="51">
        <v>0.05</v>
      </c>
      <c r="F19" s="145" t="s">
        <v>196</v>
      </c>
      <c r="H19" s="180">
        <v>0.0042755</v>
      </c>
      <c r="I19" s="145" t="s">
        <v>171</v>
      </c>
      <c r="U19" s="177">
        <f>100*(+AC13/$E$9)</f>
        <v>288.53767677818115</v>
      </c>
      <c r="V19" s="180">
        <f>EXP(5.6985-(0.68367*LN(U19)))</f>
        <v>6.206695521954871</v>
      </c>
      <c r="W19" s="178">
        <f>(+V19*U19)/100</f>
        <v>17.90865506374399</v>
      </c>
      <c r="X19" s="177">
        <f>100*((((W19/100)-((W19/100)-0.03574)*$E$21)-0.03574-0.00619)/0.344)</f>
        <v>25.286412184399985</v>
      </c>
      <c r="Y19" s="145">
        <v>0</v>
      </c>
      <c r="Z19" s="177">
        <f>X19+Y19</f>
        <v>25.286412184399985</v>
      </c>
      <c r="AA19" s="177">
        <f>100*($E$17*$E$19+($E$18*(Z19/100))/(1-$E$21))</f>
        <v>25.34130355483076</v>
      </c>
      <c r="AB19" s="178">
        <f>AA19/U19</f>
        <v>0.08782667081052424</v>
      </c>
      <c r="AC19" s="54">
        <f>$E$8/(1-AB19)</f>
        <v>1576069.4521698705</v>
      </c>
      <c r="AD19" s="145" t="str">
        <f>IF(AC19=AC13,"yes","not yet")</f>
        <v>not yet</v>
      </c>
      <c r="AE19" s="177">
        <f>100*(1-AB19)</f>
        <v>91.21733291894758</v>
      </c>
      <c r="AI19" s="145" t="str">
        <f>HLOOKUP(1,$AI$13:$AQ$17,($E$12)+1)</f>
        <v>not yet</v>
      </c>
      <c r="AJ19" s="145" t="str">
        <f>HLOOKUP(2,$AI$13:$AQ$17,($E$12)+1)</f>
        <v>not yet</v>
      </c>
      <c r="AK19" s="145" t="str">
        <f>HLOOKUP(3,$AI$13:$AQ$17,($E$12)+1)</f>
        <v>not yet</v>
      </c>
      <c r="AL19" s="145" t="str">
        <f>HLOOKUP(4,$AI$13:$AQ$17,($E$12)+1)</f>
        <v>not yet</v>
      </c>
      <c r="AM19" s="145" t="str">
        <f>HLOOKUP(5,$AI$13:$AQ$17,($E$12)+1)</f>
        <v>not yet</v>
      </c>
      <c r="AN19" s="145" t="str">
        <f>HLOOKUP(6,$AI$13:$AQ$17,($E$12)+1)</f>
        <v>not yet</v>
      </c>
      <c r="AO19" s="145" t="str">
        <f>HLOOKUP(7,$AI$13:$AQ$17,($E$12)+1)</f>
        <v>yes</v>
      </c>
      <c r="AP19" s="145" t="str">
        <f>HLOOKUP(8,$AI$13:$AQ$17,($E$12)+1)</f>
        <v>yes</v>
      </c>
      <c r="AQ19" s="145" t="str">
        <f>HLOOKUP(9,$AI$13:$AQ$17,($E$12)+1)</f>
        <v>yes</v>
      </c>
    </row>
    <row r="20" spans="6:43" ht="15">
      <c r="F20" s="145" t="s">
        <v>197</v>
      </c>
      <c r="H20" s="180">
        <v>0</v>
      </c>
      <c r="I20" s="145" t="s">
        <v>171</v>
      </c>
      <c r="U20" s="177">
        <f>100*(+AC14/$E$9)</f>
        <v>288.33293249941516</v>
      </c>
      <c r="V20" s="180">
        <f>EXP(5.6922-(0.68367*LN(U20)))</f>
        <v>6.1707101701946465</v>
      </c>
      <c r="W20" s="178">
        <f>(+V20*U20)/100</f>
        <v>17.792189589761875</v>
      </c>
      <c r="X20" s="177">
        <f>100*((((W20/100)-((W20/100)-0.03574)*$E$21)-0.03574-0.00619)/0.344)</f>
        <v>25.066346608561684</v>
      </c>
      <c r="Y20" s="145">
        <v>0</v>
      </c>
      <c r="Z20" s="177">
        <f>X20+Y20</f>
        <v>25.066346608561684</v>
      </c>
      <c r="AA20" s="177">
        <f>100*($E$17*$E$19+($E$18*(Z20/100))/(1-$E$21))</f>
        <v>25.138166100210785</v>
      </c>
      <c r="AB20" s="178">
        <f>AA20/U20</f>
        <v>0.08718451230076459</v>
      </c>
      <c r="AC20" s="54">
        <f>$E$8/(1-AB20)</f>
        <v>1574960.6997173524</v>
      </c>
      <c r="AD20" s="145" t="str">
        <f>IF(AC20=AC14,"yes","not yet")</f>
        <v>not yet</v>
      </c>
      <c r="AE20" s="177">
        <f>100*(1-AB20)</f>
        <v>91.28154876992353</v>
      </c>
      <c r="AH20" s="145">
        <v>1</v>
      </c>
      <c r="AI20" s="177">
        <f>AE5</f>
        <v>91.6512004177571</v>
      </c>
      <c r="AJ20" s="177">
        <f>AE11</f>
        <v>90.92438498989434</v>
      </c>
      <c r="AK20" s="177">
        <f>AE17</f>
        <v>90.96851418622222</v>
      </c>
      <c r="AL20" s="177">
        <f>AE23</f>
        <v>90.96583050034177</v>
      </c>
      <c r="AM20" s="177">
        <f>AE29</f>
        <v>90.96599369070518</v>
      </c>
      <c r="AN20" s="177">
        <f>AE35</f>
        <v>90.96598376731785</v>
      </c>
      <c r="AO20" s="177">
        <f>AE41</f>
        <v>90.96598329370245</v>
      </c>
      <c r="AP20" s="177">
        <f>AE47</f>
        <v>90.96598329370245</v>
      </c>
      <c r="AQ20" s="177">
        <f>AE53</f>
        <v>90.96598329370245</v>
      </c>
    </row>
    <row r="21" spans="2:43" ht="15">
      <c r="B21" s="179" t="s">
        <v>171</v>
      </c>
      <c r="C21" s="145" t="s">
        <v>198</v>
      </c>
      <c r="E21" s="142">
        <v>0.35</v>
      </c>
      <c r="F21" s="145" t="s">
        <v>199</v>
      </c>
      <c r="H21" s="180">
        <v>0.005</v>
      </c>
      <c r="I21" s="145" t="s">
        <v>171</v>
      </c>
      <c r="AH21" s="145">
        <v>2</v>
      </c>
      <c r="AI21" s="177">
        <f>AE6</f>
        <v>91.79548981035516</v>
      </c>
      <c r="AJ21" s="177">
        <f>AE12</f>
        <v>91.07415760913733</v>
      </c>
      <c r="AK21" s="177">
        <f>AE18</f>
        <v>91.11707071550535</v>
      </c>
      <c r="AL21" s="177">
        <f>AE24</f>
        <v>91.11451362138973</v>
      </c>
      <c r="AM21" s="177">
        <f>AE30</f>
        <v>91.11466597810512</v>
      </c>
      <c r="AN21" s="177">
        <f>AE36</f>
        <v>91.11465690033911</v>
      </c>
      <c r="AO21" s="177">
        <f>AE42</f>
        <v>91.11465914085704</v>
      </c>
      <c r="AP21" s="177">
        <f>AE48</f>
        <v>91.11465570020295</v>
      </c>
      <c r="AQ21" s="177">
        <f>AE54</f>
        <v>91.11465914085704</v>
      </c>
    </row>
    <row r="22" spans="8:43" ht="15">
      <c r="H22" s="182" t="s">
        <v>98</v>
      </c>
      <c r="U22" s="145" t="s">
        <v>200</v>
      </c>
      <c r="V22" s="60" t="s">
        <v>113</v>
      </c>
      <c r="W22" s="60" t="s">
        <v>153</v>
      </c>
      <c r="X22" s="60" t="s">
        <v>154</v>
      </c>
      <c r="AH22" s="145">
        <v>3</v>
      </c>
      <c r="AI22" s="177">
        <f>AE7</f>
        <v>91.89268561990744</v>
      </c>
      <c r="AJ22" s="177">
        <f>AE13</f>
        <v>91.17524238209968</v>
      </c>
      <c r="AK22" s="177">
        <f>AE19</f>
        <v>91.21733291894758</v>
      </c>
      <c r="AL22" s="177">
        <f>AE25</f>
        <v>91.21485958784525</v>
      </c>
      <c r="AM22" s="177">
        <f>AE31</f>
        <v>91.21500491234464</v>
      </c>
      <c r="AN22" s="177">
        <f>AE37</f>
        <v>91.21499637352512</v>
      </c>
      <c r="AO22" s="177">
        <f>AE43</f>
        <v>91.21499747217386</v>
      </c>
      <c r="AP22" s="177">
        <f>AE49</f>
        <v>91.21499747217386</v>
      </c>
      <c r="AQ22" s="177">
        <f>AE55</f>
        <v>91.21499747217386</v>
      </c>
    </row>
    <row r="23" spans="6:43" ht="15">
      <c r="F23" s="145" t="s">
        <v>201</v>
      </c>
      <c r="H23" s="51">
        <f>SUM(H18:H21)</f>
        <v>0.024275500000000002</v>
      </c>
      <c r="U23" s="177">
        <f>100*(+AC17/$E$9)</f>
        <v>289.1933857770213</v>
      </c>
      <c r="V23" s="180">
        <f>EXP(5.7226-(0.68367*LN(+U23)))</f>
        <v>6.348234469692763</v>
      </c>
      <c r="W23" s="178">
        <f>(+V23*U23)/100</f>
        <v>18.358674199968434</v>
      </c>
      <c r="X23" s="177">
        <f>100*((((W23/100)-((W23/100)-0.03574)*$E$21)-0.03574-0.00619)/0.344)</f>
        <v>26.136739040638034</v>
      </c>
      <c r="Y23" s="145">
        <v>0</v>
      </c>
      <c r="Z23" s="177">
        <f>X23+Y23</f>
        <v>26.136739040638034</v>
      </c>
      <c r="AA23" s="177">
        <f>100*($E$17*$E$19+($E$18*(Z23/100))/(1-$E$21))</f>
        <v>26.12622065289665</v>
      </c>
      <c r="AB23" s="178">
        <f>AA23/U23</f>
        <v>0.09034169499658239</v>
      </c>
      <c r="AC23" s="54">
        <f>$E$8/(1-AB23)</f>
        <v>1580426.9705581623</v>
      </c>
      <c r="AD23" s="145" t="str">
        <f>IF(AC23=AC17,"yes","not yet")</f>
        <v>not yet</v>
      </c>
      <c r="AE23" s="177">
        <f>100*(1-AB23)</f>
        <v>90.96583050034177</v>
      </c>
      <c r="AH23" s="145">
        <v>4</v>
      </c>
      <c r="AI23" s="177">
        <f>AE8</f>
        <v>91.95485878285837</v>
      </c>
      <c r="AJ23" s="177">
        <f>AE14</f>
        <v>91.2399856255475</v>
      </c>
      <c r="AK23" s="177">
        <f>AE20</f>
        <v>91.28154876992353</v>
      </c>
      <c r="AL23" s="177">
        <f>AE26</f>
        <v>91.27912836616372</v>
      </c>
      <c r="AM23" s="177">
        <f>AE32</f>
        <v>91.2792693036254</v>
      </c>
      <c r="AN23" s="177">
        <f>AE38</f>
        <v>91.2792610969464</v>
      </c>
      <c r="AO23" s="177">
        <f>AE44</f>
        <v>91.27926099458305</v>
      </c>
      <c r="AP23" s="177">
        <f>AE50</f>
        <v>91.27926099458305</v>
      </c>
      <c r="AQ23" s="177">
        <f>AE56</f>
        <v>91.27926099458305</v>
      </c>
    </row>
    <row r="24" spans="21:31" ht="15">
      <c r="U24" s="177">
        <f>100*(+AC18/$E$9)</f>
        <v>288.72188723843453</v>
      </c>
      <c r="V24" s="180">
        <f>EXP(5.70827-(0.68367*LN(+U24)))</f>
        <v>6.26489793940777</v>
      </c>
      <c r="W24" s="178">
        <f>(+V24*U24)/100</f>
        <v>18.08813156421991</v>
      </c>
      <c r="X24" s="177">
        <f>100*((((W24/100)-((W24/100)-0.03574)*$E$21)-0.03574-0.00619)/0.344)</f>
        <v>25.625539292857397</v>
      </c>
      <c r="Y24" s="145">
        <v>0</v>
      </c>
      <c r="Z24" s="177">
        <f>X24+Y24</f>
        <v>25.625539292857397</v>
      </c>
      <c r="AA24" s="177">
        <f>100*($E$17*$E$19+($E$18*(Z24/100))/(1-$E$21))</f>
        <v>25.654343962637594</v>
      </c>
      <c r="AB24" s="178">
        <f>AA24/U24</f>
        <v>0.08885486378610266</v>
      </c>
      <c r="AC24" s="54">
        <f>$E$8/(1-AB24)</f>
        <v>1577847.9871972082</v>
      </c>
      <c r="AD24" s="145" t="str">
        <f>IF(AC24=AC18,"yes","not yet")</f>
        <v>not yet</v>
      </c>
      <c r="AE24" s="177">
        <f>100*(1-AB24)</f>
        <v>91.11451362138973</v>
      </c>
    </row>
    <row r="25" spans="6:35" ht="15">
      <c r="F25" s="145" t="s">
        <v>202</v>
      </c>
      <c r="H25" s="178">
        <f>((+H15/100)-H23)</f>
        <v>0.8878744747217386</v>
      </c>
      <c r="U25" s="177">
        <f>100*(+AC19/$E$9)</f>
        <v>288.404536449169</v>
      </c>
      <c r="V25" s="180">
        <f>EXP(5.6985-(0.68367*LN(U25)))</f>
        <v>6.208654289039414</v>
      </c>
      <c r="W25" s="178">
        <f>(+V25*U25)/100</f>
        <v>17.90604062203557</v>
      </c>
      <c r="X25" s="177">
        <f>100*((((W25/100)-((W25/100)-0.03574)*$E$21)-0.03574-0.00619)/0.344)</f>
        <v>25.281472105590463</v>
      </c>
      <c r="Y25" s="145">
        <v>0</v>
      </c>
      <c r="Z25" s="177">
        <f>X25+Y25</f>
        <v>25.281472105590463</v>
      </c>
      <c r="AA25" s="177">
        <f>100*($E$17*$E$19+($E$18*(Z25/100))/(1-$E$21))</f>
        <v>25.336743482083502</v>
      </c>
      <c r="AB25" s="178">
        <f>AA25/U25</f>
        <v>0.08785140412154745</v>
      </c>
      <c r="AC25" s="54">
        <f>$E$8/(1-AB25)</f>
        <v>1576112.1879874016</v>
      </c>
      <c r="AD25" s="145" t="str">
        <f>IF(AC25=AC19,"yes","not yet")</f>
        <v>not yet</v>
      </c>
      <c r="AE25" s="177">
        <f>100*(1-AB25)</f>
        <v>91.21485958784525</v>
      </c>
      <c r="AI25" s="145" t="s">
        <v>114</v>
      </c>
    </row>
    <row r="26" spans="21:35" ht="15">
      <c r="U26" s="177">
        <f>100*(+AC20/$E$9)</f>
        <v>288.20164612814597</v>
      </c>
      <c r="V26" s="180">
        <f>EXP(5.6922-(0.68367*LN(U26)))</f>
        <v>6.172631817023896</v>
      </c>
      <c r="W26" s="178">
        <f>(+V26*U26)/100</f>
        <v>17.789626506092553</v>
      </c>
      <c r="X26" s="177">
        <f>100*((((W26/100)-((W26/100)-0.03574)*$E$21)-0.03574-0.00619)/0.344)</f>
        <v>25.061503572558607</v>
      </c>
      <c r="Y26" s="145">
        <v>0</v>
      </c>
      <c r="Z26" s="177">
        <f>X26+Y26</f>
        <v>25.061503572558607</v>
      </c>
      <c r="AA26" s="177">
        <f>100*($E$17*$E$19+($E$18*(Z26/100))/(1-$E$21))</f>
        <v>25.13369560543871</v>
      </c>
      <c r="AB26" s="178">
        <f>AA26/U26</f>
        <v>0.08720871633836284</v>
      </c>
      <c r="AC26" s="54">
        <f>$E$8/(1-AB26)</f>
        <v>1575002.4621757304</v>
      </c>
      <c r="AD26" s="145" t="str">
        <f>IF(AC26=AC20,"yes","not yet")</f>
        <v>not yet</v>
      </c>
      <c r="AE26" s="177">
        <f>100*(1-AB26)</f>
        <v>91.27912836616372</v>
      </c>
      <c r="AI26" s="177">
        <f>HLOOKUP($AI$25,$AI$19:$AQ$23,($E$12)+1)</f>
        <v>91.21499747217386</v>
      </c>
    </row>
    <row r="28" spans="21:43" ht="15">
      <c r="U28" s="145" t="s">
        <v>203</v>
      </c>
      <c r="V28" s="60" t="s">
        <v>113</v>
      </c>
      <c r="W28" s="60" t="s">
        <v>153</v>
      </c>
      <c r="X28" s="60" t="s">
        <v>154</v>
      </c>
      <c r="AI28" s="145" t="str">
        <f>HLOOKUP(1,$AI$13:$AQ$17,($E$12)+1)</f>
        <v>not yet</v>
      </c>
      <c r="AJ28" s="145" t="str">
        <f>HLOOKUP(2,$AI$13:$AQ$17,($E$12)+1)</f>
        <v>not yet</v>
      </c>
      <c r="AK28" s="145" t="str">
        <f>HLOOKUP(3,$AI$13:$AQ$17,($E$12)+1)</f>
        <v>not yet</v>
      </c>
      <c r="AL28" s="145" t="str">
        <f>HLOOKUP(4,$AI$13:$AQ$17,($E$12)+1)</f>
        <v>not yet</v>
      </c>
      <c r="AM28" s="145" t="str">
        <f>HLOOKUP(5,$AI$13:$AQ$17,($E$12)+1)</f>
        <v>not yet</v>
      </c>
      <c r="AN28" s="145" t="str">
        <f>HLOOKUP(6,$AI$13:$AQ$17,($E$12)+1)</f>
        <v>not yet</v>
      </c>
      <c r="AO28" s="145" t="str">
        <f>HLOOKUP(7,$AI$13:$AQ$17,($E$12)+1)</f>
        <v>yes</v>
      </c>
      <c r="AP28" s="145" t="str">
        <f>HLOOKUP(8,$AI$13:$AQ$17,($E$12)+1)</f>
        <v>yes</v>
      </c>
      <c r="AQ28" s="145" t="str">
        <f>HLOOKUP(9,$AI$13:$AQ$17,($E$12)+1)</f>
        <v>yes</v>
      </c>
    </row>
    <row r="29" spans="21:43" ht="15">
      <c r="U29" s="177">
        <f>100*(+AC23/$E$9)</f>
        <v>289.2019175982762</v>
      </c>
      <c r="V29" s="180">
        <f>EXP(5.7226-(0.68367*LN(+U29)))</f>
        <v>6.348106430747355</v>
      </c>
      <c r="W29" s="178">
        <f>(+V29*U29)/100</f>
        <v>18.358845528900837</v>
      </c>
      <c r="X29" s="177">
        <f>100*((((W29/100)-((W29/100)-0.03574)*$E$21)-0.03574-0.00619)/0.344)</f>
        <v>26.137062772632397</v>
      </c>
      <c r="Y29" s="145">
        <v>0</v>
      </c>
      <c r="Z29" s="177">
        <f>X29+Y29</f>
        <v>26.137062772632397</v>
      </c>
      <c r="AA29" s="177">
        <f>100*($E$17*$E$19+($E$18*(Z29/100))/(1-$E$21))</f>
        <v>26.126519482429906</v>
      </c>
      <c r="AB29" s="178">
        <f>AA29/U29</f>
        <v>0.09034006309294829</v>
      </c>
      <c r="AC29" s="54">
        <f>$E$8/(1-AB29)</f>
        <v>1580424.1353178576</v>
      </c>
      <c r="AD29" s="145" t="str">
        <f>IF(AC29=AC23,"yes","not yet")</f>
        <v>not yet</v>
      </c>
      <c r="AE29" s="177">
        <f>100*(1-AB29)</f>
        <v>90.96599369070518</v>
      </c>
      <c r="AH29" s="145">
        <v>1</v>
      </c>
      <c r="AI29" s="177">
        <f>U5</f>
        <v>328.8436577077325</v>
      </c>
      <c r="AJ29" s="177">
        <f>U11</f>
        <v>287.039258588059</v>
      </c>
      <c r="AK29" s="177">
        <f>U17</f>
        <v>289.33374275275565</v>
      </c>
      <c r="AL29" s="177">
        <f>U23</f>
        <v>289.1933857770213</v>
      </c>
      <c r="AM29" s="177">
        <f>U29</f>
        <v>289.2019175982762</v>
      </c>
      <c r="AN29" s="177">
        <f>U35</f>
        <v>289.2013987783951</v>
      </c>
      <c r="AO29" s="177">
        <f>U41</f>
        <v>289.2013740166158</v>
      </c>
      <c r="AP29" s="177">
        <f>U47</f>
        <v>289.2013740166158</v>
      </c>
      <c r="AQ29" s="177">
        <f>U53</f>
        <v>289.2013740166158</v>
      </c>
    </row>
    <row r="30" spans="21:43" ht="15">
      <c r="U30" s="177">
        <f>100*(+AC24/$E$9)</f>
        <v>288.72999010821417</v>
      </c>
      <c r="V30" s="180">
        <f>EXP(5.70827-(0.68367*LN(+U30)))</f>
        <v>6.264777738038569</v>
      </c>
      <c r="W30" s="178">
        <f>(+V30*U30)/100</f>
        <v>18.088292143340365</v>
      </c>
      <c r="X30" s="177">
        <f>100*((((W30/100)-((W30/100)-0.03574)*$E$21)-0.03574-0.00619)/0.344)</f>
        <v>25.62584271270709</v>
      </c>
      <c r="Y30" s="145">
        <v>0</v>
      </c>
      <c r="Z30" s="177">
        <f>X30+Y30</f>
        <v>25.62584271270709</v>
      </c>
      <c r="AA30" s="177">
        <f>100*($E$17*$E$19+($E$18*(Z30/100))/(1-$E$21))</f>
        <v>25.654624042498853</v>
      </c>
      <c r="AB30" s="178">
        <f>AA30/U30</f>
        <v>0.08885334021894872</v>
      </c>
      <c r="AC30" s="54">
        <f>$E$8/(1-AB30)</f>
        <v>1577845.3488103566</v>
      </c>
      <c r="AD30" s="145" t="str">
        <f>IF(AC30=AC24,"yes","not yet")</f>
        <v>not yet</v>
      </c>
      <c r="AE30" s="177">
        <f>100*(1-AB30)</f>
        <v>91.11466597810512</v>
      </c>
      <c r="AH30" s="145">
        <v>2</v>
      </c>
      <c r="AI30" s="177">
        <f>U6</f>
        <v>328.8436577077325</v>
      </c>
      <c r="AJ30" s="177">
        <f>U12</f>
        <v>286.5880738908692</v>
      </c>
      <c r="AK30" s="177">
        <f>U18</f>
        <v>288.85792970517923</v>
      </c>
      <c r="AL30" s="177">
        <f>U24</f>
        <v>288.72188723843453</v>
      </c>
      <c r="AM30" s="177">
        <f>U30</f>
        <v>288.72999010821417</v>
      </c>
      <c r="AN30" s="177">
        <f>U36</f>
        <v>288.72950731049485</v>
      </c>
      <c r="AO30" s="177">
        <f>U42</f>
        <v>288.72962647151724</v>
      </c>
      <c r="AP30" s="177">
        <f>U48</f>
        <v>288.729443481779</v>
      </c>
      <c r="AQ30" s="177">
        <f>U54</f>
        <v>288.72962647151724</v>
      </c>
    </row>
    <row r="31" spans="21:43" ht="15">
      <c r="U31" s="177">
        <f>100*(+AC25/$E$9)</f>
        <v>288.41235666523113</v>
      </c>
      <c r="V31" s="180">
        <f>EXP(5.6985-(0.68367*LN(U31)))</f>
        <v>6.2085391955512</v>
      </c>
      <c r="W31" s="178">
        <f>(+V31*U31)/100</f>
        <v>17.9061942083738</v>
      </c>
      <c r="X31" s="177">
        <f>100*((((W31/100)-((W31/100)-0.03574)*$E$21)-0.03574-0.00619)/0.344)</f>
        <v>25.281762312334227</v>
      </c>
      <c r="Y31" s="145">
        <v>0</v>
      </c>
      <c r="Z31" s="177">
        <f>X31+Y31</f>
        <v>25.281762312334227</v>
      </c>
      <c r="AA31" s="177">
        <f>100*($E$17*$E$19+($E$18*(Z31/100))/(1-$E$21))</f>
        <v>25.337011365231593</v>
      </c>
      <c r="AB31" s="178">
        <f>AA31/U31</f>
        <v>0.08784995087655353</v>
      </c>
      <c r="AC31" s="54">
        <f>$E$8/(1-AB31)</f>
        <v>1576109.676912443</v>
      </c>
      <c r="AD31" s="145" t="str">
        <f>IF(AC31=AC25,"yes","not yet")</f>
        <v>not yet</v>
      </c>
      <c r="AE31" s="177">
        <f>100*(1-AB31)</f>
        <v>91.21500491234464</v>
      </c>
      <c r="AH31" s="145">
        <v>3</v>
      </c>
      <c r="AI31" s="177">
        <f>U7</f>
        <v>328.8436577077325</v>
      </c>
      <c r="AJ31" s="177">
        <f>U13</f>
        <v>286.28494682844916</v>
      </c>
      <c r="AK31" s="177">
        <f>U19</f>
        <v>288.53767677818115</v>
      </c>
      <c r="AL31" s="177">
        <f>U25</f>
        <v>288.404536449169</v>
      </c>
      <c r="AM31" s="177">
        <f>U31</f>
        <v>288.41235666523113</v>
      </c>
      <c r="AN31" s="177">
        <f>U37</f>
        <v>288.41189716428175</v>
      </c>
      <c r="AO31" s="177">
        <f>U43</f>
        <v>288.4119562859893</v>
      </c>
      <c r="AP31" s="177">
        <f>U49</f>
        <v>288.4119562859893</v>
      </c>
      <c r="AQ31" s="177">
        <f>U55</f>
        <v>288.4119562859893</v>
      </c>
    </row>
    <row r="32" spans="21:43" ht="15">
      <c r="U32" s="177">
        <f>100*(+AC26/$E$9)</f>
        <v>288.20928822947144</v>
      </c>
      <c r="V32" s="180">
        <f>EXP(5.6922-(0.68367*LN(U32)))</f>
        <v>6.172519918711594</v>
      </c>
      <c r="W32" s="178">
        <f>(+V32*U32)/100</f>
        <v>17.789775723541037</v>
      </c>
      <c r="X32" s="177">
        <f>100*((((W32/100)-((W32/100)-0.03574)*$E$21)-0.03574-0.00619)/0.344)</f>
        <v>25.06178552413278</v>
      </c>
      <c r="Y32" s="145">
        <v>0</v>
      </c>
      <c r="Z32" s="177">
        <f>X32+Y32</f>
        <v>25.06178552413278</v>
      </c>
      <c r="AA32" s="177">
        <f>100*($E$17*$E$19+($E$18*(Z32/100))/(1-$E$21))</f>
        <v>25.133955868430256</v>
      </c>
      <c r="AB32" s="178">
        <f>AA32/U32</f>
        <v>0.08720730696374597</v>
      </c>
      <c r="AC32" s="54">
        <f>$E$8/(1-AB32)</f>
        <v>1575000.0303327625</v>
      </c>
      <c r="AD32" s="145" t="str">
        <f>IF(AC32=AC26,"yes","not yet")</f>
        <v>not yet</v>
      </c>
      <c r="AE32" s="177">
        <f>100*(1-AB32)</f>
        <v>91.2792693036254</v>
      </c>
      <c r="AH32" s="145">
        <v>4</v>
      </c>
      <c r="AI32" s="177">
        <f>U8</f>
        <v>328.8436577077325</v>
      </c>
      <c r="AJ32" s="177">
        <f>U14</f>
        <v>286.0913818457483</v>
      </c>
      <c r="AK32" s="177">
        <f>U20</f>
        <v>288.33293249941516</v>
      </c>
      <c r="AL32" s="177">
        <f>U26</f>
        <v>288.20164612814597</v>
      </c>
      <c r="AM32" s="177">
        <f>U32</f>
        <v>288.20928822947144</v>
      </c>
      <c r="AN32" s="177">
        <f>U38</f>
        <v>288.20884322716336</v>
      </c>
      <c r="AO32" s="177">
        <f>U44</f>
        <v>288.2088376765791</v>
      </c>
      <c r="AP32" s="177">
        <f>U50</f>
        <v>288.2088376765791</v>
      </c>
      <c r="AQ32" s="177">
        <f>U56</f>
        <v>288.2088376765791</v>
      </c>
    </row>
    <row r="34" spans="21:35" ht="15">
      <c r="U34" s="145" t="s">
        <v>204</v>
      </c>
      <c r="V34" s="60" t="s">
        <v>113</v>
      </c>
      <c r="W34" s="60" t="s">
        <v>153</v>
      </c>
      <c r="X34" s="60" t="s">
        <v>154</v>
      </c>
      <c r="AI34" s="145" t="s">
        <v>114</v>
      </c>
    </row>
    <row r="35" spans="21:35" ht="15">
      <c r="U35" s="177">
        <f>100*(+AC29/$E$9)</f>
        <v>289.2013987783951</v>
      </c>
      <c r="V35" s="180">
        <f>EXP(5.7226-(0.68367*LN(+U35)))</f>
        <v>6.3481142166114735</v>
      </c>
      <c r="W35" s="178">
        <f>(+V35*U35)/100</f>
        <v>18.358835110490542</v>
      </c>
      <c r="X35" s="177">
        <f>100*((((W35/100)-((W35/100)-0.03574)*$E$21)-0.03574-0.00619)/0.344)</f>
        <v>26.137043086682716</v>
      </c>
      <c r="Y35" s="145">
        <v>0</v>
      </c>
      <c r="Z35" s="177">
        <f>X35+Y35</f>
        <v>26.137043086682716</v>
      </c>
      <c r="AA35" s="177">
        <f>100*($E$17*$E$19+($E$18*(Z35/100))/(1-$E$21))</f>
        <v>26.126501310784043</v>
      </c>
      <c r="AB35" s="178">
        <f>AA35/U35</f>
        <v>0.09034016232682147</v>
      </c>
      <c r="AC35" s="54">
        <f>ROUND($E$8/(1-AB35),0)</f>
        <v>1580424</v>
      </c>
      <c r="AD35" s="145" t="str">
        <f>IF(AC35=AC29,"yes","not yet")</f>
        <v>not yet</v>
      </c>
      <c r="AE35" s="177">
        <f>100*(1-AB35)</f>
        <v>90.96598376731785</v>
      </c>
      <c r="AI35" s="177">
        <f>HLOOKUP($AI$34,$AI$28:$AQ$32,($E$12)+1)</f>
        <v>288.4119562859893</v>
      </c>
    </row>
    <row r="36" spans="21:31" ht="15">
      <c r="U36" s="177">
        <f>100*(+AC30/$E$9)</f>
        <v>288.72950731049485</v>
      </c>
      <c r="V36" s="180">
        <f>EXP(5.70827-(0.68367*LN(+U36)))</f>
        <v>6.264784899903333</v>
      </c>
      <c r="W36" s="178">
        <f>(+V36*U36)/100</f>
        <v>18.088282575553173</v>
      </c>
      <c r="X36" s="177">
        <f>100*((((W36/100)-((W36/100)-0.03574)*$E$21)-0.03574-0.00619)/0.344)</f>
        <v>25.625824634039425</v>
      </c>
      <c r="Y36" s="145">
        <v>0</v>
      </c>
      <c r="Z36" s="177">
        <f>X36+Y36</f>
        <v>25.625824634039425</v>
      </c>
      <c r="AA36" s="177">
        <f>100*($E$17*$E$19+($E$18*(Z36/100))/(1-$E$21))</f>
        <v>25.654607354497927</v>
      </c>
      <c r="AB36" s="178">
        <f>AA36/U36</f>
        <v>0.08885343099660886</v>
      </c>
      <c r="AC36" s="54">
        <f>ROUND($E$8/(1-AB36),0)</f>
        <v>1577846</v>
      </c>
      <c r="AD36" s="145" t="str">
        <f>IF(AC36=AC30,"yes","not yet")</f>
        <v>not yet</v>
      </c>
      <c r="AE36" s="177">
        <f>100*(1-AB36)</f>
        <v>91.11465690033911</v>
      </c>
    </row>
    <row r="37" spans="21:43" ht="15">
      <c r="U37" s="177">
        <f>100*(+AC31/$E$9)</f>
        <v>288.41189716428175</v>
      </c>
      <c r="V37" s="180">
        <f>EXP(5.6985-(0.68367*LN(U37)))</f>
        <v>6.208545958079301</v>
      </c>
      <c r="W37" s="178">
        <f>(+V37*U37)/100</f>
        <v>17.906185184012845</v>
      </c>
      <c r="X37" s="177">
        <f>100*((((W37/100)-((W37/100)-0.03574)*$E$21)-0.03574-0.00619)/0.344)</f>
        <v>25.28174526048939</v>
      </c>
      <c r="Y37" s="145">
        <v>0</v>
      </c>
      <c r="Z37" s="177">
        <f>X37+Y37</f>
        <v>25.28174526048939</v>
      </c>
      <c r="AA37" s="177">
        <f>100*($E$17*$E$19+($E$18*(Z37/100))/(1-$E$21))</f>
        <v>25.336995625067125</v>
      </c>
      <c r="AB37" s="178">
        <f>AA37/U37</f>
        <v>0.0878500362647487</v>
      </c>
      <c r="AC37" s="54">
        <f>ROUND($E$8/(1-AB37),0)</f>
        <v>1576110</v>
      </c>
      <c r="AD37" s="145" t="str">
        <f>IF(AC37=AC31,"yes","not yet")</f>
        <v>not yet</v>
      </c>
      <c r="AE37" s="177">
        <f>100*(1-AB37)</f>
        <v>91.21499637352512</v>
      </c>
      <c r="AI37" s="145" t="str">
        <f>HLOOKUP(1,$AI$13:$AQ$17,($E$12)+1)</f>
        <v>not yet</v>
      </c>
      <c r="AJ37" s="145" t="str">
        <f>HLOOKUP(2,$AI$13:$AQ$17,($E$12)+1)</f>
        <v>not yet</v>
      </c>
      <c r="AK37" s="145" t="str">
        <f>HLOOKUP(3,$AI$13:$AQ$17,($E$12)+1)</f>
        <v>not yet</v>
      </c>
      <c r="AL37" s="145" t="str">
        <f>HLOOKUP(4,$AI$13:$AQ$17,($E$12)+1)</f>
        <v>not yet</v>
      </c>
      <c r="AM37" s="145" t="str">
        <f>HLOOKUP(5,$AI$13:$AQ$17,($E$12)+1)</f>
        <v>not yet</v>
      </c>
      <c r="AN37" s="145" t="str">
        <f>HLOOKUP(6,$AI$13:$AQ$17,($E$12)+1)</f>
        <v>not yet</v>
      </c>
      <c r="AO37" s="145" t="str">
        <f>HLOOKUP(7,$AI$13:$AQ$17,($E$12)+1)</f>
        <v>yes</v>
      </c>
      <c r="AP37" s="145" t="str">
        <f>HLOOKUP(8,$AI$13:$AQ$17,($E$12)+1)</f>
        <v>yes</v>
      </c>
      <c r="AQ37" s="145" t="str">
        <f>HLOOKUP(9,$AI$13:$AQ$17,($E$12)+1)</f>
        <v>yes</v>
      </c>
    </row>
    <row r="38" spans="21:43" ht="15">
      <c r="U38" s="177">
        <f>100*(+AC32/$E$9)</f>
        <v>288.20884322716336</v>
      </c>
      <c r="V38" s="180">
        <f>EXP(5.6922-(0.68367*LN(U38)))</f>
        <v>6.172526434453576</v>
      </c>
      <c r="W38" s="178">
        <f>(+V38*U38)/100</f>
        <v>17.78976703462952</v>
      </c>
      <c r="X38" s="177">
        <f>100*((((W38/100)-((W38/100)-0.03574)*$E$21)-0.03574-0.00619)/0.344)</f>
        <v>25.061769106131365</v>
      </c>
      <c r="Y38" s="145">
        <v>0</v>
      </c>
      <c r="Z38" s="177">
        <f>X38+Y38</f>
        <v>25.061769106131365</v>
      </c>
      <c r="AA38" s="177">
        <f>100*($E$17*$E$19+($E$18*(Z38/100))/(1-$E$21))</f>
        <v>25.133940713352025</v>
      </c>
      <c r="AB38" s="178">
        <f>AA38/U38</f>
        <v>0.0872073890305361</v>
      </c>
      <c r="AC38" s="54">
        <f>ROUND($E$8/(1-AB38),0)</f>
        <v>1575000</v>
      </c>
      <c r="AD38" s="145" t="str">
        <f>IF(AC38=AC32,"yes","not yet")</f>
        <v>not yet</v>
      </c>
      <c r="AE38" s="177">
        <f>100*(1-AB38)</f>
        <v>91.2792610969464</v>
      </c>
      <c r="AH38" s="145">
        <v>1</v>
      </c>
      <c r="AI38" s="54">
        <f>AC5</f>
        <v>1568608.4990340015</v>
      </c>
      <c r="AJ38" s="54">
        <f>AC11</f>
        <v>1581147.366990065</v>
      </c>
      <c r="AK38" s="54">
        <f>AC17</f>
        <v>1580380.3459696006</v>
      </c>
      <c r="AL38" s="54">
        <f>AC23</f>
        <v>1580426.9705581623</v>
      </c>
      <c r="AM38" s="54">
        <f>AC29</f>
        <v>1580424.1353178576</v>
      </c>
      <c r="AN38" s="54">
        <f>AC35</f>
        <v>1580424</v>
      </c>
      <c r="AO38" s="54">
        <f>AC41</f>
        <v>1580424</v>
      </c>
      <c r="AP38" s="54">
        <f>AC47</f>
        <v>1580424</v>
      </c>
      <c r="AQ38" s="54">
        <f>AC53</f>
        <v>1580424</v>
      </c>
    </row>
    <row r="39" spans="34:43" ht="15">
      <c r="AH39" s="145">
        <v>2</v>
      </c>
      <c r="AI39" s="54">
        <f>AC6</f>
        <v>1566142.870624399</v>
      </c>
      <c r="AJ39" s="54">
        <f>AC12</f>
        <v>1578547.1498836977</v>
      </c>
      <c r="AK39" s="54">
        <f>AC18</f>
        <v>1577803.7067372273</v>
      </c>
      <c r="AL39" s="54">
        <f>AC24</f>
        <v>1577847.9871972082</v>
      </c>
      <c r="AM39" s="54">
        <f>AC30</f>
        <v>1577845.3488103566</v>
      </c>
      <c r="AN39" s="54">
        <f>AC36</f>
        <v>1577846</v>
      </c>
      <c r="AO39" s="54">
        <f>AC42</f>
        <v>1577845</v>
      </c>
      <c r="AP39" s="54">
        <f>AC48</f>
        <v>1577846</v>
      </c>
      <c r="AQ39" s="54">
        <f>AC54</f>
        <v>1577845</v>
      </c>
    </row>
    <row r="40" spans="21:43" ht="15">
      <c r="U40" s="145" t="s">
        <v>205</v>
      </c>
      <c r="V40" s="60" t="s">
        <v>113</v>
      </c>
      <c r="W40" s="60" t="s">
        <v>153</v>
      </c>
      <c r="X40" s="60" t="s">
        <v>154</v>
      </c>
      <c r="AH40" s="145">
        <v>3</v>
      </c>
      <c r="AI40" s="54">
        <f>AC7</f>
        <v>1564486.3456990693</v>
      </c>
      <c r="AJ40" s="54">
        <f>AC13</f>
        <v>1576797.035750876</v>
      </c>
      <c r="AK40" s="54">
        <f>AC19</f>
        <v>1576069.4521698705</v>
      </c>
      <c r="AL40" s="54">
        <f>AC25</f>
        <v>1576112.1879874016</v>
      </c>
      <c r="AM40" s="54">
        <f>AC31</f>
        <v>1576109.676912443</v>
      </c>
      <c r="AN40" s="54">
        <f>AC37</f>
        <v>1576110</v>
      </c>
      <c r="AO40" s="54">
        <f>AC43</f>
        <v>1576110</v>
      </c>
      <c r="AP40" s="54">
        <f>AC49</f>
        <v>1576110</v>
      </c>
      <c r="AQ40" s="54">
        <f>AC55</f>
        <v>1576110</v>
      </c>
    </row>
    <row r="41" spans="21:43" ht="15">
      <c r="U41" s="177">
        <f>100*(+AC35/$E$9)</f>
        <v>289.2013740166158</v>
      </c>
      <c r="V41" s="180">
        <f>EXP(5.7226-(0.68367*LN(+U41)))</f>
        <v>6.348114588208942</v>
      </c>
      <c r="W41" s="178">
        <f>(+V41*U41)/100</f>
        <v>18.35883461324949</v>
      </c>
      <c r="X41" s="177">
        <f>100*((((W41/100)-((W41/100)-0.03574)*$E$21)-0.03574-0.00619)/0.344)</f>
        <v>26.137042147128398</v>
      </c>
      <c r="Y41" s="145">
        <v>0</v>
      </c>
      <c r="Z41" s="177">
        <f>X41+Y41</f>
        <v>26.137042147128398</v>
      </c>
      <c r="AA41" s="177">
        <f>100*($E$17*$E$19+($E$18*(Z41/100))/(1-$E$21))</f>
        <v>26.126500443503136</v>
      </c>
      <c r="AB41" s="178">
        <f>AA41/U41</f>
        <v>0.09034016706297551</v>
      </c>
      <c r="AC41" s="54">
        <f>ROUND($E$8/(1-AB41),0)</f>
        <v>1580424</v>
      </c>
      <c r="AD41" s="145" t="str">
        <f>IF(OR(OR(AC41=AC35,AC41=(AC35+1)),AC41=(AC27-1)),"yes","not yet")</f>
        <v>yes</v>
      </c>
      <c r="AE41" s="177">
        <f>100*(1-AB41)</f>
        <v>90.96598329370245</v>
      </c>
      <c r="AH41" s="145">
        <v>4</v>
      </c>
      <c r="AI41" s="54">
        <f>AC8</f>
        <v>1563428.5542371157</v>
      </c>
      <c r="AJ41" s="54">
        <f>AC14</f>
        <v>1575678.1518136032</v>
      </c>
      <c r="AK41" s="54">
        <f>AC20</f>
        <v>1574960.6997173524</v>
      </c>
      <c r="AL41" s="54">
        <f>AC26</f>
        <v>1575002.4621757304</v>
      </c>
      <c r="AM41" s="54">
        <f>AC32</f>
        <v>1575000.0303327625</v>
      </c>
      <c r="AN41" s="54">
        <f>AC38</f>
        <v>1575000</v>
      </c>
      <c r="AO41" s="54">
        <f>AC44</f>
        <v>1575000</v>
      </c>
      <c r="AP41" s="54">
        <f>AC50</f>
        <v>1575000</v>
      </c>
      <c r="AQ41" s="54">
        <f>AC56</f>
        <v>1575000</v>
      </c>
    </row>
    <row r="42" spans="21:31" ht="15">
      <c r="U42" s="177">
        <f>100*(+AC36/$E$9)</f>
        <v>288.72962647151724</v>
      </c>
      <c r="V42" s="180">
        <f>EXP(5.70827-(0.68367*LN(+U42)))</f>
        <v>6.264783132256142</v>
      </c>
      <c r="W42" s="178">
        <f>(+V42*U42)/100</f>
        <v>18.088284937013775</v>
      </c>
      <c r="X42" s="177">
        <f>100*((((W42/100)-((W42/100)-0.03574)*$E$21)-0.03574-0.00619)/0.344)</f>
        <v>25.62582909610161</v>
      </c>
      <c r="Y42" s="145">
        <v>0</v>
      </c>
      <c r="Z42" s="177">
        <f>X42+Y42</f>
        <v>25.62582909610161</v>
      </c>
      <c r="AA42" s="177">
        <f>100*($E$17*$E$19+($E$18*(Z42/100))/(1-$E$21))</f>
        <v>25.65461147332456</v>
      </c>
      <c r="AB42" s="178">
        <f>AA42/U42</f>
        <v>0.08885340859142957</v>
      </c>
      <c r="AC42" s="54">
        <f>ROUND($E$8/(1-AB42),0)</f>
        <v>1577845</v>
      </c>
      <c r="AD42" s="145" t="str">
        <f>IF(OR(OR(AC42=AC36,AC42=(AC36+5)),AC42=(AC28-5)),"yes","not yet")</f>
        <v>not yet</v>
      </c>
      <c r="AE42" s="177">
        <f>100*(1-AB42)</f>
        <v>91.11465914085704</v>
      </c>
    </row>
    <row r="43" spans="21:35" ht="15">
      <c r="U43" s="177">
        <f>100*(+AC37/$E$9)</f>
        <v>288.4119562859893</v>
      </c>
      <c r="V43" s="180">
        <f>EXP(5.6985-(0.68367*LN(U43)))</f>
        <v>6.208545087977343</v>
      </c>
      <c r="W43" s="178">
        <f>(+V43*U43)/100</f>
        <v>17.90618634513315</v>
      </c>
      <c r="X43" s="177">
        <f>100*((((W43/100)-((W43/100)-0.03574)*$E$21)-0.03574-0.00619)/0.344)</f>
        <v>25.281747454466714</v>
      </c>
      <c r="Y43" s="145">
        <v>0</v>
      </c>
      <c r="Z43" s="177">
        <f>X43+Y43</f>
        <v>25.281747454466714</v>
      </c>
      <c r="AA43" s="177">
        <f>100*($E$17*$E$19+($E$18*(Z43/100))/(1-$E$21))</f>
        <v>25.336997650276967</v>
      </c>
      <c r="AB43" s="178">
        <f>AA43/U43</f>
        <v>0.08785002527826136</v>
      </c>
      <c r="AC43" s="54">
        <f>ROUND($E$8/(1-AB43),0)</f>
        <v>1576110</v>
      </c>
      <c r="AD43" s="145" t="str">
        <f>IF(OR(OR(AC43=AC37,AC43=(AC37+5)),AC43=(AC29-5)),"yes","not yet")</f>
        <v>yes</v>
      </c>
      <c r="AE43" s="177">
        <f>100*(1-AB43)</f>
        <v>91.21499747217386</v>
      </c>
      <c r="AI43" s="145" t="s">
        <v>114</v>
      </c>
    </row>
    <row r="44" spans="21:35" ht="15">
      <c r="U44" s="177">
        <f>100*(+AC38/$E$9)</f>
        <v>288.2088376765791</v>
      </c>
      <c r="V44" s="180">
        <f>EXP(5.6922-(0.68367*LN(U44)))</f>
        <v>6.172526515725565</v>
      </c>
      <c r="W44" s="178">
        <f>(+V44*U44)/100</f>
        <v>17.789766926251296</v>
      </c>
      <c r="X44" s="177">
        <f>100*((((W44/100)-((W44/100)-0.03574)*$E$21)-0.03574-0.00619)/0.344)</f>
        <v>25.061768901346927</v>
      </c>
      <c r="Y44" s="145">
        <v>0</v>
      </c>
      <c r="Z44" s="177">
        <f>X44+Y44</f>
        <v>25.061768901346927</v>
      </c>
      <c r="AA44" s="177">
        <f>100*($E$17*$E$19+($E$18*(Z44/100))/(1-$E$21))</f>
        <v>25.133940524320238</v>
      </c>
      <c r="AB44" s="178">
        <f>AA44/U44</f>
        <v>0.08720739005416944</v>
      </c>
      <c r="AC44" s="54">
        <f>ROUND($E$8/(1-AB44),0)</f>
        <v>1575000</v>
      </c>
      <c r="AD44" s="145" t="str">
        <f>IF(OR(OR(AC44=AC38,AC44=(AC38+5)),AC44=(AC30-5)),"yes","not yet")</f>
        <v>yes</v>
      </c>
      <c r="AE44" s="177">
        <f>100*(1-AB44)</f>
        <v>91.27926099458305</v>
      </c>
      <c r="AI44" s="54">
        <f>HLOOKUP($AI$34,$AI$37:$AQ$41,($E$12)+1)</f>
        <v>1576110</v>
      </c>
    </row>
    <row r="46" spans="21:24" ht="15">
      <c r="U46" s="145" t="s">
        <v>206</v>
      </c>
      <c r="V46" s="60" t="s">
        <v>113</v>
      </c>
      <c r="W46" s="60" t="s">
        <v>153</v>
      </c>
      <c r="X46" s="60" t="s">
        <v>154</v>
      </c>
    </row>
    <row r="47" spans="21:31" ht="15">
      <c r="U47" s="177">
        <f>100*(+AC41/$E$9)</f>
        <v>289.2013740166158</v>
      </c>
      <c r="V47" s="180">
        <f>EXP(5.7226-(0.68367*LN(+U47)))</f>
        <v>6.348114588208942</v>
      </c>
      <c r="W47" s="178">
        <f>(+V47*U47)/100</f>
        <v>18.35883461324949</v>
      </c>
      <c r="X47" s="177">
        <f>100*((((W47/100)-((W47/100)-0.03574)*$E$21)-0.03574-0.00619)/0.344)</f>
        <v>26.137042147128398</v>
      </c>
      <c r="Y47" s="145">
        <v>0</v>
      </c>
      <c r="Z47" s="177">
        <f>X47+Y47</f>
        <v>26.137042147128398</v>
      </c>
      <c r="AA47" s="177">
        <f>100*($E$17*$E$19+($E$18*(Z47/100))/(1-$E$21))</f>
        <v>26.126500443503136</v>
      </c>
      <c r="AB47" s="178">
        <f>AA47/U47</f>
        <v>0.09034016706297551</v>
      </c>
      <c r="AC47" s="54">
        <f>ROUND($E$8/(1-AB47),0)</f>
        <v>1580424</v>
      </c>
      <c r="AD47" s="145" t="str">
        <f>IF(OR(OR(AC47=AC41,AC47=(AC41+1)),AC47=(AC33-1)),"yes","not yet")</f>
        <v>yes</v>
      </c>
      <c r="AE47" s="177">
        <f>100*(1-AB47)</f>
        <v>90.96598329370245</v>
      </c>
    </row>
    <row r="48" spans="21:31" ht="15">
      <c r="U48" s="177">
        <f>100*(+AC42/$E$9)</f>
        <v>288.729443481779</v>
      </c>
      <c r="V48" s="180">
        <f>EXP(5.70827-(0.68367*LN(+U48)))</f>
        <v>6.264785846745754</v>
      </c>
      <c r="W48" s="178">
        <f>(+V48*U48)/100</f>
        <v>18.088281310634272</v>
      </c>
      <c r="X48" s="177">
        <f>100*((((W48/100)-((W48/100)-0.03574)*$E$21)-0.03574-0.00619)/0.344)</f>
        <v>25.625822243931033</v>
      </c>
      <c r="Y48" s="145">
        <v>0</v>
      </c>
      <c r="Z48" s="177">
        <f>X48+Y48</f>
        <v>25.625822243931033</v>
      </c>
      <c r="AA48" s="177">
        <f>100*($E$17*$E$19+($E$18*(Z48/100))/(1-$E$21))</f>
        <v>25.65460514824403</v>
      </c>
      <c r="AB48" s="178">
        <f>AA48/U48</f>
        <v>0.08885344299797061</v>
      </c>
      <c r="AC48" s="54">
        <f>ROUND($E$8/(1-AB48),0)</f>
        <v>1577846</v>
      </c>
      <c r="AD48" s="145" t="str">
        <f>IF(OR(OR(AC48=AC42,AC48=(AC42+1)),AC48=(AC42-1)),"yes","not yet")</f>
        <v>yes</v>
      </c>
      <c r="AE48" s="177">
        <f>100*(1-AB48)</f>
        <v>91.11465570020295</v>
      </c>
    </row>
    <row r="49" spans="21:31" ht="15">
      <c r="U49" s="177">
        <f>100*(+AC43/$E$9)</f>
        <v>288.4119562859893</v>
      </c>
      <c r="V49" s="180">
        <f>EXP(5.6985-(0.68367*LN(U49)))</f>
        <v>6.208545087977343</v>
      </c>
      <c r="W49" s="178">
        <f>(+V49*U49)/100</f>
        <v>17.90618634513315</v>
      </c>
      <c r="X49" s="177">
        <f>100*((((W49/100)-((W49/100)-0.03574)*$E$21)-0.03574-0.00619)/0.344)</f>
        <v>25.281747454466714</v>
      </c>
      <c r="Y49" s="145">
        <v>0</v>
      </c>
      <c r="Z49" s="177">
        <f>X49+Y49</f>
        <v>25.281747454466714</v>
      </c>
      <c r="AA49" s="177">
        <f>100*($E$17*$E$19+($E$18*(Z49/100))/(1-$E$21))</f>
        <v>25.336997650276967</v>
      </c>
      <c r="AB49" s="178">
        <f>AA49/U49</f>
        <v>0.08785002527826136</v>
      </c>
      <c r="AC49" s="54">
        <f>ROUND($E$8/(1-AB49),0)</f>
        <v>1576110</v>
      </c>
      <c r="AD49" s="145" t="str">
        <f>IF(OR(OR(AC49=AC43,AC49=(AC43+1)),AC49=(AC43-1)),"yes","not yet")</f>
        <v>yes</v>
      </c>
      <c r="AE49" s="177">
        <f>100*(1-AB49)</f>
        <v>91.21499747217386</v>
      </c>
    </row>
    <row r="50" spans="21:31" ht="15">
      <c r="U50" s="177">
        <f>100*(+AC44/$E$9)</f>
        <v>288.2088376765791</v>
      </c>
      <c r="V50" s="180">
        <f>EXP(5.6922-(0.68367*LN(U50)))</f>
        <v>6.172526515725565</v>
      </c>
      <c r="W50" s="178">
        <f>(+V50*U50)/100</f>
        <v>17.789766926251296</v>
      </c>
      <c r="X50" s="177">
        <f>100*((((W50/100)-((W50/100)-0.03574)*$E$21)-0.03574-0.00619)/0.344)</f>
        <v>25.061768901346927</v>
      </c>
      <c r="Y50" s="145">
        <v>0</v>
      </c>
      <c r="Z50" s="177">
        <f>X50+Y50</f>
        <v>25.061768901346927</v>
      </c>
      <c r="AA50" s="177">
        <f>100*($E$17*$E$19+($E$18*(Z50/100))/(1-$E$21))</f>
        <v>25.133940524320238</v>
      </c>
      <c r="AB50" s="178">
        <f>AA50/U50</f>
        <v>0.08720739005416944</v>
      </c>
      <c r="AC50" s="54">
        <f>ROUND($E$8/(1-AB50),0)</f>
        <v>1575000</v>
      </c>
      <c r="AD50" s="145" t="str">
        <f>IF(OR(OR(AC50=AC44,AC50=(AC44+1)),AC50=(AC44-1)),"yes","not yet")</f>
        <v>yes</v>
      </c>
      <c r="AE50" s="177">
        <f>100*(1-AB50)</f>
        <v>91.27926099458305</v>
      </c>
    </row>
    <row r="52" spans="21:24" ht="15">
      <c r="U52" s="145" t="s">
        <v>207</v>
      </c>
      <c r="V52" s="60" t="s">
        <v>113</v>
      </c>
      <c r="W52" s="60" t="s">
        <v>153</v>
      </c>
      <c r="X52" s="60" t="s">
        <v>154</v>
      </c>
    </row>
    <row r="53" spans="21:31" ht="15">
      <c r="U53" s="177">
        <f>100*(+AC47/$E$9)</f>
        <v>289.2013740166158</v>
      </c>
      <c r="V53" s="180">
        <f>EXP(5.7226-(0.68367*LN(+U53)))</f>
        <v>6.348114588208942</v>
      </c>
      <c r="W53" s="178">
        <f>(+V53*U53)/100</f>
        <v>18.35883461324949</v>
      </c>
      <c r="X53" s="177">
        <f>100*((((W53/100)-((W53/100)-0.03574)*$E$21)-0.03574-0.00619)/0.344)</f>
        <v>26.137042147128398</v>
      </c>
      <c r="Y53" s="145">
        <v>0</v>
      </c>
      <c r="Z53" s="177">
        <f>X53+Y53</f>
        <v>26.137042147128398</v>
      </c>
      <c r="AA53" s="177">
        <f>100*($E$17*$E$19+($E$18*(Z53/100))/(1-$E$21))</f>
        <v>26.126500443503136</v>
      </c>
      <c r="AB53" s="178">
        <f>AA53/U53</f>
        <v>0.09034016706297551</v>
      </c>
      <c r="AC53" s="54">
        <f>ROUND($E$8/(1-AB53),0)</f>
        <v>1580424</v>
      </c>
      <c r="AD53" s="145" t="str">
        <f>IF(OR(OR(AC53=AC47,AC53=(AC47+1)),AC53=(AC39-1)),"yes","not yet")</f>
        <v>yes</v>
      </c>
      <c r="AE53" s="177">
        <f>100*(1-AB53)</f>
        <v>90.96598329370245</v>
      </c>
    </row>
    <row r="54" spans="21:31" ht="15">
      <c r="U54" s="177">
        <f>100*(+AC48/$E$9)</f>
        <v>288.72962647151724</v>
      </c>
      <c r="V54" s="180">
        <f>EXP(5.70827-(0.68367*LN(+U54)))</f>
        <v>6.264783132256142</v>
      </c>
      <c r="W54" s="178">
        <f>(+V54*U54)/100</f>
        <v>18.088284937013775</v>
      </c>
      <c r="X54" s="177">
        <f>100*((((W54/100)-((W54/100)-0.03574)*$E$21)-0.03574-0.00619)/0.344)</f>
        <v>25.62582909610161</v>
      </c>
      <c r="Y54" s="145">
        <v>0</v>
      </c>
      <c r="Z54" s="177">
        <f>X54+Y54</f>
        <v>25.62582909610161</v>
      </c>
      <c r="AA54" s="177">
        <f>100*($E$17*$E$19+($E$18*(Z54/100))/(1-$E$21))</f>
        <v>25.65461147332456</v>
      </c>
      <c r="AB54" s="178">
        <f>AA54/U54</f>
        <v>0.08885340859142957</v>
      </c>
      <c r="AC54" s="54">
        <f>ROUND($E$8/(1-AB54),0)</f>
        <v>1577845</v>
      </c>
      <c r="AD54" s="145" t="str">
        <f>IF(OR(OR(AC54=AC48,AC54=(AC48+1)),AC54=(AC48-1)),"yes","not yet")</f>
        <v>yes</v>
      </c>
      <c r="AE54" s="177">
        <f>100*(1-AB54)</f>
        <v>91.11465914085704</v>
      </c>
    </row>
    <row r="55" spans="21:31" ht="15">
      <c r="U55" s="177">
        <f>100*(+AC49/$E$9)</f>
        <v>288.4119562859893</v>
      </c>
      <c r="V55" s="180">
        <f>EXP(5.6985-(0.68367*LN(U55)))</f>
        <v>6.208545087977343</v>
      </c>
      <c r="W55" s="178">
        <f>(+V55*U55)/100</f>
        <v>17.90618634513315</v>
      </c>
      <c r="X55" s="177">
        <f>100*((((W55/100)-((W55/100)-0.03574)*$E$21)-0.03574-0.00619)/0.344)</f>
        <v>25.281747454466714</v>
      </c>
      <c r="Y55" s="145">
        <v>0</v>
      </c>
      <c r="Z55" s="177">
        <f>X55+Y55</f>
        <v>25.281747454466714</v>
      </c>
      <c r="AA55" s="177">
        <f>100*($E$17*$E$19+($E$18*(Z55/100))/(1-$E$21))</f>
        <v>25.336997650276967</v>
      </c>
      <c r="AB55" s="178">
        <f>AA55/U55</f>
        <v>0.08785002527826136</v>
      </c>
      <c r="AC55" s="54">
        <f>ROUND($E$8/(1-AB55),0)</f>
        <v>1576110</v>
      </c>
      <c r="AD55" s="145" t="str">
        <f>IF(OR(OR(AC55=AC49,AC55=(AC49+1)),AC55=(AC49-1)),"yes","not yet")</f>
        <v>yes</v>
      </c>
      <c r="AE55" s="177">
        <f>100*(1-AB55)</f>
        <v>91.21499747217386</v>
      </c>
    </row>
    <row r="56" spans="21:31" ht="15">
      <c r="U56" s="177">
        <f>100*(+AC50/$E$9)</f>
        <v>288.2088376765791</v>
      </c>
      <c r="V56" s="180">
        <f>EXP(5.6922-(0.68367*LN(U56)))</f>
        <v>6.172526515725565</v>
      </c>
      <c r="W56" s="178">
        <f>(+V56*U56)/100</f>
        <v>17.789766926251296</v>
      </c>
      <c r="X56" s="177">
        <f>100*((((W56/100)-((W56/100)-0.03574)*$E$21)-0.03574-0.00619)/0.344)</f>
        <v>25.061768901346927</v>
      </c>
      <c r="Y56" s="145">
        <v>0</v>
      </c>
      <c r="Z56" s="177">
        <f>X56+Y56</f>
        <v>25.061768901346927</v>
      </c>
      <c r="AA56" s="177">
        <f>100*($E$17*$E$19+($E$18*(Z56/100))/(1-$E$21))</f>
        <v>25.133940524320238</v>
      </c>
      <c r="AB56" s="178">
        <f>AA56/U56</f>
        <v>0.08720739005416944</v>
      </c>
      <c r="AC56" s="54">
        <f>ROUND($E$8/(1-AB56),0)</f>
        <v>1575000</v>
      </c>
      <c r="AD56" s="145" t="str">
        <f>IF(OR(OR(AC56=AC50,AC56=(AC50+1)),AC56=(AC50-1)),"yes","not yet")</f>
        <v>yes</v>
      </c>
      <c r="AE56" s="177">
        <f>100*(1-AB56)</f>
        <v>91.27926099458305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C1:AH63"/>
  <sheetViews>
    <sheetView tabSelected="1" defaultGridColor="0" zoomScale="110" zoomScaleNormal="110" zoomScalePageLayoutView="0" colorId="22" workbookViewId="0" topLeftCell="C24">
      <selection activeCell="V47" sqref="V47"/>
    </sheetView>
  </sheetViews>
  <sheetFormatPr defaultColWidth="9.77734375" defaultRowHeight="15"/>
  <cols>
    <col min="1" max="1" width="4.4453125" style="0" hidden="1" customWidth="1"/>
    <col min="2" max="2" width="2.6640625" style="0" hidden="1" customWidth="1"/>
    <col min="3" max="3" width="16.6640625" style="0" customWidth="1"/>
    <col min="4" max="4" width="11.10546875" style="0" customWidth="1"/>
    <col min="5" max="5" width="2.10546875" style="7" customWidth="1"/>
    <col min="6" max="6" width="10.99609375" style="7" customWidth="1"/>
    <col min="7" max="7" width="9.88671875" style="0" customWidth="1"/>
    <col min="8" max="8" width="10.4453125" style="0" bestFit="1" customWidth="1"/>
    <col min="9" max="9" width="9.10546875" style="0" customWidth="1"/>
    <col min="10" max="10" width="11.10546875" style="0" customWidth="1"/>
    <col min="11" max="11" width="2.4453125" style="0" hidden="1" customWidth="1"/>
    <col min="12" max="12" width="11.3359375" style="0" customWidth="1"/>
    <col min="13" max="13" width="8.6640625" style="0" customWidth="1"/>
    <col min="14" max="14" width="10.3359375" style="0" customWidth="1"/>
    <col min="15" max="15" width="2.5546875" style="0" customWidth="1"/>
    <col min="16" max="16" width="3.5546875" style="0" hidden="1" customWidth="1"/>
    <col min="17" max="17" width="2.10546875" style="0" hidden="1" customWidth="1"/>
    <col min="18" max="18" width="1.66796875" style="0" customWidth="1"/>
    <col min="19" max="19" width="12.5546875" style="0" customWidth="1"/>
    <col min="20" max="20" width="8.6640625" style="0" customWidth="1"/>
    <col min="21" max="21" width="10.10546875" style="0" customWidth="1"/>
    <col min="22" max="22" width="8.6640625" style="0" customWidth="1"/>
    <col min="23" max="23" width="8.10546875" style="0" customWidth="1"/>
    <col min="24" max="24" width="10.77734375" style="0" customWidth="1"/>
    <col min="25" max="25" width="8.10546875" style="0" customWidth="1"/>
    <col min="26" max="26" width="9.88671875" style="0" bestFit="1" customWidth="1"/>
    <col min="27" max="27" width="6.77734375" style="0" customWidth="1"/>
    <col min="28" max="28" width="9.4453125" style="7" bestFit="1" customWidth="1"/>
    <col min="29" max="29" width="8.99609375" style="7" customWidth="1"/>
    <col min="30" max="30" width="9.4453125" style="7" customWidth="1"/>
    <col min="31" max="31" width="8.99609375" style="7" customWidth="1"/>
    <col min="32" max="32" width="9.4453125" style="7" bestFit="1" customWidth="1"/>
    <col min="33" max="33" width="12.4453125" style="0" customWidth="1"/>
    <col min="34" max="34" width="7.3359375" style="0" customWidth="1"/>
  </cols>
  <sheetData>
    <row r="1" spans="3:32" ht="15">
      <c r="C1" s="1" t="s">
        <v>1799</v>
      </c>
      <c r="D1" s="1"/>
      <c r="E1" s="24"/>
      <c r="F1" s="24"/>
      <c r="G1" s="8"/>
      <c r="H1" s="8"/>
      <c r="J1" s="192"/>
      <c r="K1" s="8"/>
      <c r="L1" s="192"/>
      <c r="M1" s="189"/>
      <c r="N1" s="8"/>
      <c r="P1" s="8"/>
      <c r="Q1" s="1"/>
      <c r="R1" s="1"/>
      <c r="S1" s="1" t="s">
        <v>1800</v>
      </c>
      <c r="T1" s="1"/>
      <c r="U1" s="1"/>
      <c r="V1" s="1"/>
      <c r="W1" s="1"/>
      <c r="X1" s="1"/>
      <c r="Y1" s="1"/>
      <c r="Z1" s="1" t="s">
        <v>1801</v>
      </c>
      <c r="AA1" s="1"/>
      <c r="AB1" s="16"/>
      <c r="AC1" s="16"/>
      <c r="AD1" s="16"/>
      <c r="AE1" s="16"/>
      <c r="AF1" s="16"/>
    </row>
    <row r="2" spans="3:33" ht="15">
      <c r="C2" s="1"/>
      <c r="D2" s="1"/>
      <c r="E2" s="24"/>
      <c r="F2" s="26" t="s">
        <v>1923</v>
      </c>
      <c r="G2" s="10" t="s">
        <v>7</v>
      </c>
      <c r="H2" s="10" t="s">
        <v>6</v>
      </c>
      <c r="I2" s="10" t="s">
        <v>8</v>
      </c>
      <c r="J2" s="10" t="s">
        <v>75</v>
      </c>
      <c r="K2" s="2"/>
      <c r="L2" s="2" t="s">
        <v>252</v>
      </c>
      <c r="M2" s="10" t="s">
        <v>9</v>
      </c>
      <c r="N2" s="10" t="s">
        <v>8</v>
      </c>
      <c r="O2" s="15"/>
      <c r="P2" s="62"/>
      <c r="Q2" s="1"/>
      <c r="R2" s="1"/>
      <c r="S2" s="1"/>
      <c r="T2" s="1"/>
      <c r="U2" s="2" t="s">
        <v>11</v>
      </c>
      <c r="V2" s="2" t="s">
        <v>55</v>
      </c>
      <c r="W2" s="10" t="s">
        <v>83</v>
      </c>
      <c r="X2" s="2" t="s">
        <v>5</v>
      </c>
      <c r="Y2" s="8"/>
      <c r="Z2" s="1"/>
      <c r="AA2" s="1"/>
      <c r="AB2" s="34" t="s">
        <v>12</v>
      </c>
      <c r="AC2" s="34" t="s">
        <v>13</v>
      </c>
      <c r="AD2" s="34" t="s">
        <v>14</v>
      </c>
      <c r="AE2" s="25" t="s">
        <v>85</v>
      </c>
      <c r="AF2" s="34" t="s">
        <v>5</v>
      </c>
      <c r="AG2" s="8"/>
    </row>
    <row r="3" spans="3:33" ht="15">
      <c r="C3" s="8"/>
      <c r="D3" s="8"/>
      <c r="E3" s="22"/>
      <c r="F3" s="25" t="s">
        <v>6</v>
      </c>
      <c r="G3" s="188" t="s">
        <v>34</v>
      </c>
      <c r="H3" s="69" t="s">
        <v>15</v>
      </c>
      <c r="I3" s="188" t="s">
        <v>34</v>
      </c>
      <c r="J3" s="69" t="s">
        <v>76</v>
      </c>
      <c r="K3" s="69"/>
      <c r="L3" s="69" t="s">
        <v>77</v>
      </c>
      <c r="M3" s="69" t="s">
        <v>16</v>
      </c>
      <c r="N3" s="69" t="s">
        <v>81</v>
      </c>
      <c r="O3" s="15"/>
      <c r="P3" s="15"/>
      <c r="Q3" s="39"/>
      <c r="R3" s="39"/>
      <c r="S3" s="1"/>
      <c r="T3" s="1"/>
      <c r="U3" s="2"/>
      <c r="V3" s="2"/>
      <c r="W3" s="10"/>
      <c r="X3" s="1"/>
      <c r="Y3" s="8"/>
      <c r="Z3" s="1"/>
      <c r="AA3" s="1"/>
      <c r="AB3" s="34" t="s">
        <v>10</v>
      </c>
      <c r="AC3" s="34" t="s">
        <v>17</v>
      </c>
      <c r="AD3" s="34" t="s">
        <v>18</v>
      </c>
      <c r="AE3" s="25" t="s">
        <v>30</v>
      </c>
      <c r="AF3" s="16"/>
      <c r="AG3" s="8"/>
    </row>
    <row r="4" spans="3:32" ht="15.75">
      <c r="C4" s="4" t="s">
        <v>19</v>
      </c>
      <c r="D4" s="30"/>
      <c r="E4" s="24"/>
      <c r="F4" s="11"/>
      <c r="G4" s="189"/>
      <c r="H4" s="8"/>
      <c r="I4" s="199"/>
      <c r="J4" s="8"/>
      <c r="K4" s="8"/>
      <c r="L4" s="8"/>
      <c r="M4" s="8"/>
      <c r="O4" s="63"/>
      <c r="P4" s="15"/>
      <c r="Q4" s="1"/>
      <c r="R4" s="1"/>
      <c r="S4" s="1" t="s">
        <v>19</v>
      </c>
      <c r="T4" s="1"/>
      <c r="U4" s="2"/>
      <c r="V4" s="2"/>
      <c r="W4" s="2"/>
      <c r="X4" s="1"/>
      <c r="Y4" s="1"/>
      <c r="Z4" s="1" t="s">
        <v>19</v>
      </c>
      <c r="AA4" s="1"/>
      <c r="AB4" s="34" t="s">
        <v>31</v>
      </c>
      <c r="AC4" s="34" t="s">
        <v>20</v>
      </c>
      <c r="AD4" s="34"/>
      <c r="AE4" s="34"/>
      <c r="AF4" s="16"/>
    </row>
    <row r="5" spans="3:33" ht="15">
      <c r="C5" s="1" t="s">
        <v>1882</v>
      </c>
      <c r="D5" s="24">
        <v>1288413</v>
      </c>
      <c r="E5" s="24"/>
      <c r="F5" s="190">
        <f>D5</f>
        <v>1288413</v>
      </c>
      <c r="G5" s="191">
        <f>X5</f>
        <v>-120057</v>
      </c>
      <c r="H5" s="24">
        <f>F5+G5</f>
        <v>1168356</v>
      </c>
      <c r="I5" s="191">
        <f>AF5</f>
        <v>0</v>
      </c>
      <c r="J5" s="24">
        <f>H5+I5</f>
        <v>1168356</v>
      </c>
      <c r="K5" s="16" t="s">
        <v>1798</v>
      </c>
      <c r="L5" s="24">
        <f>J5</f>
        <v>1168356</v>
      </c>
      <c r="M5" s="7">
        <f>prcout_impact!J61</f>
        <v>138791.81004000004</v>
      </c>
      <c r="N5" s="12">
        <f>L5+M5</f>
        <v>1307147.8100400001</v>
      </c>
      <c r="O5" s="64"/>
      <c r="P5" s="64"/>
      <c r="Q5" s="1"/>
      <c r="R5" s="1"/>
      <c r="S5" s="8" t="str">
        <f>C5</f>
        <v>Solid Waste Rev</v>
      </c>
      <c r="T5" s="1"/>
      <c r="U5" s="193">
        <f>-120057</f>
        <v>-120057</v>
      </c>
      <c r="V5" s="193"/>
      <c r="W5" s="194"/>
      <c r="X5" s="290">
        <f>SUM(U5:W5)</f>
        <v>-120057</v>
      </c>
      <c r="Y5" s="1"/>
      <c r="Z5" s="1" t="str">
        <f>S5</f>
        <v>Solid Waste Rev</v>
      </c>
      <c r="AA5" s="1"/>
      <c r="AB5" s="16"/>
      <c r="AC5" s="16"/>
      <c r="AD5" s="16"/>
      <c r="AE5" s="16"/>
      <c r="AF5" s="16">
        <f>SUM(AB5:AE5)</f>
        <v>0</v>
      </c>
      <c r="AG5" s="9"/>
    </row>
    <row r="6" spans="3:33" ht="15">
      <c r="C6" s="1" t="s">
        <v>1802</v>
      </c>
      <c r="D6" s="24">
        <v>228131</v>
      </c>
      <c r="E6" s="24"/>
      <c r="F6" s="190">
        <f aca="true" t="shared" si="0" ref="F6:F13">D6</f>
        <v>228131</v>
      </c>
      <c r="G6" s="191">
        <f aca="true" t="shared" si="1" ref="G6:G13">X6</f>
        <v>-228131</v>
      </c>
      <c r="H6" s="24">
        <f aca="true" t="shared" si="2" ref="H6:H13">F6+G6</f>
        <v>0</v>
      </c>
      <c r="I6" s="191">
        <f aca="true" t="shared" si="3" ref="I6:I54">AF6</f>
        <v>0</v>
      </c>
      <c r="J6" s="24">
        <f aca="true" t="shared" si="4" ref="J6:J54">H6+I6</f>
        <v>0</v>
      </c>
      <c r="K6" s="24">
        <f>nonrg!J5</f>
        <v>0</v>
      </c>
      <c r="L6" s="24">
        <f aca="true" t="shared" si="5" ref="L6:L54">J6</f>
        <v>0</v>
      </c>
      <c r="M6" s="7"/>
      <c r="N6" s="12">
        <f>L6+M6</f>
        <v>0</v>
      </c>
      <c r="O6" s="15"/>
      <c r="P6" s="41"/>
      <c r="Q6" s="1"/>
      <c r="R6" s="1"/>
      <c r="S6" s="8" t="str">
        <f aca="true" t="shared" si="6" ref="S6:S13">C6</f>
        <v>Scrap sales</v>
      </c>
      <c r="T6" s="1"/>
      <c r="U6" s="193">
        <v>-228131</v>
      </c>
      <c r="V6" s="193"/>
      <c r="W6" s="194"/>
      <c r="X6" s="290">
        <f aca="true" t="shared" si="7" ref="X6:X12">SUM(U6:W6)</f>
        <v>-228131</v>
      </c>
      <c r="Y6" s="1"/>
      <c r="Z6" s="1" t="str">
        <f aca="true" t="shared" si="8" ref="Z6:Z54">S6</f>
        <v>Scrap sales</v>
      </c>
      <c r="AA6" s="1"/>
      <c r="AB6" s="16"/>
      <c r="AC6" s="16"/>
      <c r="AD6" s="16"/>
      <c r="AE6" s="16"/>
      <c r="AF6" s="16">
        <f aca="true" t="shared" si="9" ref="AF6:AF56">SUM(AB6:AE6)</f>
        <v>0</v>
      </c>
      <c r="AG6" s="9"/>
    </row>
    <row r="7" spans="3:32" ht="15">
      <c r="C7" s="1" t="s">
        <v>1881</v>
      </c>
      <c r="D7" s="24">
        <v>0</v>
      </c>
      <c r="E7" s="24"/>
      <c r="F7" s="190">
        <f t="shared" si="0"/>
        <v>0</v>
      </c>
      <c r="G7" s="191">
        <f t="shared" si="1"/>
        <v>120057</v>
      </c>
      <c r="H7" s="24">
        <f t="shared" si="2"/>
        <v>120057</v>
      </c>
      <c r="I7" s="191">
        <f t="shared" si="3"/>
        <v>12530.647500000008</v>
      </c>
      <c r="J7" s="24">
        <f t="shared" si="4"/>
        <v>132587.64750000002</v>
      </c>
      <c r="K7" s="24">
        <f>nonrg!J6</f>
        <v>0</v>
      </c>
      <c r="L7" s="24">
        <f t="shared" si="5"/>
        <v>132587.64750000002</v>
      </c>
      <c r="M7" s="7"/>
      <c r="N7" s="12">
        <f aca="true" t="shared" si="10" ref="N7:N54">L7+M7</f>
        <v>132587.64750000002</v>
      </c>
      <c r="O7" s="33">
        <f>SUM(L5:L13)</f>
        <v>1306546.6475</v>
      </c>
      <c r="P7" s="41"/>
      <c r="Q7" s="1"/>
      <c r="R7" s="1"/>
      <c r="S7" s="8" t="str">
        <f t="shared" si="6"/>
        <v>Dump fee pass/thru</v>
      </c>
      <c r="T7" s="1"/>
      <c r="U7" s="193">
        <v>120057</v>
      </c>
      <c r="V7" s="193"/>
      <c r="W7" s="195"/>
      <c r="X7" s="290">
        <f t="shared" si="7"/>
        <v>120057</v>
      </c>
      <c r="Y7" s="1"/>
      <c r="Z7" s="1" t="str">
        <f t="shared" si="8"/>
        <v>Dump fee pass/thru</v>
      </c>
      <c r="AA7" s="1"/>
      <c r="AB7" s="16">
        <f>'df'!E26</f>
        <v>12530.647500000008</v>
      </c>
      <c r="AC7" s="16"/>
      <c r="AD7" s="16"/>
      <c r="AE7" s="16"/>
      <c r="AF7" s="16">
        <f t="shared" si="9"/>
        <v>12530.647500000008</v>
      </c>
    </row>
    <row r="8" spans="3:33" ht="15">
      <c r="C8" s="1" t="s">
        <v>1803</v>
      </c>
      <c r="D8" s="24">
        <v>5603</v>
      </c>
      <c r="E8" s="24"/>
      <c r="F8" s="190">
        <f t="shared" si="0"/>
        <v>5603</v>
      </c>
      <c r="G8" s="191">
        <f t="shared" si="1"/>
        <v>0</v>
      </c>
      <c r="H8" s="24">
        <f t="shared" si="2"/>
        <v>5603</v>
      </c>
      <c r="I8" s="191">
        <f t="shared" si="3"/>
        <v>0</v>
      </c>
      <c r="J8" s="24">
        <f t="shared" si="4"/>
        <v>5603</v>
      </c>
      <c r="K8" s="24">
        <f>nonrg!J7</f>
        <v>0</v>
      </c>
      <c r="L8" s="24">
        <f t="shared" si="5"/>
        <v>5603</v>
      </c>
      <c r="M8" s="7"/>
      <c r="N8" s="12">
        <f t="shared" si="10"/>
        <v>5603</v>
      </c>
      <c r="O8" s="66"/>
      <c r="P8" s="66"/>
      <c r="Q8" s="1"/>
      <c r="R8" s="1"/>
      <c r="S8" s="8" t="str">
        <f t="shared" si="6"/>
        <v>Finance chgs</v>
      </c>
      <c r="T8" s="1"/>
      <c r="U8" s="5"/>
      <c r="V8" s="5"/>
      <c r="W8" s="5"/>
      <c r="X8" s="290">
        <f t="shared" si="7"/>
        <v>0</v>
      </c>
      <c r="Y8" s="1"/>
      <c r="Z8" s="1" t="str">
        <f t="shared" si="8"/>
        <v>Finance chgs</v>
      </c>
      <c r="AA8" s="1"/>
      <c r="AB8" s="16"/>
      <c r="AC8" s="16"/>
      <c r="AD8" s="16"/>
      <c r="AE8" s="16"/>
      <c r="AF8" s="16">
        <f t="shared" si="9"/>
        <v>0</v>
      </c>
      <c r="AG8" s="9"/>
    </row>
    <row r="9" spans="3:33" ht="15" hidden="1">
      <c r="C9" s="1"/>
      <c r="D9" s="16">
        <v>0</v>
      </c>
      <c r="E9" s="24"/>
      <c r="F9" s="190">
        <f t="shared" si="0"/>
        <v>0</v>
      </c>
      <c r="G9" s="191">
        <f t="shared" si="1"/>
        <v>0</v>
      </c>
      <c r="H9" s="24">
        <f t="shared" si="2"/>
        <v>0</v>
      </c>
      <c r="I9" s="191">
        <f t="shared" si="3"/>
        <v>0</v>
      </c>
      <c r="J9" s="24">
        <f t="shared" si="4"/>
        <v>0</v>
      </c>
      <c r="K9" s="24">
        <f>nonrg!J8</f>
        <v>0</v>
      </c>
      <c r="L9" s="24">
        <f t="shared" si="5"/>
        <v>0</v>
      </c>
      <c r="M9" s="7">
        <f>L9*0.096</f>
        <v>0</v>
      </c>
      <c r="N9" s="12">
        <f t="shared" si="10"/>
        <v>0</v>
      </c>
      <c r="O9" s="66">
        <f>M14/O7</f>
        <v>0.10622797915831785</v>
      </c>
      <c r="P9" s="66"/>
      <c r="Q9" s="1"/>
      <c r="R9" s="1"/>
      <c r="S9" s="8">
        <f t="shared" si="6"/>
        <v>0</v>
      </c>
      <c r="T9" s="1"/>
      <c r="U9" s="5"/>
      <c r="V9" s="5"/>
      <c r="W9" s="5"/>
      <c r="X9" s="290">
        <f t="shared" si="7"/>
        <v>0</v>
      </c>
      <c r="Y9" s="1"/>
      <c r="Z9" s="1">
        <f t="shared" si="8"/>
        <v>0</v>
      </c>
      <c r="AA9" s="1"/>
      <c r="AB9" s="16"/>
      <c r="AC9" s="16"/>
      <c r="AD9" s="16"/>
      <c r="AE9" s="16"/>
      <c r="AF9" s="16">
        <f t="shared" si="9"/>
        <v>0</v>
      </c>
      <c r="AG9" s="9"/>
    </row>
    <row r="10" spans="3:32" ht="15" hidden="1">
      <c r="C10" s="1"/>
      <c r="D10" s="16">
        <v>0</v>
      </c>
      <c r="E10" s="24"/>
      <c r="F10" s="190">
        <f t="shared" si="0"/>
        <v>0</v>
      </c>
      <c r="G10" s="191">
        <f t="shared" si="1"/>
        <v>0</v>
      </c>
      <c r="H10" s="24">
        <f t="shared" si="2"/>
        <v>0</v>
      </c>
      <c r="I10" s="191">
        <f t="shared" si="3"/>
        <v>0</v>
      </c>
      <c r="J10" s="24">
        <f t="shared" si="4"/>
        <v>0</v>
      </c>
      <c r="K10" s="24">
        <f>nonrg!J9</f>
        <v>0</v>
      </c>
      <c r="L10" s="24">
        <f t="shared" si="5"/>
        <v>0</v>
      </c>
      <c r="M10" s="7">
        <f>L10*0.096</f>
        <v>0</v>
      </c>
      <c r="N10" s="12">
        <f t="shared" si="10"/>
        <v>0</v>
      </c>
      <c r="O10" s="41"/>
      <c r="P10" s="64"/>
      <c r="Q10" s="1"/>
      <c r="R10" s="1"/>
      <c r="S10" s="8">
        <f t="shared" si="6"/>
        <v>0</v>
      </c>
      <c r="T10" s="1"/>
      <c r="U10" s="5"/>
      <c r="V10" s="5"/>
      <c r="W10" s="5"/>
      <c r="X10" s="290">
        <f t="shared" si="7"/>
        <v>0</v>
      </c>
      <c r="Y10" s="1"/>
      <c r="Z10" s="1">
        <f t="shared" si="8"/>
        <v>0</v>
      </c>
      <c r="AA10" s="1"/>
      <c r="AB10" s="16"/>
      <c r="AC10" s="16"/>
      <c r="AD10" s="16"/>
      <c r="AE10" s="16"/>
      <c r="AF10" s="16">
        <f t="shared" si="9"/>
        <v>0</v>
      </c>
    </row>
    <row r="11" spans="3:32" ht="15">
      <c r="C11" s="1" t="s">
        <v>1804</v>
      </c>
      <c r="D11" s="16">
        <v>404</v>
      </c>
      <c r="E11" s="24"/>
      <c r="F11" s="190">
        <f t="shared" si="0"/>
        <v>404</v>
      </c>
      <c r="G11" s="191">
        <f t="shared" si="1"/>
        <v>-404</v>
      </c>
      <c r="H11" s="24">
        <f t="shared" si="2"/>
        <v>0</v>
      </c>
      <c r="I11" s="191">
        <f t="shared" si="3"/>
        <v>0</v>
      </c>
      <c r="J11" s="24">
        <f t="shared" si="4"/>
        <v>0</v>
      </c>
      <c r="K11" s="24">
        <f>nonrg!J11</f>
        <v>0</v>
      </c>
      <c r="L11" s="24">
        <f t="shared" si="5"/>
        <v>0</v>
      </c>
      <c r="M11" s="7"/>
      <c r="N11" s="12">
        <f t="shared" si="10"/>
        <v>0</v>
      </c>
      <c r="O11" s="41"/>
      <c r="P11" s="64"/>
      <c r="Q11" s="1"/>
      <c r="R11" s="1"/>
      <c r="S11" s="8" t="str">
        <f t="shared" si="6"/>
        <v>interest earned</v>
      </c>
      <c r="T11" s="1"/>
      <c r="U11" s="5"/>
      <c r="V11" s="5">
        <v>-404</v>
      </c>
      <c r="W11" s="5"/>
      <c r="X11" s="290">
        <f t="shared" si="7"/>
        <v>-404</v>
      </c>
      <c r="Y11" s="1"/>
      <c r="Z11" s="1" t="str">
        <f t="shared" si="8"/>
        <v>interest earned</v>
      </c>
      <c r="AA11" s="1"/>
      <c r="AB11" s="16"/>
      <c r="AC11" s="16"/>
      <c r="AD11" s="16"/>
      <c r="AE11" s="16"/>
      <c r="AF11" s="16">
        <f t="shared" si="9"/>
        <v>0</v>
      </c>
    </row>
    <row r="12" spans="3:32" ht="15" hidden="1">
      <c r="C12" s="1"/>
      <c r="D12" s="16">
        <v>0</v>
      </c>
      <c r="E12" s="24"/>
      <c r="F12" s="190">
        <f t="shared" si="0"/>
        <v>0</v>
      </c>
      <c r="G12" s="191">
        <f t="shared" si="1"/>
        <v>0</v>
      </c>
      <c r="H12" s="24">
        <f t="shared" si="2"/>
        <v>0</v>
      </c>
      <c r="I12" s="191">
        <f t="shared" si="3"/>
        <v>0</v>
      </c>
      <c r="J12" s="24">
        <f t="shared" si="4"/>
        <v>0</v>
      </c>
      <c r="K12" s="24">
        <f>nonrg!J11</f>
        <v>0</v>
      </c>
      <c r="L12" s="24">
        <f t="shared" si="5"/>
        <v>0</v>
      </c>
      <c r="M12" s="7">
        <f>L12*0.096</f>
        <v>0</v>
      </c>
      <c r="N12" s="12">
        <f t="shared" si="10"/>
        <v>0</v>
      </c>
      <c r="O12" s="41"/>
      <c r="P12" s="64"/>
      <c r="Q12" s="1"/>
      <c r="R12" s="1"/>
      <c r="S12" s="8">
        <f t="shared" si="6"/>
        <v>0</v>
      </c>
      <c r="T12" s="1"/>
      <c r="U12" s="5"/>
      <c r="V12" s="5"/>
      <c r="W12" s="5"/>
      <c r="X12" s="290">
        <f t="shared" si="7"/>
        <v>0</v>
      </c>
      <c r="Y12" s="1"/>
      <c r="Z12" s="1">
        <f t="shared" si="8"/>
        <v>0</v>
      </c>
      <c r="AA12" s="1"/>
      <c r="AB12" s="16"/>
      <c r="AC12" s="16"/>
      <c r="AD12" s="16"/>
      <c r="AE12" s="16"/>
      <c r="AF12" s="16">
        <f t="shared" si="9"/>
        <v>0</v>
      </c>
    </row>
    <row r="13" spans="3:32" ht="15">
      <c r="C13" s="1" t="s">
        <v>1765</v>
      </c>
      <c r="D13" s="24">
        <v>0</v>
      </c>
      <c r="E13" s="24"/>
      <c r="F13" s="190">
        <f t="shared" si="0"/>
        <v>0</v>
      </c>
      <c r="G13" s="191">
        <f t="shared" si="1"/>
        <v>0</v>
      </c>
      <c r="H13" s="24">
        <f t="shared" si="2"/>
        <v>0</v>
      </c>
      <c r="I13" s="191">
        <f t="shared" si="3"/>
        <v>0</v>
      </c>
      <c r="J13" s="24">
        <f t="shared" si="4"/>
        <v>0</v>
      </c>
      <c r="K13" s="24">
        <f>nonrg!J15</f>
        <v>0</v>
      </c>
      <c r="L13" s="24">
        <f t="shared" si="5"/>
        <v>0</v>
      </c>
      <c r="M13" s="22"/>
      <c r="N13" s="12">
        <f t="shared" si="10"/>
        <v>0</v>
      </c>
      <c r="O13" s="65"/>
      <c r="P13" s="65"/>
      <c r="Q13" s="1"/>
      <c r="R13" s="1"/>
      <c r="S13" s="8" t="str">
        <f t="shared" si="6"/>
        <v>Trf stn</v>
      </c>
      <c r="T13" s="1"/>
      <c r="U13" s="22"/>
      <c r="V13" s="6"/>
      <c r="W13" s="6"/>
      <c r="X13" s="6">
        <f>SUM(V13:W13)</f>
        <v>0</v>
      </c>
      <c r="Y13" s="1"/>
      <c r="Z13" s="1" t="str">
        <f t="shared" si="8"/>
        <v>Trf stn</v>
      </c>
      <c r="AA13" s="1"/>
      <c r="AB13" s="35"/>
      <c r="AC13" s="35"/>
      <c r="AD13" s="35"/>
      <c r="AE13" s="35"/>
      <c r="AF13" s="16">
        <f t="shared" si="9"/>
        <v>0</v>
      </c>
    </row>
    <row r="14" spans="3:32" ht="15">
      <c r="C14" s="8" t="s">
        <v>0</v>
      </c>
      <c r="D14" s="201">
        <f>SUM(D5:D13)</f>
        <v>1522551</v>
      </c>
      <c r="E14" s="24"/>
      <c r="F14" s="24">
        <f>SUM(F5:F13)</f>
        <v>1522551</v>
      </c>
      <c r="G14" s="24">
        <f>SUM(G5:G13)</f>
        <v>-228535</v>
      </c>
      <c r="H14" s="24">
        <f aca="true" t="shared" si="11" ref="H14:M14">SUM(H5:H13)</f>
        <v>1294016</v>
      </c>
      <c r="I14" s="191">
        <f t="shared" si="3"/>
        <v>12530.647500000008</v>
      </c>
      <c r="J14" s="24">
        <f t="shared" si="4"/>
        <v>1306546.6475</v>
      </c>
      <c r="K14" s="24">
        <f t="shared" si="11"/>
        <v>0</v>
      </c>
      <c r="L14" s="24">
        <f t="shared" si="5"/>
        <v>1306546.6475</v>
      </c>
      <c r="M14" s="24">
        <f t="shared" si="11"/>
        <v>138791.81004000004</v>
      </c>
      <c r="N14" s="12">
        <f t="shared" si="10"/>
        <v>1445338.45754</v>
      </c>
      <c r="O14" s="66">
        <f>LGGarb!E6/O7</f>
        <v>0.2119582354342917</v>
      </c>
      <c r="P14" s="65"/>
      <c r="Q14" s="1"/>
      <c r="R14" s="1"/>
      <c r="S14" s="1" t="s">
        <v>0</v>
      </c>
      <c r="T14" s="1"/>
      <c r="U14" s="196">
        <f>SUM(U5:U13)</f>
        <v>-228131</v>
      </c>
      <c r="V14" s="196">
        <f>SUM(V5:V13)</f>
        <v>-404</v>
      </c>
      <c r="W14" s="5">
        <f>SUM(W5:W13)</f>
        <v>0</v>
      </c>
      <c r="X14" s="5">
        <f>SUM(X5:X13)</f>
        <v>-228535</v>
      </c>
      <c r="Y14" s="1"/>
      <c r="Z14" s="1" t="s">
        <v>0</v>
      </c>
      <c r="AA14" s="1"/>
      <c r="AB14" s="16">
        <f>SUM(AB5:AB13)</f>
        <v>12530.647500000008</v>
      </c>
      <c r="AC14" s="16">
        <f>SUM(AC5:AC13)</f>
        <v>0</v>
      </c>
      <c r="AD14" s="16">
        <f>SUM(AD5:AD13)</f>
        <v>0</v>
      </c>
      <c r="AE14" s="16"/>
      <c r="AF14" s="16">
        <f t="shared" si="9"/>
        <v>12530.647500000008</v>
      </c>
    </row>
    <row r="15" spans="3:32" ht="15.75">
      <c r="C15" s="4" t="s">
        <v>1</v>
      </c>
      <c r="D15" s="30"/>
      <c r="E15" s="24"/>
      <c r="F15" s="24"/>
      <c r="G15" s="189"/>
      <c r="H15" s="8"/>
      <c r="I15" s="189"/>
      <c r="J15" s="12"/>
      <c r="K15" s="12"/>
      <c r="L15" s="12"/>
      <c r="O15" s="66"/>
      <c r="P15" s="65"/>
      <c r="Q15" s="1"/>
      <c r="R15" s="1"/>
      <c r="S15" s="4" t="s">
        <v>1</v>
      </c>
      <c r="T15" s="1"/>
      <c r="U15" s="1"/>
      <c r="V15" s="1"/>
      <c r="W15" s="1"/>
      <c r="X15" s="1"/>
      <c r="Y15" s="1"/>
      <c r="Z15" s="1" t="str">
        <f t="shared" si="8"/>
        <v>Expenses</v>
      </c>
      <c r="AA15" s="1"/>
      <c r="AB15" s="16"/>
      <c r="AC15" s="16"/>
      <c r="AD15" s="16"/>
      <c r="AE15" s="16"/>
      <c r="AF15" s="16"/>
    </row>
    <row r="16" spans="3:32" ht="15">
      <c r="C16" s="1" t="s">
        <v>1805</v>
      </c>
      <c r="D16" s="16">
        <v>189499</v>
      </c>
      <c r="E16" s="24"/>
      <c r="F16" s="190">
        <f>D16</f>
        <v>189499</v>
      </c>
      <c r="G16" s="290">
        <f>X16</f>
        <v>0</v>
      </c>
      <c r="H16" s="12">
        <f>F16+G16</f>
        <v>189499</v>
      </c>
      <c r="I16" s="191">
        <f t="shared" si="3"/>
        <v>0</v>
      </c>
      <c r="J16" s="24">
        <f t="shared" si="4"/>
        <v>189499</v>
      </c>
      <c r="K16" s="12"/>
      <c r="L16" s="24">
        <f t="shared" si="5"/>
        <v>189499</v>
      </c>
      <c r="N16" s="12">
        <f t="shared" si="10"/>
        <v>189499</v>
      </c>
      <c r="O16" s="15"/>
      <c r="P16" s="67"/>
      <c r="Q16" s="1"/>
      <c r="R16" s="1"/>
      <c r="S16" s="1" t="s">
        <v>1805</v>
      </c>
      <c r="T16" s="1"/>
      <c r="U16" s="5"/>
      <c r="V16" s="5"/>
      <c r="W16" s="5"/>
      <c r="X16" s="290">
        <f aca="true" t="shared" si="12" ref="X16:X54">SUM(U16:W16)</f>
        <v>0</v>
      </c>
      <c r="Y16" s="1"/>
      <c r="Z16" s="1" t="str">
        <f t="shared" si="8"/>
        <v>Wages</v>
      </c>
      <c r="AA16" s="1"/>
      <c r="AB16" s="16"/>
      <c r="AC16" s="16"/>
      <c r="AD16" s="16"/>
      <c r="AE16" s="16"/>
      <c r="AF16" s="16">
        <f t="shared" si="9"/>
        <v>0</v>
      </c>
    </row>
    <row r="17" spans="3:32" ht="15.75">
      <c r="C17" s="1" t="s">
        <v>1806</v>
      </c>
      <c r="D17" s="16">
        <v>98424</v>
      </c>
      <c r="E17" s="24"/>
      <c r="F17" s="190">
        <f aca="true" t="shared" si="13" ref="F17:F54">D17</f>
        <v>98424</v>
      </c>
      <c r="G17" s="290">
        <f aca="true" t="shared" si="14" ref="G17:G54">X17</f>
        <v>0</v>
      </c>
      <c r="H17" s="12">
        <f aca="true" t="shared" si="15" ref="H17:H54">F17+G17</f>
        <v>98424</v>
      </c>
      <c r="I17" s="191">
        <f t="shared" si="3"/>
        <v>0</v>
      </c>
      <c r="J17" s="24">
        <f t="shared" si="4"/>
        <v>98424</v>
      </c>
      <c r="K17" s="12"/>
      <c r="L17" s="24">
        <f t="shared" si="5"/>
        <v>98424</v>
      </c>
      <c r="M17" s="55"/>
      <c r="N17" s="12">
        <f t="shared" si="10"/>
        <v>98424</v>
      </c>
      <c r="O17" s="134"/>
      <c r="P17" s="67"/>
      <c r="Q17" s="1"/>
      <c r="R17" s="1"/>
      <c r="S17" s="8" t="str">
        <f>C17</f>
        <v>Shop wages</v>
      </c>
      <c r="T17" s="1"/>
      <c r="U17" s="5"/>
      <c r="V17" s="5"/>
      <c r="W17" s="5"/>
      <c r="X17" s="290">
        <f t="shared" si="12"/>
        <v>0</v>
      </c>
      <c r="Y17" s="1"/>
      <c r="Z17" s="1" t="str">
        <f t="shared" si="8"/>
        <v>Shop wages</v>
      </c>
      <c r="AA17" s="1"/>
      <c r="AB17" s="16"/>
      <c r="AC17" s="16"/>
      <c r="AD17" s="16"/>
      <c r="AE17" s="16"/>
      <c r="AF17" s="16">
        <f t="shared" si="9"/>
        <v>0</v>
      </c>
    </row>
    <row r="18" spans="3:32" ht="15">
      <c r="C18" s="1" t="s">
        <v>1807</v>
      </c>
      <c r="D18" s="16">
        <v>77621</v>
      </c>
      <c r="E18" s="24"/>
      <c r="F18" s="190">
        <f t="shared" si="13"/>
        <v>77621</v>
      </c>
      <c r="G18" s="290">
        <f t="shared" si="14"/>
        <v>0</v>
      </c>
      <c r="H18" s="12">
        <f t="shared" si="15"/>
        <v>77621</v>
      </c>
      <c r="I18" s="191">
        <f t="shared" si="3"/>
        <v>0</v>
      </c>
      <c r="J18" s="24">
        <f t="shared" si="4"/>
        <v>77621</v>
      </c>
      <c r="K18" s="12"/>
      <c r="L18" s="24">
        <f t="shared" si="5"/>
        <v>77621</v>
      </c>
      <c r="M18" s="55"/>
      <c r="N18" s="12">
        <f t="shared" si="10"/>
        <v>77621</v>
      </c>
      <c r="O18" s="63"/>
      <c r="Q18" s="20"/>
      <c r="R18" s="1"/>
      <c r="S18" s="8" t="str">
        <f aca="true" t="shared" si="16" ref="S18:S54">C18</f>
        <v>Fuel expense</v>
      </c>
      <c r="T18" s="8">
        <f aca="true" t="shared" si="17" ref="T18:T54">D18</f>
        <v>77621</v>
      </c>
      <c r="V18" s="5"/>
      <c r="W18" s="5"/>
      <c r="X18" s="290">
        <f t="shared" si="12"/>
        <v>0</v>
      </c>
      <c r="Y18" s="1"/>
      <c r="Z18" s="1" t="str">
        <f t="shared" si="8"/>
        <v>Fuel expense</v>
      </c>
      <c r="AA18" s="1"/>
      <c r="AB18" s="16"/>
      <c r="AC18" s="16"/>
      <c r="AD18" s="16"/>
      <c r="AE18" s="16"/>
      <c r="AF18" s="16">
        <f t="shared" si="9"/>
        <v>0</v>
      </c>
    </row>
    <row r="19" spans="3:32" ht="15">
      <c r="C19" s="1" t="s">
        <v>1808</v>
      </c>
      <c r="D19" s="16">
        <v>35218</v>
      </c>
      <c r="E19" s="24"/>
      <c r="F19" s="190">
        <f t="shared" si="13"/>
        <v>35218</v>
      </c>
      <c r="G19" s="290">
        <f t="shared" si="14"/>
        <v>0</v>
      </c>
      <c r="H19" s="12">
        <f t="shared" si="15"/>
        <v>35218</v>
      </c>
      <c r="I19" s="191">
        <f t="shared" si="3"/>
        <v>0</v>
      </c>
      <c r="J19" s="24">
        <f t="shared" si="4"/>
        <v>35218</v>
      </c>
      <c r="K19" s="12"/>
      <c r="L19" s="24">
        <f t="shared" si="5"/>
        <v>35218</v>
      </c>
      <c r="M19" s="55"/>
      <c r="N19" s="12">
        <f t="shared" si="10"/>
        <v>35218</v>
      </c>
      <c r="O19" s="63"/>
      <c r="Q19" s="20"/>
      <c r="R19" s="1"/>
      <c r="S19" s="8" t="str">
        <f t="shared" si="16"/>
        <v>Insurance</v>
      </c>
      <c r="T19" s="8">
        <f t="shared" si="17"/>
        <v>35218</v>
      </c>
      <c r="U19" s="5"/>
      <c r="V19" s="5"/>
      <c r="W19" s="5"/>
      <c r="X19" s="290">
        <f t="shared" si="12"/>
        <v>0</v>
      </c>
      <c r="Y19" s="1"/>
      <c r="Z19" s="1" t="str">
        <f t="shared" si="8"/>
        <v>Insurance</v>
      </c>
      <c r="AA19" s="1"/>
      <c r="AB19" s="16"/>
      <c r="AC19" s="16"/>
      <c r="AD19" s="16"/>
      <c r="AE19" s="16"/>
      <c r="AF19" s="16">
        <f t="shared" si="9"/>
        <v>0</v>
      </c>
    </row>
    <row r="20" spans="3:32" ht="15">
      <c r="C20" s="1" t="s">
        <v>1809</v>
      </c>
      <c r="D20" s="16">
        <v>0</v>
      </c>
      <c r="E20" s="24"/>
      <c r="F20" s="190">
        <f t="shared" si="13"/>
        <v>0</v>
      </c>
      <c r="G20" s="290">
        <f t="shared" si="14"/>
        <v>0</v>
      </c>
      <c r="H20" s="12">
        <f t="shared" si="15"/>
        <v>0</v>
      </c>
      <c r="I20" s="191">
        <f t="shared" si="3"/>
        <v>0</v>
      </c>
      <c r="J20" s="24">
        <f t="shared" si="4"/>
        <v>0</v>
      </c>
      <c r="K20" s="12"/>
      <c r="L20" s="24">
        <f t="shared" si="5"/>
        <v>0</v>
      </c>
      <c r="M20" s="8"/>
      <c r="N20" s="12">
        <f t="shared" si="10"/>
        <v>0</v>
      </c>
      <c r="O20" s="15"/>
      <c r="P20" s="67"/>
      <c r="Q20" s="39"/>
      <c r="R20" s="29"/>
      <c r="S20" s="8" t="str">
        <f t="shared" si="16"/>
        <v>Sanitation exp</v>
      </c>
      <c r="T20" s="8">
        <f t="shared" si="17"/>
        <v>0</v>
      </c>
      <c r="U20" s="5"/>
      <c r="V20" s="71"/>
      <c r="W20" s="5"/>
      <c r="X20" s="290">
        <f t="shared" si="12"/>
        <v>0</v>
      </c>
      <c r="Y20" s="1"/>
      <c r="Z20" s="1" t="str">
        <f t="shared" si="8"/>
        <v>Sanitation exp</v>
      </c>
      <c r="AA20" s="1"/>
      <c r="AB20" s="16"/>
      <c r="AC20" s="16"/>
      <c r="AD20" s="16"/>
      <c r="AE20" s="16"/>
      <c r="AF20" s="16">
        <f t="shared" si="9"/>
        <v>0</v>
      </c>
    </row>
    <row r="21" spans="3:32" ht="15">
      <c r="C21" s="1" t="s">
        <v>1810</v>
      </c>
      <c r="D21" s="16">
        <v>0</v>
      </c>
      <c r="E21" s="24"/>
      <c r="F21" s="190">
        <f t="shared" si="13"/>
        <v>0</v>
      </c>
      <c r="G21" s="290">
        <f t="shared" si="14"/>
        <v>0</v>
      </c>
      <c r="H21" s="12">
        <f t="shared" si="15"/>
        <v>0</v>
      </c>
      <c r="I21" s="191">
        <f t="shared" si="3"/>
        <v>0</v>
      </c>
      <c r="J21" s="24">
        <f t="shared" si="4"/>
        <v>0</v>
      </c>
      <c r="K21" s="12"/>
      <c r="L21" s="24">
        <f t="shared" si="5"/>
        <v>0</v>
      </c>
      <c r="M21" s="8"/>
      <c r="N21" s="12">
        <f t="shared" si="10"/>
        <v>0</v>
      </c>
      <c r="O21" s="63"/>
      <c r="P21" s="67"/>
      <c r="Q21" s="1"/>
      <c r="R21" s="1"/>
      <c r="S21" s="8" t="str">
        <f t="shared" si="16"/>
        <v>Septic exp</v>
      </c>
      <c r="T21" s="8">
        <f t="shared" si="17"/>
        <v>0</v>
      </c>
      <c r="U21" s="5"/>
      <c r="V21" s="5"/>
      <c r="W21" s="5"/>
      <c r="X21" s="290">
        <f t="shared" si="12"/>
        <v>0</v>
      </c>
      <c r="Y21" s="8"/>
      <c r="Z21" s="1" t="str">
        <f t="shared" si="8"/>
        <v>Septic exp</v>
      </c>
      <c r="AA21" s="1"/>
      <c r="AB21" s="16"/>
      <c r="AC21" s="16"/>
      <c r="AD21" s="16"/>
      <c r="AE21" s="16"/>
      <c r="AF21" s="16">
        <f t="shared" si="9"/>
        <v>0</v>
      </c>
    </row>
    <row r="22" spans="3:32" ht="15">
      <c r="C22" s="1" t="s">
        <v>1811</v>
      </c>
      <c r="D22" s="16">
        <v>22355</v>
      </c>
      <c r="E22" s="24"/>
      <c r="F22" s="190">
        <f t="shared" si="13"/>
        <v>22355</v>
      </c>
      <c r="G22" s="290">
        <f t="shared" si="14"/>
        <v>0</v>
      </c>
      <c r="H22" s="12">
        <f t="shared" si="15"/>
        <v>22355</v>
      </c>
      <c r="I22" s="191">
        <f t="shared" si="3"/>
        <v>0</v>
      </c>
      <c r="J22" s="24">
        <f t="shared" si="4"/>
        <v>22355</v>
      </c>
      <c r="K22" s="12"/>
      <c r="L22" s="24">
        <f t="shared" si="5"/>
        <v>22355</v>
      </c>
      <c r="M22" s="8"/>
      <c r="N22" s="12">
        <f t="shared" si="10"/>
        <v>22355</v>
      </c>
      <c r="O22" s="15"/>
      <c r="P22" s="67"/>
      <c r="Q22" s="12"/>
      <c r="R22" s="29"/>
      <c r="S22" s="8" t="str">
        <f t="shared" si="16"/>
        <v>Shop expense</v>
      </c>
      <c r="T22" s="8">
        <f t="shared" si="17"/>
        <v>22355</v>
      </c>
      <c r="U22" s="5"/>
      <c r="V22" s="44"/>
      <c r="W22" s="5"/>
      <c r="X22" s="290">
        <f t="shared" si="12"/>
        <v>0</v>
      </c>
      <c r="Y22" s="8"/>
      <c r="Z22" s="1" t="str">
        <f t="shared" si="8"/>
        <v>Shop expense</v>
      </c>
      <c r="AA22" s="1"/>
      <c r="AB22" s="16"/>
      <c r="AC22" s="16"/>
      <c r="AD22" s="44"/>
      <c r="AE22" s="16"/>
      <c r="AF22" s="16">
        <f t="shared" si="9"/>
        <v>0</v>
      </c>
    </row>
    <row r="23" spans="3:32" ht="15">
      <c r="C23" s="1" t="s">
        <v>1812</v>
      </c>
      <c r="D23" s="16">
        <v>29192</v>
      </c>
      <c r="E23" s="24"/>
      <c r="F23" s="190">
        <f t="shared" si="13"/>
        <v>29192</v>
      </c>
      <c r="G23" s="290">
        <f t="shared" si="14"/>
        <v>-29192</v>
      </c>
      <c r="H23" s="12">
        <f t="shared" si="15"/>
        <v>0</v>
      </c>
      <c r="I23" s="191">
        <f t="shared" si="3"/>
        <v>0</v>
      </c>
      <c r="J23" s="24">
        <f t="shared" si="4"/>
        <v>0</v>
      </c>
      <c r="K23" s="12"/>
      <c r="L23" s="24">
        <f t="shared" si="5"/>
        <v>0</v>
      </c>
      <c r="M23" s="8"/>
      <c r="N23" s="12">
        <f t="shared" si="10"/>
        <v>0</v>
      </c>
      <c r="O23" s="63"/>
      <c r="P23" s="67"/>
      <c r="Q23" s="1"/>
      <c r="R23" s="1"/>
      <c r="S23" s="8" t="str">
        <f t="shared" si="16"/>
        <v>Scrap expenses</v>
      </c>
      <c r="T23" s="8">
        <f t="shared" si="17"/>
        <v>29192</v>
      </c>
      <c r="U23" s="5">
        <v>-29192</v>
      </c>
      <c r="V23" s="5"/>
      <c r="W23" s="5"/>
      <c r="X23" s="290">
        <f t="shared" si="12"/>
        <v>-29192</v>
      </c>
      <c r="Y23" s="1"/>
      <c r="Z23" s="1" t="str">
        <f t="shared" si="8"/>
        <v>Scrap expenses</v>
      </c>
      <c r="AA23" s="1"/>
      <c r="AB23" s="16"/>
      <c r="AC23" s="16"/>
      <c r="AD23" s="16"/>
      <c r="AE23" s="16"/>
      <c r="AF23" s="16">
        <f t="shared" si="9"/>
        <v>0</v>
      </c>
    </row>
    <row r="24" spans="3:33" ht="15">
      <c r="C24" s="1" t="s">
        <v>1813</v>
      </c>
      <c r="D24" s="16">
        <v>73291</v>
      </c>
      <c r="E24" s="24"/>
      <c r="F24" s="190">
        <f t="shared" si="13"/>
        <v>73291</v>
      </c>
      <c r="G24" s="290">
        <f t="shared" si="14"/>
        <v>0</v>
      </c>
      <c r="H24" s="12">
        <f t="shared" si="15"/>
        <v>73291</v>
      </c>
      <c r="I24" s="191">
        <f t="shared" si="3"/>
        <v>0</v>
      </c>
      <c r="J24" s="24">
        <f t="shared" si="4"/>
        <v>73291</v>
      </c>
      <c r="K24" s="12"/>
      <c r="L24" s="24">
        <f t="shared" si="5"/>
        <v>73291</v>
      </c>
      <c r="M24" s="8"/>
      <c r="N24" s="12">
        <f t="shared" si="10"/>
        <v>73291</v>
      </c>
      <c r="O24" s="63"/>
      <c r="P24" s="67"/>
      <c r="Q24" s="1"/>
      <c r="R24" s="1"/>
      <c r="S24" s="8" t="str">
        <f t="shared" si="16"/>
        <v>Rep &amp; Maint</v>
      </c>
      <c r="T24" s="8">
        <f t="shared" si="17"/>
        <v>73291</v>
      </c>
      <c r="V24" s="5"/>
      <c r="W24" s="5"/>
      <c r="X24" s="290">
        <f t="shared" si="12"/>
        <v>0</v>
      </c>
      <c r="Y24" s="1"/>
      <c r="Z24" s="1" t="str">
        <f t="shared" si="8"/>
        <v>Rep &amp; Maint</v>
      </c>
      <c r="AA24" s="1"/>
      <c r="AB24" s="16"/>
      <c r="AC24" s="16"/>
      <c r="AD24" s="16"/>
      <c r="AE24" s="16"/>
      <c r="AF24" s="16">
        <f t="shared" si="9"/>
        <v>0</v>
      </c>
      <c r="AG24" s="9"/>
    </row>
    <row r="25" spans="3:33" ht="15">
      <c r="C25" s="1" t="s">
        <v>1814</v>
      </c>
      <c r="D25" s="16">
        <v>1015</v>
      </c>
      <c r="E25" s="24"/>
      <c r="F25" s="190">
        <f t="shared" si="13"/>
        <v>1015</v>
      </c>
      <c r="G25" s="290">
        <f t="shared" si="14"/>
        <v>0</v>
      </c>
      <c r="H25" s="12">
        <f t="shared" si="15"/>
        <v>1015</v>
      </c>
      <c r="I25" s="191">
        <f t="shared" si="3"/>
        <v>0</v>
      </c>
      <c r="J25" s="24">
        <f t="shared" si="4"/>
        <v>1015</v>
      </c>
      <c r="K25" s="12"/>
      <c r="L25" s="24">
        <f t="shared" si="5"/>
        <v>1015</v>
      </c>
      <c r="M25" s="8"/>
      <c r="N25" s="12">
        <f t="shared" si="10"/>
        <v>1015</v>
      </c>
      <c r="O25" s="63"/>
      <c r="P25" s="67"/>
      <c r="Q25" s="1"/>
      <c r="R25" s="1"/>
      <c r="S25" s="8" t="str">
        <f t="shared" si="16"/>
        <v>Supplies</v>
      </c>
      <c r="T25" s="8">
        <f t="shared" si="17"/>
        <v>1015</v>
      </c>
      <c r="W25" s="5"/>
      <c r="X25" s="290">
        <f t="shared" si="12"/>
        <v>0</v>
      </c>
      <c r="Y25" s="8"/>
      <c r="Z25" s="1" t="str">
        <f t="shared" si="8"/>
        <v>Supplies</v>
      </c>
      <c r="AA25" s="1"/>
      <c r="AC25" s="16"/>
      <c r="AD25" s="16"/>
      <c r="AE25" s="16"/>
      <c r="AF25" s="16">
        <f t="shared" si="9"/>
        <v>0</v>
      </c>
      <c r="AG25" s="9"/>
    </row>
    <row r="26" spans="3:33" ht="15">
      <c r="C26" s="1" t="s">
        <v>32</v>
      </c>
      <c r="D26" s="16">
        <v>458855</v>
      </c>
      <c r="E26" s="24"/>
      <c r="F26" s="190">
        <f t="shared" si="13"/>
        <v>458855</v>
      </c>
      <c r="G26" s="290">
        <f t="shared" si="14"/>
        <v>-120057</v>
      </c>
      <c r="H26" s="12">
        <f t="shared" si="15"/>
        <v>338798</v>
      </c>
      <c r="I26" s="191">
        <f t="shared" si="3"/>
        <v>54799.9917196242</v>
      </c>
      <c r="J26" s="24">
        <f t="shared" si="4"/>
        <v>393597.9917196242</v>
      </c>
      <c r="K26" s="12"/>
      <c r="L26" s="24">
        <f t="shared" si="5"/>
        <v>393597.9917196242</v>
      </c>
      <c r="M26" s="8"/>
      <c r="N26" s="12">
        <f t="shared" si="10"/>
        <v>393597.9917196242</v>
      </c>
      <c r="O26" s="63"/>
      <c r="P26" s="67"/>
      <c r="Q26" s="1"/>
      <c r="R26" s="1"/>
      <c r="S26" s="8" t="str">
        <f t="shared" si="16"/>
        <v>Disposal fees</v>
      </c>
      <c r="T26" s="8">
        <f t="shared" si="17"/>
        <v>458855</v>
      </c>
      <c r="U26" s="54">
        <v>-120057</v>
      </c>
      <c r="V26" s="5"/>
      <c r="W26" s="5"/>
      <c r="X26" s="290">
        <f t="shared" si="12"/>
        <v>-120057</v>
      </c>
      <c r="Z26" s="1" t="str">
        <f t="shared" si="8"/>
        <v>Disposal fees</v>
      </c>
      <c r="AA26" s="1"/>
      <c r="AB26" s="16">
        <f>'df'!I25</f>
        <v>54799.9917196242</v>
      </c>
      <c r="AC26" s="16"/>
      <c r="AD26" s="16"/>
      <c r="AE26" s="16"/>
      <c r="AF26" s="16">
        <f t="shared" si="9"/>
        <v>54799.9917196242</v>
      </c>
      <c r="AG26" s="8"/>
    </row>
    <row r="27" spans="3:33" ht="15">
      <c r="C27" s="1" t="s">
        <v>213</v>
      </c>
      <c r="D27" s="16">
        <v>0</v>
      </c>
      <c r="E27" s="24"/>
      <c r="F27" s="190">
        <f t="shared" si="13"/>
        <v>0</v>
      </c>
      <c r="G27" s="290">
        <f t="shared" si="14"/>
        <v>120057</v>
      </c>
      <c r="H27" s="12">
        <f t="shared" si="15"/>
        <v>120057</v>
      </c>
      <c r="I27" s="191">
        <f t="shared" si="3"/>
        <v>12530.647500000008</v>
      </c>
      <c r="J27" s="24">
        <f t="shared" si="4"/>
        <v>132587.64750000002</v>
      </c>
      <c r="K27" s="12"/>
      <c r="L27" s="24">
        <f t="shared" si="5"/>
        <v>132587.64750000002</v>
      </c>
      <c r="M27" s="8"/>
      <c r="N27" s="12">
        <f t="shared" si="10"/>
        <v>132587.64750000002</v>
      </c>
      <c r="O27" s="63"/>
      <c r="P27" s="67"/>
      <c r="Q27" s="1"/>
      <c r="R27" s="1"/>
      <c r="S27" s="8" t="str">
        <f t="shared" si="16"/>
        <v>D/f pass thru</v>
      </c>
      <c r="T27" s="8">
        <f t="shared" si="17"/>
        <v>0</v>
      </c>
      <c r="U27" s="54">
        <f>120057</f>
        <v>120057</v>
      </c>
      <c r="V27" s="5"/>
      <c r="W27" s="5"/>
      <c r="X27" s="290">
        <f t="shared" si="12"/>
        <v>120057</v>
      </c>
      <c r="Z27" s="1" t="str">
        <f t="shared" si="8"/>
        <v>D/f pass thru</v>
      </c>
      <c r="AA27" s="1"/>
      <c r="AB27" s="7">
        <f>'df'!E26</f>
        <v>12530.647500000008</v>
      </c>
      <c r="AC27" s="16"/>
      <c r="AD27" s="16"/>
      <c r="AE27" s="16"/>
      <c r="AF27" s="16">
        <f t="shared" si="9"/>
        <v>12530.647500000008</v>
      </c>
      <c r="AG27" s="8"/>
    </row>
    <row r="28" spans="3:33" ht="15">
      <c r="C28" s="1" t="s">
        <v>1766</v>
      </c>
      <c r="D28" s="16">
        <v>585</v>
      </c>
      <c r="E28" s="24"/>
      <c r="F28" s="190">
        <f t="shared" si="13"/>
        <v>585</v>
      </c>
      <c r="G28" s="290">
        <f t="shared" si="14"/>
        <v>0</v>
      </c>
      <c r="H28" s="12">
        <f t="shared" si="15"/>
        <v>585</v>
      </c>
      <c r="I28" s="191">
        <f t="shared" si="3"/>
        <v>0</v>
      </c>
      <c r="J28" s="24">
        <f t="shared" si="4"/>
        <v>585</v>
      </c>
      <c r="K28" s="12"/>
      <c r="L28" s="24">
        <f t="shared" si="5"/>
        <v>585</v>
      </c>
      <c r="M28" s="8"/>
      <c r="N28" s="12">
        <f t="shared" si="10"/>
        <v>585</v>
      </c>
      <c r="O28" s="63"/>
      <c r="P28" s="67"/>
      <c r="Q28" s="1"/>
      <c r="R28" s="1"/>
      <c r="S28" s="8" t="str">
        <f t="shared" si="16"/>
        <v>Advertising</v>
      </c>
      <c r="T28" s="8">
        <f t="shared" si="17"/>
        <v>585</v>
      </c>
      <c r="U28" s="5"/>
      <c r="V28" s="5"/>
      <c r="W28" s="5"/>
      <c r="X28" s="290">
        <f t="shared" si="12"/>
        <v>0</v>
      </c>
      <c r="Y28" s="1"/>
      <c r="Z28" s="1" t="str">
        <f t="shared" si="8"/>
        <v>Advertising</v>
      </c>
      <c r="AA28" s="1"/>
      <c r="AB28" s="16"/>
      <c r="AC28" s="16"/>
      <c r="AD28" s="16"/>
      <c r="AE28" s="16"/>
      <c r="AF28" s="16">
        <f t="shared" si="9"/>
        <v>0</v>
      </c>
      <c r="AG28" s="9"/>
    </row>
    <row r="29" spans="3:32" ht="15">
      <c r="C29" s="1" t="s">
        <v>1815</v>
      </c>
      <c r="D29" s="16">
        <v>9925</v>
      </c>
      <c r="E29" s="24"/>
      <c r="F29" s="190">
        <f t="shared" si="13"/>
        <v>9925</v>
      </c>
      <c r="G29" s="290">
        <f t="shared" si="14"/>
        <v>0</v>
      </c>
      <c r="H29" s="12">
        <f t="shared" si="15"/>
        <v>9925</v>
      </c>
      <c r="I29" s="191">
        <f t="shared" si="3"/>
        <v>0</v>
      </c>
      <c r="J29" s="24">
        <f t="shared" si="4"/>
        <v>9925</v>
      </c>
      <c r="K29" s="12"/>
      <c r="L29" s="24">
        <f t="shared" si="5"/>
        <v>9925</v>
      </c>
      <c r="M29" s="8"/>
      <c r="N29" s="12">
        <f t="shared" si="10"/>
        <v>9925</v>
      </c>
      <c r="O29" s="63"/>
      <c r="P29" s="67"/>
      <c r="Q29" s="1"/>
      <c r="R29" s="1"/>
      <c r="S29" s="8" t="str">
        <f t="shared" si="16"/>
        <v>Bad Debt</v>
      </c>
      <c r="T29" s="8">
        <f t="shared" si="17"/>
        <v>9925</v>
      </c>
      <c r="U29" s="5"/>
      <c r="V29" s="5"/>
      <c r="W29" s="5"/>
      <c r="X29" s="290">
        <f t="shared" si="12"/>
        <v>0</v>
      </c>
      <c r="Y29" s="1"/>
      <c r="Z29" s="1" t="str">
        <f t="shared" si="8"/>
        <v>Bad Debt</v>
      </c>
      <c r="AA29" s="1"/>
      <c r="AB29" s="16"/>
      <c r="AC29" s="16"/>
      <c r="AD29" s="16"/>
      <c r="AE29" s="44"/>
      <c r="AF29" s="16">
        <f t="shared" si="9"/>
        <v>0</v>
      </c>
    </row>
    <row r="30" spans="3:32" ht="15">
      <c r="C30" s="1" t="s">
        <v>1816</v>
      </c>
      <c r="D30" s="16">
        <v>34</v>
      </c>
      <c r="E30" s="24"/>
      <c r="F30" s="190">
        <f t="shared" si="13"/>
        <v>34</v>
      </c>
      <c r="G30" s="290">
        <f t="shared" si="14"/>
        <v>0</v>
      </c>
      <c r="H30" s="12">
        <f t="shared" si="15"/>
        <v>34</v>
      </c>
      <c r="I30" s="191">
        <f t="shared" si="3"/>
        <v>0</v>
      </c>
      <c r="J30" s="24">
        <f t="shared" si="4"/>
        <v>34</v>
      </c>
      <c r="K30" s="12"/>
      <c r="L30" s="24">
        <f t="shared" si="5"/>
        <v>34</v>
      </c>
      <c r="M30" s="8"/>
      <c r="N30" s="12">
        <f t="shared" si="10"/>
        <v>34</v>
      </c>
      <c r="O30" s="63"/>
      <c r="P30" s="67"/>
      <c r="Q30" s="1"/>
      <c r="R30" s="1"/>
      <c r="S30" s="8" t="str">
        <f t="shared" si="16"/>
        <v>Bank fees</v>
      </c>
      <c r="T30" s="8">
        <f t="shared" si="17"/>
        <v>34</v>
      </c>
      <c r="U30" s="5"/>
      <c r="V30" s="5"/>
      <c r="W30" s="5"/>
      <c r="X30" s="290">
        <f t="shared" si="12"/>
        <v>0</v>
      </c>
      <c r="Y30" s="1"/>
      <c r="Z30" s="1" t="str">
        <f t="shared" si="8"/>
        <v>Bank fees</v>
      </c>
      <c r="AA30" s="1"/>
      <c r="AB30" s="16"/>
      <c r="AC30" s="16"/>
      <c r="AD30" s="16"/>
      <c r="AE30" s="44"/>
      <c r="AF30" s="16">
        <f t="shared" si="9"/>
        <v>0</v>
      </c>
    </row>
    <row r="31" spans="3:32" ht="15">
      <c r="C31" s="1" t="s">
        <v>1817</v>
      </c>
      <c r="D31" s="16">
        <v>400</v>
      </c>
      <c r="E31" s="24"/>
      <c r="F31" s="190">
        <f t="shared" si="13"/>
        <v>400</v>
      </c>
      <c r="G31" s="290">
        <f t="shared" si="14"/>
        <v>0</v>
      </c>
      <c r="H31" s="12">
        <f t="shared" si="15"/>
        <v>400</v>
      </c>
      <c r="I31" s="191">
        <f t="shared" si="3"/>
        <v>0</v>
      </c>
      <c r="J31" s="24">
        <f t="shared" si="4"/>
        <v>400</v>
      </c>
      <c r="K31" s="12"/>
      <c r="L31" s="24">
        <f t="shared" si="5"/>
        <v>400</v>
      </c>
      <c r="M31" s="8"/>
      <c r="N31" s="12">
        <f t="shared" si="10"/>
        <v>400</v>
      </c>
      <c r="O31" s="63"/>
      <c r="P31" s="67"/>
      <c r="Q31" s="1"/>
      <c r="R31" s="1"/>
      <c r="S31" s="8" t="str">
        <f t="shared" si="16"/>
        <v>Contrib</v>
      </c>
      <c r="T31" s="8">
        <f t="shared" si="17"/>
        <v>400</v>
      </c>
      <c r="U31" s="5"/>
      <c r="V31" s="5"/>
      <c r="W31" s="5"/>
      <c r="X31" s="290">
        <f t="shared" si="12"/>
        <v>0</v>
      </c>
      <c r="Y31" s="8"/>
      <c r="Z31" s="1" t="str">
        <f t="shared" si="8"/>
        <v>Contrib</v>
      </c>
      <c r="AA31" s="1"/>
      <c r="AB31" s="16"/>
      <c r="AC31" s="16"/>
      <c r="AD31" s="16"/>
      <c r="AE31" s="44"/>
      <c r="AF31" s="16">
        <f t="shared" si="9"/>
        <v>0</v>
      </c>
    </row>
    <row r="32" spans="3:32" ht="15">
      <c r="C32" s="1" t="s">
        <v>1818</v>
      </c>
      <c r="D32" s="16">
        <v>3865</v>
      </c>
      <c r="E32" s="24"/>
      <c r="F32" s="190">
        <f t="shared" si="13"/>
        <v>3865</v>
      </c>
      <c r="G32" s="290">
        <f t="shared" si="14"/>
        <v>0</v>
      </c>
      <c r="H32" s="12">
        <f t="shared" si="15"/>
        <v>3865</v>
      </c>
      <c r="I32" s="191">
        <f t="shared" si="3"/>
        <v>0</v>
      </c>
      <c r="J32" s="24">
        <f t="shared" si="4"/>
        <v>3865</v>
      </c>
      <c r="K32" s="12"/>
      <c r="L32" s="24">
        <f t="shared" si="5"/>
        <v>3865</v>
      </c>
      <c r="M32" s="8"/>
      <c r="N32" s="12">
        <f t="shared" si="10"/>
        <v>3865</v>
      </c>
      <c r="O32" s="63"/>
      <c r="P32" s="67"/>
      <c r="Q32" s="1"/>
      <c r="R32" s="1"/>
      <c r="S32" s="8" t="str">
        <f t="shared" si="16"/>
        <v>Computer support</v>
      </c>
      <c r="T32" s="8">
        <f t="shared" si="17"/>
        <v>3865</v>
      </c>
      <c r="U32" s="5"/>
      <c r="V32" s="5"/>
      <c r="W32" s="5"/>
      <c r="X32" s="290">
        <f t="shared" si="12"/>
        <v>0</v>
      </c>
      <c r="Y32" s="1"/>
      <c r="Z32" s="1" t="str">
        <f t="shared" si="8"/>
        <v>Computer support</v>
      </c>
      <c r="AA32" s="1"/>
      <c r="AB32" s="16"/>
      <c r="AC32" s="16"/>
      <c r="AD32" s="16"/>
      <c r="AE32" s="44"/>
      <c r="AF32" s="16">
        <f t="shared" si="9"/>
        <v>0</v>
      </c>
    </row>
    <row r="33" spans="3:32" ht="15">
      <c r="C33" s="1" t="s">
        <v>1819</v>
      </c>
      <c r="D33" s="16">
        <v>110878</v>
      </c>
      <c r="E33" s="24"/>
      <c r="F33" s="190">
        <f t="shared" si="13"/>
        <v>110878</v>
      </c>
      <c r="G33" s="290">
        <f t="shared" si="14"/>
        <v>4639</v>
      </c>
      <c r="H33" s="12">
        <f t="shared" si="15"/>
        <v>115517</v>
      </c>
      <c r="I33" s="191">
        <f t="shared" si="3"/>
        <v>0</v>
      </c>
      <c r="J33" s="24">
        <f t="shared" si="4"/>
        <v>115517</v>
      </c>
      <c r="K33" s="12"/>
      <c r="L33" s="24">
        <f t="shared" si="5"/>
        <v>115517</v>
      </c>
      <c r="M33" s="8"/>
      <c r="N33" s="12">
        <f t="shared" si="10"/>
        <v>115517</v>
      </c>
      <c r="O33" s="63"/>
      <c r="P33" s="67"/>
      <c r="Q33" s="1"/>
      <c r="R33" s="1"/>
      <c r="S33" s="8" t="str">
        <f t="shared" si="16"/>
        <v>Depreciation</v>
      </c>
      <c r="T33" s="8">
        <f t="shared" si="17"/>
        <v>110878</v>
      </c>
      <c r="U33" s="5"/>
      <c r="V33" s="5"/>
      <c r="W33" s="5">
        <v>4639</v>
      </c>
      <c r="X33" s="290">
        <f t="shared" si="12"/>
        <v>4639</v>
      </c>
      <c r="Y33" s="1"/>
      <c r="Z33" s="1" t="str">
        <f t="shared" si="8"/>
        <v>Depreciation</v>
      </c>
      <c r="AA33" s="1"/>
      <c r="AB33" s="16"/>
      <c r="AC33" s="16"/>
      <c r="AD33" s="16"/>
      <c r="AE33" s="44"/>
      <c r="AF33" s="16">
        <f t="shared" si="9"/>
        <v>0</v>
      </c>
    </row>
    <row r="34" spans="4:32" ht="15" hidden="1">
      <c r="D34" s="16">
        <v>0</v>
      </c>
      <c r="E34" s="24"/>
      <c r="F34" s="190">
        <f t="shared" si="13"/>
        <v>0</v>
      </c>
      <c r="G34" s="290">
        <f t="shared" si="14"/>
        <v>0</v>
      </c>
      <c r="H34" s="12">
        <f t="shared" si="15"/>
        <v>0</v>
      </c>
      <c r="I34" s="191">
        <f t="shared" si="3"/>
        <v>0</v>
      </c>
      <c r="J34" s="24">
        <f t="shared" si="4"/>
        <v>0</v>
      </c>
      <c r="K34" s="12"/>
      <c r="L34" s="24">
        <f t="shared" si="5"/>
        <v>0</v>
      </c>
      <c r="M34" s="8"/>
      <c r="N34" s="12">
        <f t="shared" si="10"/>
        <v>0</v>
      </c>
      <c r="O34" s="63"/>
      <c r="P34" s="67"/>
      <c r="Q34" s="1"/>
      <c r="R34" s="1"/>
      <c r="S34" s="8">
        <f t="shared" si="16"/>
        <v>0</v>
      </c>
      <c r="T34" s="8">
        <f t="shared" si="17"/>
        <v>0</v>
      </c>
      <c r="U34" s="7"/>
      <c r="W34" s="5"/>
      <c r="X34" s="290">
        <f t="shared" si="12"/>
        <v>0</v>
      </c>
      <c r="Y34" s="1"/>
      <c r="Z34" s="1">
        <f t="shared" si="8"/>
        <v>0</v>
      </c>
      <c r="AA34" s="1"/>
      <c r="AB34" s="16">
        <f>AB11</f>
        <v>0</v>
      </c>
      <c r="AC34" s="16"/>
      <c r="AD34" s="16"/>
      <c r="AE34" s="44"/>
      <c r="AF34" s="16">
        <f t="shared" si="9"/>
        <v>0</v>
      </c>
    </row>
    <row r="35" spans="3:34" ht="15">
      <c r="C35" s="1" t="s">
        <v>1820</v>
      </c>
      <c r="D35" s="16">
        <v>752</v>
      </c>
      <c r="E35" s="24"/>
      <c r="F35" s="190">
        <f t="shared" si="13"/>
        <v>752</v>
      </c>
      <c r="G35" s="290">
        <f t="shared" si="14"/>
        <v>0</v>
      </c>
      <c r="H35" s="12">
        <f t="shared" si="15"/>
        <v>752</v>
      </c>
      <c r="I35" s="191">
        <f t="shared" si="3"/>
        <v>0</v>
      </c>
      <c r="J35" s="24">
        <f t="shared" si="4"/>
        <v>752</v>
      </c>
      <c r="K35" s="12"/>
      <c r="L35" s="24">
        <f t="shared" si="5"/>
        <v>752</v>
      </c>
      <c r="M35" s="8"/>
      <c r="N35" s="12">
        <f t="shared" si="10"/>
        <v>752</v>
      </c>
      <c r="O35" s="63"/>
      <c r="P35" s="67"/>
      <c r="Q35" s="1"/>
      <c r="R35" s="1"/>
      <c r="S35" s="8" t="str">
        <f t="shared" si="16"/>
        <v>Dues &amp; Subs</v>
      </c>
      <c r="T35" s="8">
        <f t="shared" si="17"/>
        <v>752</v>
      </c>
      <c r="U35" s="5"/>
      <c r="V35" s="5"/>
      <c r="W35" s="5"/>
      <c r="X35" s="290">
        <f t="shared" si="12"/>
        <v>0</v>
      </c>
      <c r="Y35" s="1"/>
      <c r="Z35" s="1" t="str">
        <f t="shared" si="8"/>
        <v>Dues &amp; Subs</v>
      </c>
      <c r="AA35" s="1"/>
      <c r="AB35" s="16"/>
      <c r="AC35" s="16"/>
      <c r="AD35" s="16"/>
      <c r="AE35" s="44"/>
      <c r="AF35" s="16">
        <f t="shared" si="9"/>
        <v>0</v>
      </c>
      <c r="AH35" s="23"/>
    </row>
    <row r="36" spans="3:34" ht="15.75" hidden="1" thickBot="1">
      <c r="C36" s="1"/>
      <c r="D36" s="16">
        <v>0</v>
      </c>
      <c r="E36" s="24"/>
      <c r="F36" s="190">
        <f t="shared" si="13"/>
        <v>0</v>
      </c>
      <c r="G36" s="290">
        <f t="shared" si="14"/>
        <v>0</v>
      </c>
      <c r="H36" s="12">
        <f t="shared" si="15"/>
        <v>0</v>
      </c>
      <c r="I36" s="191">
        <f t="shared" si="3"/>
        <v>0</v>
      </c>
      <c r="J36" s="24">
        <f t="shared" si="4"/>
        <v>0</v>
      </c>
      <c r="K36" s="12"/>
      <c r="L36" s="24">
        <f t="shared" si="5"/>
        <v>0</v>
      </c>
      <c r="M36" s="8"/>
      <c r="N36" s="12">
        <f t="shared" si="10"/>
        <v>0</v>
      </c>
      <c r="O36" s="63"/>
      <c r="P36" s="67"/>
      <c r="Q36" s="1"/>
      <c r="R36" s="1"/>
      <c r="S36" s="8">
        <f t="shared" si="16"/>
        <v>0</v>
      </c>
      <c r="T36" s="8">
        <f t="shared" si="17"/>
        <v>0</v>
      </c>
      <c r="U36" s="5"/>
      <c r="V36" s="5"/>
      <c r="W36" s="5"/>
      <c r="X36" s="290">
        <f t="shared" si="12"/>
        <v>0</v>
      </c>
      <c r="Y36" s="1"/>
      <c r="Z36" s="1">
        <f t="shared" si="8"/>
        <v>0</v>
      </c>
      <c r="AA36" s="1"/>
      <c r="AB36" s="16"/>
      <c r="AC36" s="16"/>
      <c r="AD36" s="16"/>
      <c r="AE36" s="44"/>
      <c r="AF36" s="16">
        <f t="shared" si="9"/>
        <v>0</v>
      </c>
      <c r="AG36" s="9"/>
      <c r="AH36" s="137"/>
    </row>
    <row r="37" spans="3:33" ht="15">
      <c r="C37" s="1" t="s">
        <v>1821</v>
      </c>
      <c r="D37" s="16">
        <v>480</v>
      </c>
      <c r="E37" s="24"/>
      <c r="F37" s="190">
        <f t="shared" si="13"/>
        <v>480</v>
      </c>
      <c r="G37" s="290">
        <f t="shared" si="14"/>
        <v>0</v>
      </c>
      <c r="H37" s="12">
        <f t="shared" si="15"/>
        <v>480</v>
      </c>
      <c r="I37" s="191">
        <f t="shared" si="3"/>
        <v>0</v>
      </c>
      <c r="J37" s="24">
        <f t="shared" si="4"/>
        <v>480</v>
      </c>
      <c r="K37" s="12"/>
      <c r="L37" s="24">
        <f t="shared" si="5"/>
        <v>480</v>
      </c>
      <c r="M37" s="8"/>
      <c r="N37" s="12">
        <f t="shared" si="10"/>
        <v>480</v>
      </c>
      <c r="O37" s="63"/>
      <c r="P37" s="67"/>
      <c r="Q37" s="1"/>
      <c r="R37" s="1"/>
      <c r="S37" s="8" t="str">
        <f t="shared" si="16"/>
        <v>Employee Benefits</v>
      </c>
      <c r="T37" s="8">
        <f t="shared" si="17"/>
        <v>480</v>
      </c>
      <c r="U37" s="5"/>
      <c r="V37" s="5"/>
      <c r="W37" s="5"/>
      <c r="X37" s="290">
        <f t="shared" si="12"/>
        <v>0</v>
      </c>
      <c r="Y37" s="1"/>
      <c r="Z37" s="1" t="str">
        <f t="shared" si="8"/>
        <v>Employee Benefits</v>
      </c>
      <c r="AA37" s="1"/>
      <c r="AB37" s="16"/>
      <c r="AC37" s="16"/>
      <c r="AD37" s="16"/>
      <c r="AE37" s="44"/>
      <c r="AF37" s="16">
        <f t="shared" si="9"/>
        <v>0</v>
      </c>
      <c r="AG37" s="9"/>
    </row>
    <row r="38" spans="3:32" ht="15">
      <c r="C38" s="1" t="s">
        <v>1822</v>
      </c>
      <c r="D38" s="16">
        <v>112</v>
      </c>
      <c r="E38" s="24"/>
      <c r="F38" s="190">
        <f t="shared" si="13"/>
        <v>112</v>
      </c>
      <c r="G38" s="290">
        <f t="shared" si="14"/>
        <v>0</v>
      </c>
      <c r="H38" s="12">
        <f t="shared" si="15"/>
        <v>112</v>
      </c>
      <c r="I38" s="191">
        <f t="shared" si="3"/>
        <v>0</v>
      </c>
      <c r="J38" s="24">
        <f t="shared" si="4"/>
        <v>112</v>
      </c>
      <c r="K38" s="12"/>
      <c r="L38" s="24">
        <f t="shared" si="5"/>
        <v>112</v>
      </c>
      <c r="M38" s="8"/>
      <c r="N38" s="12">
        <f t="shared" si="10"/>
        <v>112</v>
      </c>
      <c r="O38" s="63"/>
      <c r="P38" s="67"/>
      <c r="Q38" s="70"/>
      <c r="R38" s="1"/>
      <c r="S38" s="8" t="str">
        <f t="shared" si="16"/>
        <v>Interest exp</v>
      </c>
      <c r="T38" s="8">
        <f t="shared" si="17"/>
        <v>112</v>
      </c>
      <c r="U38" s="5"/>
      <c r="V38" s="5"/>
      <c r="W38" s="5"/>
      <c r="X38" s="290">
        <f t="shared" si="12"/>
        <v>0</v>
      </c>
      <c r="Y38" s="1"/>
      <c r="Z38" s="1" t="str">
        <f t="shared" si="8"/>
        <v>Interest exp</v>
      </c>
      <c r="AA38" s="1"/>
      <c r="AB38" s="16"/>
      <c r="AC38" s="16"/>
      <c r="AD38" s="16"/>
      <c r="AE38" s="44"/>
      <c r="AF38" s="16">
        <f t="shared" si="9"/>
        <v>0</v>
      </c>
    </row>
    <row r="39" spans="3:32" ht="15">
      <c r="C39" s="1" t="s">
        <v>214</v>
      </c>
      <c r="D39" s="16">
        <v>12021</v>
      </c>
      <c r="E39" s="24"/>
      <c r="F39" s="190">
        <f t="shared" si="13"/>
        <v>12021</v>
      </c>
      <c r="G39" s="290">
        <f t="shared" si="14"/>
        <v>0</v>
      </c>
      <c r="H39" s="12">
        <f t="shared" si="15"/>
        <v>12021</v>
      </c>
      <c r="I39" s="191">
        <f t="shared" si="3"/>
        <v>1977.88</v>
      </c>
      <c r="J39" s="24">
        <f t="shared" si="4"/>
        <v>13998.880000000001</v>
      </c>
      <c r="K39" s="12"/>
      <c r="L39" s="24">
        <f t="shared" si="5"/>
        <v>13998.880000000001</v>
      </c>
      <c r="M39" s="8"/>
      <c r="N39" s="12">
        <f t="shared" si="10"/>
        <v>13998.880000000001</v>
      </c>
      <c r="O39" s="63"/>
      <c r="P39" s="67"/>
      <c r="Q39" s="1"/>
      <c r="R39" s="1"/>
      <c r="S39" s="8" t="str">
        <f t="shared" si="16"/>
        <v>Office exp</v>
      </c>
      <c r="T39" s="8">
        <f t="shared" si="17"/>
        <v>12021</v>
      </c>
      <c r="U39" s="5"/>
      <c r="V39" s="5"/>
      <c r="W39" s="5"/>
      <c r="X39" s="290">
        <f t="shared" si="12"/>
        <v>0</v>
      </c>
      <c r="Y39" s="8"/>
      <c r="Z39" s="1" t="str">
        <f t="shared" si="8"/>
        <v>Office exp</v>
      </c>
      <c r="AA39" s="1"/>
      <c r="AB39" s="16"/>
      <c r="AC39" s="16"/>
      <c r="AD39" s="16">
        <f>oth!D15</f>
        <v>1977.88</v>
      </c>
      <c r="AE39" s="44"/>
      <c r="AF39" s="16">
        <f t="shared" si="9"/>
        <v>1977.88</v>
      </c>
    </row>
    <row r="40" spans="3:32" ht="15">
      <c r="C40" s="1" t="s">
        <v>1823</v>
      </c>
      <c r="D40" s="16">
        <v>78763</v>
      </c>
      <c r="E40" s="24"/>
      <c r="F40" s="190">
        <f t="shared" si="13"/>
        <v>78763</v>
      </c>
      <c r="G40" s="290">
        <f t="shared" si="14"/>
        <v>0</v>
      </c>
      <c r="H40" s="12">
        <f t="shared" si="15"/>
        <v>78763</v>
      </c>
      <c r="I40" s="191">
        <f t="shared" si="3"/>
        <v>0</v>
      </c>
      <c r="J40" s="24">
        <f t="shared" si="4"/>
        <v>78763</v>
      </c>
      <c r="K40" s="12"/>
      <c r="L40" s="24">
        <f t="shared" si="5"/>
        <v>78763</v>
      </c>
      <c r="M40" s="8"/>
      <c r="N40" s="12">
        <f t="shared" si="10"/>
        <v>78763</v>
      </c>
      <c r="O40" s="63"/>
      <c r="P40" s="67"/>
      <c r="Q40" s="1"/>
      <c r="R40" s="1"/>
      <c r="S40" s="8" t="str">
        <f t="shared" si="16"/>
        <v>Office wages</v>
      </c>
      <c r="T40" s="8">
        <f t="shared" si="17"/>
        <v>78763</v>
      </c>
      <c r="U40" s="5"/>
      <c r="V40" s="5"/>
      <c r="W40" s="5"/>
      <c r="X40" s="290">
        <f t="shared" si="12"/>
        <v>0</v>
      </c>
      <c r="Y40" s="1"/>
      <c r="Z40" s="1" t="str">
        <f t="shared" si="8"/>
        <v>Office wages</v>
      </c>
      <c r="AA40" s="1"/>
      <c r="AB40" s="16"/>
      <c r="AC40" s="16"/>
      <c r="AD40" s="16"/>
      <c r="AE40" s="44"/>
      <c r="AF40" s="16">
        <f t="shared" si="9"/>
        <v>0</v>
      </c>
    </row>
    <row r="41" spans="3:32" ht="15">
      <c r="C41" s="1" t="s">
        <v>1824</v>
      </c>
      <c r="D41" s="16">
        <v>70000</v>
      </c>
      <c r="E41" s="24"/>
      <c r="F41" s="190">
        <f t="shared" si="13"/>
        <v>70000</v>
      </c>
      <c r="G41" s="290">
        <f t="shared" si="14"/>
        <v>-14000</v>
      </c>
      <c r="H41" s="12">
        <f t="shared" si="15"/>
        <v>56000</v>
      </c>
      <c r="I41" s="191">
        <f t="shared" si="3"/>
        <v>0</v>
      </c>
      <c r="J41" s="24">
        <f t="shared" si="4"/>
        <v>56000</v>
      </c>
      <c r="K41" s="12"/>
      <c r="L41" s="24">
        <f t="shared" si="5"/>
        <v>56000</v>
      </c>
      <c r="M41" s="8"/>
      <c r="N41" s="12">
        <f t="shared" si="10"/>
        <v>56000</v>
      </c>
      <c r="O41" s="63"/>
      <c r="P41" s="67"/>
      <c r="Q41" s="1"/>
      <c r="R41" s="1"/>
      <c r="S41" s="8" t="str">
        <f t="shared" si="16"/>
        <v>Ofcr Salary</v>
      </c>
      <c r="T41" s="8">
        <f t="shared" si="17"/>
        <v>70000</v>
      </c>
      <c r="U41" s="5"/>
      <c r="V41" s="5"/>
      <c r="W41" s="5">
        <f>-14000</f>
        <v>-14000</v>
      </c>
      <c r="X41" s="290">
        <f t="shared" si="12"/>
        <v>-14000</v>
      </c>
      <c r="Y41" s="1"/>
      <c r="Z41" s="1" t="str">
        <f t="shared" si="8"/>
        <v>Ofcr Salary</v>
      </c>
      <c r="AA41" s="1"/>
      <c r="AB41" s="16"/>
      <c r="AC41" s="16"/>
      <c r="AD41" s="16"/>
      <c r="AE41" s="44"/>
      <c r="AF41" s="16">
        <f t="shared" si="9"/>
        <v>0</v>
      </c>
    </row>
    <row r="42" spans="3:33" ht="15">
      <c r="C42" s="1" t="s">
        <v>1825</v>
      </c>
      <c r="D42" s="16">
        <v>11940</v>
      </c>
      <c r="E42" s="24"/>
      <c r="F42" s="190">
        <f t="shared" si="13"/>
        <v>11940</v>
      </c>
      <c r="G42" s="290">
        <f t="shared" si="14"/>
        <v>0</v>
      </c>
      <c r="H42" s="12">
        <f t="shared" si="15"/>
        <v>11940</v>
      </c>
      <c r="I42" s="191">
        <f t="shared" si="3"/>
        <v>0</v>
      </c>
      <c r="J42" s="24">
        <f t="shared" si="4"/>
        <v>11940</v>
      </c>
      <c r="K42" s="12"/>
      <c r="L42" s="24">
        <f t="shared" si="5"/>
        <v>11940</v>
      </c>
      <c r="M42" s="8"/>
      <c r="N42" s="12">
        <f t="shared" si="10"/>
        <v>11940</v>
      </c>
      <c r="O42" s="63"/>
      <c r="P42" s="67"/>
      <c r="Q42" s="1"/>
      <c r="R42" s="1"/>
      <c r="S42" s="8" t="str">
        <f t="shared" si="16"/>
        <v>Postage</v>
      </c>
      <c r="T42" s="8">
        <f t="shared" si="17"/>
        <v>11940</v>
      </c>
      <c r="V42" s="5"/>
      <c r="W42" s="5"/>
      <c r="X42" s="290">
        <f t="shared" si="12"/>
        <v>0</v>
      </c>
      <c r="Y42" s="8"/>
      <c r="Z42" s="1" t="str">
        <f t="shared" si="8"/>
        <v>Postage</v>
      </c>
      <c r="AA42" s="1"/>
      <c r="AB42" s="16"/>
      <c r="AC42" s="16"/>
      <c r="AD42" s="16"/>
      <c r="AE42" s="44"/>
      <c r="AF42" s="16">
        <f t="shared" si="9"/>
        <v>0</v>
      </c>
      <c r="AG42" s="9"/>
    </row>
    <row r="43" spans="3:33" ht="15">
      <c r="C43" s="1" t="s">
        <v>1826</v>
      </c>
      <c r="D43" s="16">
        <v>1560</v>
      </c>
      <c r="E43" s="24"/>
      <c r="F43" s="190">
        <f t="shared" si="13"/>
        <v>1560</v>
      </c>
      <c r="G43" s="290">
        <f t="shared" si="14"/>
        <v>0</v>
      </c>
      <c r="H43" s="12">
        <f t="shared" si="15"/>
        <v>1560</v>
      </c>
      <c r="I43" s="191">
        <f t="shared" si="3"/>
        <v>3937</v>
      </c>
      <c r="J43" s="24">
        <f t="shared" si="4"/>
        <v>5497</v>
      </c>
      <c r="K43" s="12"/>
      <c r="L43" s="24">
        <f t="shared" si="5"/>
        <v>5497</v>
      </c>
      <c r="M43" s="8"/>
      <c r="N43" s="12">
        <f t="shared" si="10"/>
        <v>5497</v>
      </c>
      <c r="O43" s="63"/>
      <c r="P43" s="67"/>
      <c r="Q43" s="1"/>
      <c r="R43" s="1"/>
      <c r="S43" s="8" t="str">
        <f t="shared" si="16"/>
        <v>Prof fees</v>
      </c>
      <c r="T43" s="8">
        <f t="shared" si="17"/>
        <v>1560</v>
      </c>
      <c r="U43" s="5"/>
      <c r="V43" s="5"/>
      <c r="W43" s="5"/>
      <c r="X43" s="290">
        <f t="shared" si="12"/>
        <v>0</v>
      </c>
      <c r="Y43" s="8"/>
      <c r="Z43" s="1" t="str">
        <f t="shared" si="8"/>
        <v>Prof fees</v>
      </c>
      <c r="AA43" s="1"/>
      <c r="AB43" s="16"/>
      <c r="AC43" s="16">
        <f>oth!D18</f>
        <v>3937</v>
      </c>
      <c r="AD43" s="16"/>
      <c r="AE43" s="44"/>
      <c r="AF43" s="16">
        <f t="shared" si="9"/>
        <v>3937</v>
      </c>
      <c r="AG43" s="9"/>
    </row>
    <row r="44" spans="3:32" ht="15">
      <c r="C44" s="1" t="s">
        <v>1768</v>
      </c>
      <c r="D44" s="24">
        <v>19500</v>
      </c>
      <c r="E44" s="24"/>
      <c r="F44" s="190">
        <f t="shared" si="13"/>
        <v>19500</v>
      </c>
      <c r="G44" s="290">
        <f t="shared" si="14"/>
        <v>-19500</v>
      </c>
      <c r="H44" s="12">
        <f t="shared" si="15"/>
        <v>0</v>
      </c>
      <c r="I44" s="191">
        <f t="shared" si="3"/>
        <v>0</v>
      </c>
      <c r="J44" s="24">
        <f t="shared" si="4"/>
        <v>0</v>
      </c>
      <c r="K44" s="12"/>
      <c r="L44" s="24">
        <f t="shared" si="5"/>
        <v>0</v>
      </c>
      <c r="M44" s="24"/>
      <c r="N44" s="12">
        <f t="shared" si="10"/>
        <v>0</v>
      </c>
      <c r="O44" s="41"/>
      <c r="P44" s="67"/>
      <c r="Q44" s="1"/>
      <c r="R44" s="1"/>
      <c r="S44" s="8" t="str">
        <f t="shared" si="16"/>
        <v>Rent</v>
      </c>
      <c r="T44" s="8">
        <f t="shared" si="17"/>
        <v>19500</v>
      </c>
      <c r="U44" s="54"/>
      <c r="V44" s="5">
        <f>-19500</f>
        <v>-19500</v>
      </c>
      <c r="W44" s="5"/>
      <c r="X44" s="290">
        <f t="shared" si="12"/>
        <v>-19500</v>
      </c>
      <c r="Y44" s="8"/>
      <c r="Z44" s="1" t="str">
        <f t="shared" si="8"/>
        <v>Rent</v>
      </c>
      <c r="AA44" s="1"/>
      <c r="AB44" s="16"/>
      <c r="AC44" s="16"/>
      <c r="AD44" s="44"/>
      <c r="AE44" s="16"/>
      <c r="AF44" s="16">
        <f t="shared" si="9"/>
        <v>0</v>
      </c>
    </row>
    <row r="45" spans="3:32" ht="15">
      <c r="C45" s="1" t="s">
        <v>1827</v>
      </c>
      <c r="D45" s="24">
        <v>21606</v>
      </c>
      <c r="E45" s="24"/>
      <c r="F45" s="190">
        <f t="shared" si="13"/>
        <v>21606</v>
      </c>
      <c r="G45" s="290">
        <f t="shared" si="14"/>
        <v>0</v>
      </c>
      <c r="H45" s="12">
        <f t="shared" si="15"/>
        <v>21606</v>
      </c>
      <c r="I45" s="191">
        <f t="shared" si="3"/>
        <v>0</v>
      </c>
      <c r="J45" s="24">
        <f t="shared" si="4"/>
        <v>21606</v>
      </c>
      <c r="K45" s="12"/>
      <c r="L45" s="24">
        <f t="shared" si="5"/>
        <v>21606</v>
      </c>
      <c r="M45" s="24"/>
      <c r="N45" s="12">
        <f t="shared" si="10"/>
        <v>21606</v>
      </c>
      <c r="O45" s="41"/>
      <c r="P45" s="67"/>
      <c r="Q45" s="1"/>
      <c r="R45" s="1"/>
      <c r="S45" s="8" t="str">
        <f t="shared" si="16"/>
        <v>B&amp;O taxes</v>
      </c>
      <c r="T45" s="8">
        <f t="shared" si="17"/>
        <v>21606</v>
      </c>
      <c r="V45" s="5"/>
      <c r="W45" s="5"/>
      <c r="X45" s="290">
        <f t="shared" si="12"/>
        <v>0</v>
      </c>
      <c r="Y45" s="1"/>
      <c r="Z45" s="1" t="str">
        <f t="shared" si="8"/>
        <v>B&amp;O taxes</v>
      </c>
      <c r="AA45" s="1"/>
      <c r="AB45" s="16"/>
      <c r="AC45" s="16"/>
      <c r="AD45" s="44"/>
      <c r="AE45" s="16"/>
      <c r="AF45" s="16">
        <f t="shared" si="9"/>
        <v>0</v>
      </c>
    </row>
    <row r="46" spans="3:32" ht="15">
      <c r="C46" s="1" t="s">
        <v>1828</v>
      </c>
      <c r="D46" s="24">
        <v>57657</v>
      </c>
      <c r="E46" s="24"/>
      <c r="F46" s="190">
        <f t="shared" si="13"/>
        <v>57657</v>
      </c>
      <c r="G46" s="290">
        <f t="shared" si="14"/>
        <v>0</v>
      </c>
      <c r="H46" s="12">
        <f t="shared" si="15"/>
        <v>57657</v>
      </c>
      <c r="I46" s="191">
        <f t="shared" si="3"/>
        <v>0</v>
      </c>
      <c r="J46" s="24">
        <f t="shared" si="4"/>
        <v>57657</v>
      </c>
      <c r="K46" s="12"/>
      <c r="L46" s="24">
        <f t="shared" si="5"/>
        <v>57657</v>
      </c>
      <c r="M46" s="24"/>
      <c r="N46" s="12">
        <f t="shared" si="10"/>
        <v>57657</v>
      </c>
      <c r="O46" s="41"/>
      <c r="P46" s="67"/>
      <c r="Q46" s="1"/>
      <c r="R46" s="1"/>
      <c r="S46" s="8" t="str">
        <f t="shared" si="16"/>
        <v>Payroll taxes</v>
      </c>
      <c r="T46" s="8">
        <f t="shared" si="17"/>
        <v>57657</v>
      </c>
      <c r="V46" s="5"/>
      <c r="W46" s="5"/>
      <c r="X46" s="290">
        <f t="shared" si="12"/>
        <v>0</v>
      </c>
      <c r="Y46" s="1"/>
      <c r="Z46" s="1" t="str">
        <f t="shared" si="8"/>
        <v>Payroll taxes</v>
      </c>
      <c r="AA46" s="1"/>
      <c r="AB46" s="16"/>
      <c r="AC46" s="16"/>
      <c r="AD46" s="44"/>
      <c r="AE46" s="16"/>
      <c r="AF46" s="16">
        <f t="shared" si="9"/>
        <v>0</v>
      </c>
    </row>
    <row r="47" spans="3:33" ht="15">
      <c r="C47" s="1" t="s">
        <v>1767</v>
      </c>
      <c r="D47" s="24">
        <v>3201</v>
      </c>
      <c r="E47" s="24"/>
      <c r="F47" s="190">
        <f t="shared" si="13"/>
        <v>3201</v>
      </c>
      <c r="G47" s="290">
        <f t="shared" si="14"/>
        <v>0</v>
      </c>
      <c r="H47" s="12">
        <f t="shared" si="15"/>
        <v>3201</v>
      </c>
      <c r="I47" s="191">
        <f t="shared" si="3"/>
        <v>0</v>
      </c>
      <c r="J47" s="24">
        <f t="shared" si="4"/>
        <v>3201</v>
      </c>
      <c r="K47" s="12"/>
      <c r="L47" s="24">
        <f t="shared" si="5"/>
        <v>3201</v>
      </c>
      <c r="M47" s="24"/>
      <c r="N47" s="12">
        <f t="shared" si="10"/>
        <v>3201</v>
      </c>
      <c r="O47" s="41"/>
      <c r="P47" s="67"/>
      <c r="Q47" s="1"/>
      <c r="R47" s="1"/>
      <c r="S47" s="8" t="str">
        <f t="shared" si="16"/>
        <v>Prop taxes</v>
      </c>
      <c r="T47" s="8">
        <f t="shared" si="17"/>
        <v>3201</v>
      </c>
      <c r="U47" s="21"/>
      <c r="V47" s="5"/>
      <c r="W47" s="5"/>
      <c r="X47" s="290">
        <f t="shared" si="12"/>
        <v>0</v>
      </c>
      <c r="Y47" s="1"/>
      <c r="Z47" s="1" t="str">
        <f t="shared" si="8"/>
        <v>Prop taxes</v>
      </c>
      <c r="AA47" s="1"/>
      <c r="AB47" s="16"/>
      <c r="AC47" s="16"/>
      <c r="AD47" s="44"/>
      <c r="AE47" s="16"/>
      <c r="AF47" s="16">
        <f t="shared" si="9"/>
        <v>0</v>
      </c>
      <c r="AG47" s="9"/>
    </row>
    <row r="48" spans="3:32" ht="15">
      <c r="C48" s="1" t="s">
        <v>1829</v>
      </c>
      <c r="D48" s="24">
        <v>252</v>
      </c>
      <c r="E48" s="24"/>
      <c r="F48" s="190">
        <f t="shared" si="13"/>
        <v>252</v>
      </c>
      <c r="G48" s="290">
        <f t="shared" si="14"/>
        <v>0</v>
      </c>
      <c r="H48" s="12">
        <f t="shared" si="15"/>
        <v>252</v>
      </c>
      <c r="I48" s="191">
        <f t="shared" si="3"/>
        <v>0</v>
      </c>
      <c r="J48" s="24">
        <f t="shared" si="4"/>
        <v>252</v>
      </c>
      <c r="K48" s="12"/>
      <c r="L48" s="24">
        <f t="shared" si="5"/>
        <v>252</v>
      </c>
      <c r="M48" s="24"/>
      <c r="N48" s="12">
        <f t="shared" si="10"/>
        <v>252</v>
      </c>
      <c r="O48" s="41"/>
      <c r="P48" s="67"/>
      <c r="Q48" s="1"/>
      <c r="R48" s="1"/>
      <c r="S48" s="8" t="str">
        <f t="shared" si="16"/>
        <v>State use taxes</v>
      </c>
      <c r="T48" s="8">
        <f t="shared" si="17"/>
        <v>252</v>
      </c>
      <c r="V48" s="5"/>
      <c r="W48" s="5"/>
      <c r="X48" s="290">
        <f t="shared" si="12"/>
        <v>0</v>
      </c>
      <c r="Y48" s="1"/>
      <c r="Z48" s="1" t="str">
        <f t="shared" si="8"/>
        <v>State use taxes</v>
      </c>
      <c r="AA48" s="1"/>
      <c r="AB48" s="16"/>
      <c r="AC48" s="16"/>
      <c r="AD48" s="44"/>
      <c r="AE48" s="16"/>
      <c r="AF48" s="16">
        <f t="shared" si="9"/>
        <v>0</v>
      </c>
    </row>
    <row r="49" spans="3:32" ht="15">
      <c r="C49" s="1" t="s">
        <v>1830</v>
      </c>
      <c r="D49" s="24">
        <v>17809</v>
      </c>
      <c r="E49" s="24"/>
      <c r="F49" s="190">
        <f t="shared" si="13"/>
        <v>17809</v>
      </c>
      <c r="G49" s="290">
        <f t="shared" si="14"/>
        <v>0</v>
      </c>
      <c r="H49" s="12">
        <f t="shared" si="15"/>
        <v>17809</v>
      </c>
      <c r="I49" s="191">
        <f t="shared" si="3"/>
        <v>0</v>
      </c>
      <c r="J49" s="24">
        <f t="shared" si="4"/>
        <v>17809</v>
      </c>
      <c r="K49" s="12"/>
      <c r="L49" s="24">
        <f t="shared" si="5"/>
        <v>17809</v>
      </c>
      <c r="M49" s="24"/>
      <c r="N49" s="12">
        <f t="shared" si="10"/>
        <v>17809</v>
      </c>
      <c r="O49" s="41"/>
      <c r="P49" s="67"/>
      <c r="Q49" s="1"/>
      <c r="R49" s="1"/>
      <c r="S49" s="8" t="str">
        <f t="shared" si="16"/>
        <v>Taxes,Lic,Permits</v>
      </c>
      <c r="T49" s="8">
        <f t="shared" si="17"/>
        <v>17809</v>
      </c>
      <c r="V49" s="5"/>
      <c r="W49" s="5"/>
      <c r="X49" s="290">
        <f t="shared" si="12"/>
        <v>0</v>
      </c>
      <c r="Y49" s="1"/>
      <c r="Z49" s="1" t="str">
        <f t="shared" si="8"/>
        <v>Taxes,Lic,Permits</v>
      </c>
      <c r="AA49" s="1"/>
      <c r="AB49" s="16"/>
      <c r="AC49" s="16"/>
      <c r="AD49" s="44"/>
      <c r="AE49" s="16"/>
      <c r="AF49" s="16">
        <f t="shared" si="9"/>
        <v>0</v>
      </c>
    </row>
    <row r="50" spans="3:32" ht="15">
      <c r="C50" s="1" t="s">
        <v>1831</v>
      </c>
      <c r="D50" s="16">
        <v>5225</v>
      </c>
      <c r="E50" s="24"/>
      <c r="F50" s="190">
        <f t="shared" si="13"/>
        <v>5225</v>
      </c>
      <c r="G50" s="290">
        <f t="shared" si="14"/>
        <v>0</v>
      </c>
      <c r="H50" s="12">
        <f t="shared" si="15"/>
        <v>5225</v>
      </c>
      <c r="I50" s="191">
        <f t="shared" si="3"/>
        <v>0</v>
      </c>
      <c r="J50" s="24">
        <f t="shared" si="4"/>
        <v>5225</v>
      </c>
      <c r="K50" s="12"/>
      <c r="L50" s="24">
        <f t="shared" si="5"/>
        <v>5225</v>
      </c>
      <c r="M50" s="8"/>
      <c r="N50" s="12">
        <f t="shared" si="10"/>
        <v>5225</v>
      </c>
      <c r="O50" s="63"/>
      <c r="P50" s="67"/>
      <c r="Q50" s="1"/>
      <c r="R50" s="1"/>
      <c r="S50" s="8" t="str">
        <f t="shared" si="16"/>
        <v>Meals, Ent</v>
      </c>
      <c r="T50" s="8">
        <f t="shared" si="17"/>
        <v>5225</v>
      </c>
      <c r="V50" s="5"/>
      <c r="W50" s="5"/>
      <c r="X50" s="290">
        <f t="shared" si="12"/>
        <v>0</v>
      </c>
      <c r="Y50" s="8"/>
      <c r="Z50" s="1" t="str">
        <f t="shared" si="8"/>
        <v>Meals, Ent</v>
      </c>
      <c r="AA50" s="1"/>
      <c r="AB50" s="16"/>
      <c r="AC50" s="16"/>
      <c r="AD50" s="16"/>
      <c r="AE50" s="16"/>
      <c r="AF50" s="16">
        <f t="shared" si="9"/>
        <v>0</v>
      </c>
    </row>
    <row r="51" spans="3:32" ht="15">
      <c r="C51" s="1" t="s">
        <v>1832</v>
      </c>
      <c r="D51" s="16">
        <v>1028</v>
      </c>
      <c r="E51" s="24"/>
      <c r="F51" s="190">
        <f t="shared" si="13"/>
        <v>1028</v>
      </c>
      <c r="G51" s="290">
        <f t="shared" si="14"/>
        <v>0</v>
      </c>
      <c r="H51" s="12">
        <f t="shared" si="15"/>
        <v>1028</v>
      </c>
      <c r="I51" s="191">
        <f t="shared" si="3"/>
        <v>0</v>
      </c>
      <c r="J51" s="24">
        <f t="shared" si="4"/>
        <v>1028</v>
      </c>
      <c r="K51" s="12"/>
      <c r="L51" s="24">
        <f t="shared" si="5"/>
        <v>1028</v>
      </c>
      <c r="M51" s="8"/>
      <c r="N51" s="12">
        <f t="shared" si="10"/>
        <v>1028</v>
      </c>
      <c r="O51" s="63"/>
      <c r="P51" s="67"/>
      <c r="Q51" s="1"/>
      <c r="R51" s="1"/>
      <c r="S51" s="8" t="str">
        <f t="shared" si="16"/>
        <v>Business traves</v>
      </c>
      <c r="T51" s="8">
        <f t="shared" si="17"/>
        <v>1028</v>
      </c>
      <c r="V51" s="5"/>
      <c r="W51" s="5"/>
      <c r="X51" s="290">
        <f t="shared" si="12"/>
        <v>0</v>
      </c>
      <c r="Y51" s="8"/>
      <c r="Z51" s="1" t="str">
        <f t="shared" si="8"/>
        <v>Business traves</v>
      </c>
      <c r="AA51" s="1"/>
      <c r="AB51" s="16"/>
      <c r="AC51" s="16"/>
      <c r="AD51" s="16"/>
      <c r="AE51" s="16"/>
      <c r="AF51" s="16">
        <f t="shared" si="9"/>
        <v>0</v>
      </c>
    </row>
    <row r="52" spans="3:32" ht="15">
      <c r="C52" s="1" t="s">
        <v>1833</v>
      </c>
      <c r="D52" s="16">
        <v>9393</v>
      </c>
      <c r="E52" s="24"/>
      <c r="F52" s="190">
        <f t="shared" si="13"/>
        <v>9393</v>
      </c>
      <c r="G52" s="290">
        <f t="shared" si="14"/>
        <v>0</v>
      </c>
      <c r="H52" s="12">
        <f t="shared" si="15"/>
        <v>9393</v>
      </c>
      <c r="I52" s="191">
        <f t="shared" si="3"/>
        <v>0</v>
      </c>
      <c r="J52" s="24">
        <f t="shared" si="4"/>
        <v>9393</v>
      </c>
      <c r="K52" s="12"/>
      <c r="L52" s="24">
        <f t="shared" si="5"/>
        <v>9393</v>
      </c>
      <c r="M52" s="8"/>
      <c r="N52" s="12">
        <f t="shared" si="10"/>
        <v>9393</v>
      </c>
      <c r="O52" s="63"/>
      <c r="P52" s="67"/>
      <c r="Q52" s="1"/>
      <c r="R52" s="1"/>
      <c r="S52" s="8" t="str">
        <f t="shared" si="16"/>
        <v>Utilities</v>
      </c>
      <c r="T52" s="8">
        <f t="shared" si="17"/>
        <v>9393</v>
      </c>
      <c r="V52" s="5"/>
      <c r="W52" s="5"/>
      <c r="X52" s="290">
        <f t="shared" si="12"/>
        <v>0</v>
      </c>
      <c r="Y52" s="8"/>
      <c r="Z52" s="1" t="str">
        <f t="shared" si="8"/>
        <v>Utilities</v>
      </c>
      <c r="AA52" s="1"/>
      <c r="AB52" s="16"/>
      <c r="AC52" s="16"/>
      <c r="AD52" s="16"/>
      <c r="AE52" s="16"/>
      <c r="AF52" s="16">
        <f t="shared" si="9"/>
        <v>0</v>
      </c>
    </row>
    <row r="53" spans="3:32" ht="15" hidden="1">
      <c r="C53" s="1"/>
      <c r="D53" s="16">
        <v>0</v>
      </c>
      <c r="E53" s="24"/>
      <c r="F53" s="190">
        <f t="shared" si="13"/>
        <v>0</v>
      </c>
      <c r="G53" s="290">
        <f t="shared" si="14"/>
        <v>0</v>
      </c>
      <c r="H53" s="12">
        <f t="shared" si="15"/>
        <v>0</v>
      </c>
      <c r="I53" s="191">
        <f t="shared" si="3"/>
        <v>0</v>
      </c>
      <c r="J53" s="24">
        <f t="shared" si="4"/>
        <v>0</v>
      </c>
      <c r="K53" s="12"/>
      <c r="L53" s="24">
        <f t="shared" si="5"/>
        <v>0</v>
      </c>
      <c r="M53" s="8"/>
      <c r="N53" s="12">
        <f t="shared" si="10"/>
        <v>0</v>
      </c>
      <c r="O53" s="63"/>
      <c r="P53" s="67"/>
      <c r="Q53" s="1"/>
      <c r="R53" s="1"/>
      <c r="S53" s="8">
        <f t="shared" si="16"/>
        <v>0</v>
      </c>
      <c r="T53" s="8">
        <f t="shared" si="17"/>
        <v>0</v>
      </c>
      <c r="V53" s="5"/>
      <c r="W53" s="5"/>
      <c r="X53" s="290">
        <f t="shared" si="12"/>
        <v>0</v>
      </c>
      <c r="Y53" s="8"/>
      <c r="Z53" s="1">
        <f t="shared" si="8"/>
        <v>0</v>
      </c>
      <c r="AA53" s="1"/>
      <c r="AB53" s="16"/>
      <c r="AC53" s="16"/>
      <c r="AD53" s="16"/>
      <c r="AE53" s="16"/>
      <c r="AF53" s="16">
        <f t="shared" si="9"/>
        <v>0</v>
      </c>
    </row>
    <row r="54" spans="3:32" ht="15" hidden="1">
      <c r="C54" s="1"/>
      <c r="D54" s="16">
        <v>0</v>
      </c>
      <c r="E54" s="24"/>
      <c r="F54" s="190">
        <f t="shared" si="13"/>
        <v>0</v>
      </c>
      <c r="G54" s="290">
        <f t="shared" si="14"/>
        <v>0</v>
      </c>
      <c r="H54" s="12">
        <f t="shared" si="15"/>
        <v>0</v>
      </c>
      <c r="I54" s="191">
        <f t="shared" si="3"/>
        <v>0</v>
      </c>
      <c r="J54" s="24">
        <f t="shared" si="4"/>
        <v>0</v>
      </c>
      <c r="K54" s="12"/>
      <c r="L54" s="24">
        <f t="shared" si="5"/>
        <v>0</v>
      </c>
      <c r="M54" s="8"/>
      <c r="N54" s="12">
        <f t="shared" si="10"/>
        <v>0</v>
      </c>
      <c r="O54" s="63"/>
      <c r="P54" s="67"/>
      <c r="Q54" s="1"/>
      <c r="R54" s="1"/>
      <c r="S54" s="8">
        <f t="shared" si="16"/>
        <v>0</v>
      </c>
      <c r="T54" s="8">
        <f t="shared" si="17"/>
        <v>0</v>
      </c>
      <c r="V54" s="5"/>
      <c r="W54" s="5"/>
      <c r="X54" s="290">
        <f t="shared" si="12"/>
        <v>0</v>
      </c>
      <c r="Y54" s="8"/>
      <c r="Z54" s="1">
        <f t="shared" si="8"/>
        <v>0</v>
      </c>
      <c r="AA54" s="1"/>
      <c r="AB54" s="16"/>
      <c r="AC54" s="16"/>
      <c r="AD54" s="16"/>
      <c r="AE54" s="16"/>
      <c r="AF54" s="16">
        <f t="shared" si="9"/>
        <v>0</v>
      </c>
    </row>
    <row r="55" spans="3:32" ht="15">
      <c r="C55" s="8" t="s">
        <v>2</v>
      </c>
      <c r="D55" s="28">
        <f>SUM(D16:D54)</f>
        <v>1422456</v>
      </c>
      <c r="E55" s="28"/>
      <c r="F55" s="28">
        <f aca="true" t="shared" si="18" ref="F55:N55">SUM(F16:F54)</f>
        <v>1422456</v>
      </c>
      <c r="G55" s="28">
        <f t="shared" si="18"/>
        <v>-58053</v>
      </c>
      <c r="H55" s="28">
        <f t="shared" si="18"/>
        <v>1364403</v>
      </c>
      <c r="I55" s="28">
        <f t="shared" si="18"/>
        <v>73245.51921962421</v>
      </c>
      <c r="J55" s="28">
        <f t="shared" si="18"/>
        <v>1437648.519219624</v>
      </c>
      <c r="K55" s="28">
        <f t="shared" si="18"/>
        <v>0</v>
      </c>
      <c r="L55" s="28">
        <f t="shared" si="18"/>
        <v>1437648.519219624</v>
      </c>
      <c r="M55" s="28">
        <f t="shared" si="18"/>
        <v>0</v>
      </c>
      <c r="N55" s="28">
        <f t="shared" si="18"/>
        <v>1437648.519219624</v>
      </c>
      <c r="O55" s="66"/>
      <c r="P55" s="65"/>
      <c r="Q55" s="1"/>
      <c r="R55" s="1"/>
      <c r="S55" s="1" t="s">
        <v>2</v>
      </c>
      <c r="T55" s="1"/>
      <c r="U55" s="6">
        <f>SUM(U16:U54)</f>
        <v>-29192</v>
      </c>
      <c r="V55" s="6">
        <f>SUM(V16:V54)</f>
        <v>-19500</v>
      </c>
      <c r="W55" s="6">
        <f>SUM(W16:W54)</f>
        <v>-9361</v>
      </c>
      <c r="X55" s="135">
        <f>SUM(X16:X54)</f>
        <v>-58053</v>
      </c>
      <c r="Y55" s="1"/>
      <c r="Z55" s="1" t="s">
        <v>2</v>
      </c>
      <c r="AA55" s="1"/>
      <c r="AB55" s="35">
        <f>SUM(AB15:AB54)</f>
        <v>67330.63921962421</v>
      </c>
      <c r="AC55" s="35">
        <f>SUM(AC15:AC54)</f>
        <v>3937</v>
      </c>
      <c r="AD55" s="35">
        <f>SUM(AD15:AD54)</f>
        <v>1977.88</v>
      </c>
      <c r="AE55" s="35">
        <f>SUM(AE15:AE54)</f>
        <v>0</v>
      </c>
      <c r="AF55" s="16">
        <f t="shared" si="9"/>
        <v>73245.51921962421</v>
      </c>
    </row>
    <row r="56" spans="3:32" ht="15.75" thickBot="1">
      <c r="C56" s="8" t="s">
        <v>3</v>
      </c>
      <c r="D56" s="27">
        <f>D14-D55</f>
        <v>100095</v>
      </c>
      <c r="E56" s="27"/>
      <c r="F56" s="27">
        <f>F14-F55</f>
        <v>100095</v>
      </c>
      <c r="G56" s="27">
        <f>G14-G55</f>
        <v>-170482</v>
      </c>
      <c r="H56" s="27">
        <f>H14-H55</f>
        <v>-70387</v>
      </c>
      <c r="I56" s="27">
        <f>I14-I55</f>
        <v>-60714.87171962421</v>
      </c>
      <c r="J56" s="27">
        <f>J14-J55</f>
        <v>-131101.87171962415</v>
      </c>
      <c r="K56" s="27"/>
      <c r="L56" s="27">
        <f>L14-L55</f>
        <v>-131101.87171962415</v>
      </c>
      <c r="M56" s="27">
        <f>M14-M55</f>
        <v>138791.81004000004</v>
      </c>
      <c r="N56" s="27">
        <f>N14-N55</f>
        <v>7689.938320375979</v>
      </c>
      <c r="O56" s="64"/>
      <c r="P56" s="64"/>
      <c r="Q56" s="1"/>
      <c r="R56" s="1"/>
      <c r="S56" s="1" t="s">
        <v>3</v>
      </c>
      <c r="T56" s="1"/>
      <c r="U56" s="27">
        <f>U14-U55</f>
        <v>-198939</v>
      </c>
      <c r="V56" s="27">
        <f>V14-V55</f>
        <v>19096</v>
      </c>
      <c r="W56" s="27">
        <f>W14-W55</f>
        <v>9361</v>
      </c>
      <c r="X56" s="27">
        <f>X14-X55</f>
        <v>-170482</v>
      </c>
      <c r="Y56" s="1"/>
      <c r="Z56" s="1" t="s">
        <v>3</v>
      </c>
      <c r="AA56" s="1"/>
      <c r="AB56" s="36">
        <f>AB14-AB55</f>
        <v>-54799.9917196242</v>
      </c>
      <c r="AC56" s="36">
        <f>AC14-AC55</f>
        <v>-3937</v>
      </c>
      <c r="AD56" s="36">
        <f>AD14-AD55</f>
        <v>-1977.88</v>
      </c>
      <c r="AE56" s="36">
        <f>AE14-AE55</f>
        <v>0</v>
      </c>
      <c r="AF56" s="16">
        <f t="shared" si="9"/>
        <v>-60714.8717196242</v>
      </c>
    </row>
    <row r="57" spans="3:32" ht="15.75" thickTop="1">
      <c r="C57" s="8" t="s">
        <v>4</v>
      </c>
      <c r="D57" s="29">
        <f>D55/D14</f>
        <v>0.9342583598184888</v>
      </c>
      <c r="E57" s="29"/>
      <c r="F57" s="29">
        <f>F55/F14</f>
        <v>0.9342583598184888</v>
      </c>
      <c r="G57" s="8"/>
      <c r="H57" s="13">
        <f>H55/H14</f>
        <v>1.0543942269647362</v>
      </c>
      <c r="I57" s="189"/>
      <c r="J57" s="24"/>
      <c r="K57" s="13"/>
      <c r="L57" s="24"/>
      <c r="M57" s="8"/>
      <c r="N57" s="13">
        <f>N55/N14</f>
        <v>0.9946794895823471</v>
      </c>
      <c r="O57" s="66"/>
      <c r="P57" s="68"/>
      <c r="Q57" s="1"/>
      <c r="R57" s="1"/>
      <c r="S57" s="1" t="s">
        <v>4</v>
      </c>
      <c r="T57" s="1"/>
      <c r="U57" s="3"/>
      <c r="V57" s="3"/>
      <c r="W57" s="3"/>
      <c r="X57" s="1"/>
      <c r="Y57" s="1"/>
      <c r="Z57" s="1" t="s">
        <v>4</v>
      </c>
      <c r="AA57" s="1"/>
      <c r="AB57" s="16"/>
      <c r="AC57" s="16"/>
      <c r="AD57" s="16"/>
      <c r="AE57" s="16"/>
      <c r="AF57" s="16"/>
    </row>
    <row r="58" spans="4:16" ht="15">
      <c r="D58" s="7"/>
      <c r="O58" s="15"/>
      <c r="P58" s="15"/>
    </row>
    <row r="59" spans="4:16" ht="15">
      <c r="D59" s="7"/>
      <c r="K59" s="54"/>
      <c r="O59" s="15"/>
      <c r="P59" s="15"/>
    </row>
    <row r="60" spans="3:4" ht="15">
      <c r="C60" s="40"/>
      <c r="D60" s="220"/>
    </row>
    <row r="61" spans="3:12" ht="15">
      <c r="C61" s="40"/>
      <c r="D61" s="40"/>
      <c r="J61" s="13"/>
      <c r="K61" s="13"/>
      <c r="L61" s="13"/>
    </row>
    <row r="62" spans="3:4" ht="15">
      <c r="C62" s="40"/>
      <c r="D62" s="40"/>
    </row>
    <row r="63" spans="3:19" ht="15">
      <c r="C63" s="40"/>
      <c r="D63" s="40"/>
      <c r="S63" s="20"/>
    </row>
  </sheetData>
  <sheetProtection/>
  <printOptions horizontalCentered="1" verticalCentered="1"/>
  <pageMargins left="0.2" right="0.2" top="0" bottom="0" header="0" footer="0"/>
  <pageSetup fitToHeight="1" fitToWidth="1" horizontalDpi="300" verticalDpi="300" orientation="landscape" scale="45" r:id="rId3"/>
  <rowBreaks count="1" manualBreakCount="1">
    <brk id="57" max="255" man="1"/>
  </rowBreaks>
  <colBreaks count="1" manualBreakCount="1">
    <brk id="9" max="94" man="1"/>
  </colBreaks>
  <ignoredErrors>
    <ignoredError sqref="I50:I54 I5:I14 I29:I49 I16:I2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87"/>
  <sheetViews>
    <sheetView zoomScale="110" zoomScaleNormal="110" zoomScalePageLayoutView="0" workbookViewId="0" topLeftCell="A1">
      <pane xSplit="2" ySplit="3" topLeftCell="C53" activePane="bottomRight" state="frozen"/>
      <selection pane="topLeft" activeCell="A5" sqref="A5"/>
      <selection pane="topRight" activeCell="C5" sqref="C5"/>
      <selection pane="bottomLeft" activeCell="A9" sqref="A9"/>
      <selection pane="bottomRight" activeCell="O86" sqref="O86"/>
    </sheetView>
  </sheetViews>
  <sheetFormatPr defaultColWidth="9.77734375" defaultRowHeight="15"/>
  <cols>
    <col min="1" max="1" width="8.4453125" style="77" customWidth="1"/>
    <col min="2" max="2" width="8.6640625" style="77" customWidth="1"/>
    <col min="3" max="3" width="11.21484375" style="77" customWidth="1"/>
    <col min="4" max="4" width="4.88671875" style="77" customWidth="1"/>
    <col min="5" max="5" width="11.21484375" style="78" customWidth="1"/>
    <col min="6" max="6" width="3.4453125" style="77" customWidth="1"/>
    <col min="7" max="7" width="0.9921875" style="77" customWidth="1"/>
    <col min="8" max="8" width="11.99609375" style="79" hidden="1" customWidth="1"/>
    <col min="9" max="9" width="1.1171875" style="77" hidden="1" customWidth="1"/>
    <col min="10" max="10" width="12.21484375" style="77" hidden="1" customWidth="1"/>
    <col min="11" max="11" width="12.77734375" style="77" hidden="1" customWidth="1"/>
    <col min="12" max="12" width="10.5546875" style="80" hidden="1" customWidth="1"/>
    <col min="13" max="13" width="10.88671875" style="77" hidden="1" customWidth="1"/>
    <col min="14" max="19" width="9.77734375" style="77" customWidth="1"/>
    <col min="20" max="20" width="11.77734375" style="77" customWidth="1"/>
    <col min="21" max="16384" width="9.77734375" style="77" customWidth="1"/>
  </cols>
  <sheetData>
    <row r="1" spans="1:25" ht="13.5" customHeight="1">
      <c r="A1" s="81"/>
      <c r="B1" s="81"/>
      <c r="C1" s="82" t="s">
        <v>211</v>
      </c>
      <c r="D1" s="82"/>
      <c r="E1" s="83"/>
      <c r="F1" s="82"/>
      <c r="G1" s="82"/>
      <c r="H1" s="84"/>
      <c r="I1" s="102"/>
      <c r="J1" s="82"/>
      <c r="K1" s="82"/>
      <c r="L1" s="8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">
      <c r="A2" s="81"/>
      <c r="B2" s="81"/>
      <c r="C2" s="82"/>
      <c r="D2" s="82"/>
      <c r="E2" s="88" t="s">
        <v>56</v>
      </c>
      <c r="F2" s="87"/>
      <c r="G2" s="87"/>
      <c r="H2" s="86"/>
      <c r="I2" s="9"/>
      <c r="J2" s="9" t="s">
        <v>101</v>
      </c>
      <c r="K2" s="88" t="s">
        <v>215</v>
      </c>
      <c r="L2" s="8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">
      <c r="A3" s="81"/>
      <c r="B3" s="81"/>
      <c r="C3" s="82" t="s">
        <v>19</v>
      </c>
      <c r="D3" s="82"/>
      <c r="E3" s="88" t="s">
        <v>57</v>
      </c>
      <c r="F3" s="82"/>
      <c r="G3" s="82"/>
      <c r="H3" s="114"/>
      <c r="I3" s="114"/>
      <c r="J3" s="115" t="s">
        <v>58</v>
      </c>
      <c r="K3" s="116" t="s">
        <v>59</v>
      </c>
      <c r="L3" s="85" t="s">
        <v>217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 hidden="1">
      <c r="A4" s="81"/>
      <c r="B4" s="81"/>
      <c r="C4" s="82" t="str">
        <f>ProF!C5</f>
        <v>Solid Waste Rev</v>
      </c>
      <c r="D4" s="82"/>
      <c r="E4" s="83">
        <f>ProF!J5</f>
        <v>1168356</v>
      </c>
      <c r="F4" s="89"/>
      <c r="G4" s="89"/>
      <c r="H4" s="203"/>
      <c r="I4" s="92"/>
      <c r="J4" s="83">
        <f>SUM(H4:I4)</f>
        <v>0</v>
      </c>
      <c r="K4" s="83"/>
      <c r="L4" s="26"/>
      <c r="M4" s="5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 hidden="1">
      <c r="A5" s="81"/>
      <c r="B5" s="81"/>
      <c r="C5" s="82" t="str">
        <f>ProF!C6</f>
        <v>Scrap sales</v>
      </c>
      <c r="D5" s="82"/>
      <c r="E5" s="83">
        <f>ProF!J6</f>
        <v>0</v>
      </c>
      <c r="F5" s="91"/>
      <c r="G5" s="91"/>
      <c r="H5" s="90"/>
      <c r="I5" s="92"/>
      <c r="J5" s="83">
        <f>SUM(H5:I5)</f>
        <v>0</v>
      </c>
      <c r="K5" s="83"/>
      <c r="L5" s="26"/>
      <c r="M5" s="5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 hidden="1">
      <c r="A6" s="81"/>
      <c r="B6" s="81"/>
      <c r="C6" s="82" t="str">
        <f>ProF!C7</f>
        <v>Dump fee pass/thru</v>
      </c>
      <c r="D6" s="82"/>
      <c r="E6" s="83">
        <f>ProF!J7</f>
        <v>132587.64750000002</v>
      </c>
      <c r="F6" s="91"/>
      <c r="G6" s="91"/>
      <c r="H6" s="90"/>
      <c r="I6" s="83"/>
      <c r="J6" s="83">
        <f>SUM(H6:I6)</f>
        <v>0</v>
      </c>
      <c r="K6" s="83"/>
      <c r="L6" s="26"/>
      <c r="M6" s="5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 hidden="1">
      <c r="A7" s="81"/>
      <c r="B7" s="81"/>
      <c r="C7" s="82" t="str">
        <f>ProF!C8</f>
        <v>Finance chgs</v>
      </c>
      <c r="D7" s="82"/>
      <c r="E7" s="83">
        <f>ProF!J8</f>
        <v>5603</v>
      </c>
      <c r="F7" s="202"/>
      <c r="G7" s="202"/>
      <c r="H7" s="203"/>
      <c r="I7" s="92"/>
      <c r="J7" s="83">
        <f>SUM(H7:I7)</f>
        <v>0</v>
      </c>
      <c r="K7" s="83"/>
      <c r="L7" s="26"/>
      <c r="M7" s="58"/>
      <c r="N7" s="82"/>
      <c r="O7" s="82"/>
      <c r="P7" s="82"/>
      <c r="Q7" s="82"/>
      <c r="R7" s="9"/>
      <c r="S7" s="9"/>
      <c r="T7" s="9"/>
      <c r="U7" s="9"/>
      <c r="V7" s="9"/>
      <c r="W7" s="9"/>
      <c r="X7" s="9"/>
      <c r="Y7" s="9"/>
    </row>
    <row r="8" spans="1:25" ht="15" hidden="1">
      <c r="A8" s="81"/>
      <c r="B8" s="81"/>
      <c r="C8" s="82">
        <f>ProF!C9</f>
        <v>0</v>
      </c>
      <c r="E8" s="83">
        <f>ProF!J9</f>
        <v>0</v>
      </c>
      <c r="F8" s="202"/>
      <c r="G8" s="202"/>
      <c r="H8" s="204"/>
      <c r="I8" s="92"/>
      <c r="J8" s="83">
        <f>SUM(I8:I8)</f>
        <v>0</v>
      </c>
      <c r="K8" s="83"/>
      <c r="L8" s="26"/>
      <c r="M8" s="58"/>
      <c r="N8" s="82"/>
      <c r="O8" s="82"/>
      <c r="P8" s="82"/>
      <c r="Q8" s="82"/>
      <c r="R8" s="9"/>
      <c r="S8" s="9"/>
      <c r="T8" s="9"/>
      <c r="U8" s="9"/>
      <c r="V8" s="9"/>
      <c r="W8" s="9"/>
      <c r="X8" s="9"/>
      <c r="Y8" s="9"/>
    </row>
    <row r="9" spans="1:25" ht="15" hidden="1">
      <c r="A9" s="81"/>
      <c r="B9" s="81"/>
      <c r="C9" s="82">
        <f>ProF!C10</f>
        <v>0</v>
      </c>
      <c r="D9" s="82"/>
      <c r="E9" s="83">
        <f>ProF!J10</f>
        <v>0</v>
      </c>
      <c r="F9" s="202"/>
      <c r="G9" s="202"/>
      <c r="H9" s="203"/>
      <c r="I9" s="92"/>
      <c r="J9" s="83"/>
      <c r="K9" s="83"/>
      <c r="L9" s="26"/>
      <c r="M9" s="58"/>
      <c r="N9" s="82"/>
      <c r="O9" s="82"/>
      <c r="P9" s="82"/>
      <c r="Q9" s="82"/>
      <c r="R9" s="9"/>
      <c r="S9" s="9"/>
      <c r="T9" s="9"/>
      <c r="U9" s="9"/>
      <c r="V9" s="9"/>
      <c r="W9" s="9"/>
      <c r="X9" s="9"/>
      <c r="Y9" s="9"/>
    </row>
    <row r="10" spans="1:25" ht="15" hidden="1">
      <c r="A10" s="81"/>
      <c r="B10" s="81"/>
      <c r="C10" s="82" t="str">
        <f>ProF!C11</f>
        <v>interest earned</v>
      </c>
      <c r="D10" s="82"/>
      <c r="E10" s="83">
        <f>ProF!J11</f>
        <v>0</v>
      </c>
      <c r="F10" s="202"/>
      <c r="G10" s="202"/>
      <c r="H10" s="203"/>
      <c r="I10" s="92"/>
      <c r="J10" s="83"/>
      <c r="K10" s="83"/>
      <c r="L10" s="26"/>
      <c r="M10" s="58"/>
      <c r="N10" s="82"/>
      <c r="O10" s="82"/>
      <c r="P10" s="82"/>
      <c r="Q10" s="82"/>
      <c r="R10" s="9"/>
      <c r="S10" s="9"/>
      <c r="T10" s="9"/>
      <c r="U10" s="9"/>
      <c r="V10" s="9"/>
      <c r="W10" s="9"/>
      <c r="X10" s="9"/>
      <c r="Y10" s="9"/>
    </row>
    <row r="11" spans="1:25" ht="15" hidden="1">
      <c r="A11" s="81"/>
      <c r="B11" s="81"/>
      <c r="C11" s="82">
        <f>ProF!C12</f>
        <v>0</v>
      </c>
      <c r="D11" s="82"/>
      <c r="E11" s="83">
        <f>ProF!J12</f>
        <v>0</v>
      </c>
      <c r="F11" s="202"/>
      <c r="G11" s="202"/>
      <c r="H11" s="203"/>
      <c r="I11" s="92"/>
      <c r="J11" s="83"/>
      <c r="K11" s="83"/>
      <c r="L11" s="26"/>
      <c r="M11" s="58"/>
      <c r="N11" s="82"/>
      <c r="O11" s="82"/>
      <c r="P11" s="82"/>
      <c r="Q11" s="82"/>
      <c r="R11" s="9"/>
      <c r="S11" s="9"/>
      <c r="T11" s="9"/>
      <c r="U11" s="9"/>
      <c r="V11" s="9"/>
      <c r="W11" s="9"/>
      <c r="X11" s="9"/>
      <c r="Y11" s="9"/>
    </row>
    <row r="12" spans="1:25" ht="15" hidden="1">
      <c r="A12" s="81"/>
      <c r="B12" s="81"/>
      <c r="C12" s="82"/>
      <c r="D12" s="82"/>
      <c r="E12" s="83"/>
      <c r="F12" s="202"/>
      <c r="G12" s="202"/>
      <c r="H12" s="203"/>
      <c r="I12" s="92"/>
      <c r="J12" s="83"/>
      <c r="K12" s="83"/>
      <c r="L12" s="26"/>
      <c r="M12" s="58"/>
      <c r="N12" s="82"/>
      <c r="O12" s="82"/>
      <c r="P12" s="82"/>
      <c r="Q12" s="82"/>
      <c r="R12" s="9"/>
      <c r="S12" s="9"/>
      <c r="T12" s="9"/>
      <c r="U12" s="9"/>
      <c r="V12" s="9"/>
      <c r="W12" s="9"/>
      <c r="X12" s="9"/>
      <c r="Y12" s="9"/>
    </row>
    <row r="13" spans="1:25" ht="15" hidden="1">
      <c r="A13" s="81"/>
      <c r="B13" s="81"/>
      <c r="C13" s="82"/>
      <c r="D13" s="82"/>
      <c r="E13" s="83"/>
      <c r="F13" s="202"/>
      <c r="G13" s="202"/>
      <c r="H13" s="203"/>
      <c r="I13" s="92"/>
      <c r="J13" s="83"/>
      <c r="K13" s="83"/>
      <c r="L13" s="26"/>
      <c r="M13" s="58"/>
      <c r="N13" s="82"/>
      <c r="O13" s="82"/>
      <c r="P13" s="82"/>
      <c r="Q13" s="82"/>
      <c r="R13" s="9"/>
      <c r="S13" s="9"/>
      <c r="T13" s="9"/>
      <c r="U13" s="9"/>
      <c r="V13" s="9"/>
      <c r="W13" s="9"/>
      <c r="X13" s="9"/>
      <c r="Y13" s="9"/>
    </row>
    <row r="14" spans="1:25" ht="15" hidden="1">
      <c r="A14" s="81"/>
      <c r="B14" s="81"/>
      <c r="C14" s="82"/>
      <c r="D14" s="82"/>
      <c r="E14" s="83"/>
      <c r="F14" s="202"/>
      <c r="G14" s="202"/>
      <c r="H14" s="203"/>
      <c r="I14" s="92"/>
      <c r="J14" s="83"/>
      <c r="K14" s="83"/>
      <c r="L14" s="26"/>
      <c r="M14" s="58"/>
      <c r="N14" s="82"/>
      <c r="O14" s="82"/>
      <c r="P14" s="82"/>
      <c r="Q14" s="82"/>
      <c r="R14" s="9"/>
      <c r="S14" s="9"/>
      <c r="T14" s="9"/>
      <c r="U14" s="9"/>
      <c r="V14" s="9"/>
      <c r="W14" s="9"/>
      <c r="X14" s="9"/>
      <c r="Y14" s="9"/>
    </row>
    <row r="15" spans="1:25" ht="15" hidden="1">
      <c r="A15" s="81"/>
      <c r="B15" s="81"/>
      <c r="C15" s="82" t="str">
        <f>ProF!C13</f>
        <v>Trf stn</v>
      </c>
      <c r="D15" s="82"/>
      <c r="E15" s="83">
        <f>ProF!J13</f>
        <v>0</v>
      </c>
      <c r="F15" s="91"/>
      <c r="G15" s="91"/>
      <c r="H15" s="94"/>
      <c r="I15" s="95"/>
      <c r="J15" s="94"/>
      <c r="K15" s="94"/>
      <c r="L15" s="26"/>
      <c r="M15" s="58"/>
      <c r="N15" s="82"/>
      <c r="O15" s="82"/>
      <c r="P15" s="82"/>
      <c r="Q15" s="82"/>
      <c r="R15" s="9"/>
      <c r="S15" s="9"/>
      <c r="T15" s="9"/>
      <c r="U15" s="9"/>
      <c r="V15" s="9"/>
      <c r="W15" s="9"/>
      <c r="X15" s="9"/>
      <c r="Y15" s="9"/>
    </row>
    <row r="16" spans="1:25" ht="15.75" hidden="1" thickBot="1">
      <c r="A16" s="81"/>
      <c r="C16" s="117" t="str">
        <f>'[1]prof'!A13</f>
        <v>Total Revenue</v>
      </c>
      <c r="D16" s="117"/>
      <c r="E16" s="96">
        <f>SUM(E4:E15)</f>
        <v>1306546.6475</v>
      </c>
      <c r="F16" s="117" t="s">
        <v>60</v>
      </c>
      <c r="G16" s="117"/>
      <c r="H16" s="96">
        <f>SUM(H4:H15)</f>
        <v>0</v>
      </c>
      <c r="I16" s="96">
        <f>SUM(I4:I15)</f>
        <v>0</v>
      </c>
      <c r="J16" s="96">
        <f>SUM(J4:J15)</f>
        <v>0</v>
      </c>
      <c r="K16" s="96">
        <f>SUM(K4:K15)</f>
        <v>0</v>
      </c>
      <c r="L16" s="93">
        <f>E16-J16-K16</f>
        <v>1306546.6475</v>
      </c>
      <c r="M16" s="97"/>
      <c r="N16" s="82"/>
      <c r="O16" s="82"/>
      <c r="P16" s="82"/>
      <c r="Q16" s="82"/>
      <c r="R16" s="9"/>
      <c r="S16" s="9"/>
      <c r="T16" s="9"/>
      <c r="U16" s="9"/>
      <c r="V16" s="9"/>
      <c r="W16" s="9"/>
      <c r="X16" s="9"/>
      <c r="Y16" s="9"/>
    </row>
    <row r="17" spans="1:25" ht="16.5" hidden="1" thickBot="1" thickTop="1">
      <c r="A17" s="81"/>
      <c r="B17" s="81"/>
      <c r="C17" s="82" t="s">
        <v>61</v>
      </c>
      <c r="D17" s="82"/>
      <c r="E17" s="90"/>
      <c r="F17" s="118" t="s">
        <v>62</v>
      </c>
      <c r="G17" s="84"/>
      <c r="H17" s="119">
        <f>H16/$E16</f>
        <v>0</v>
      </c>
      <c r="I17" s="119">
        <f>I16/$E16</f>
        <v>0</v>
      </c>
      <c r="J17" s="119">
        <f>SUM(H17:I17)</f>
        <v>0</v>
      </c>
      <c r="K17" s="119">
        <f>K16/$E16</f>
        <v>0</v>
      </c>
      <c r="L17" s="93">
        <f>J17+K17</f>
        <v>0</v>
      </c>
      <c r="M17" s="82"/>
      <c r="N17" s="82"/>
      <c r="O17" s="82"/>
      <c r="P17" s="82"/>
      <c r="Q17" s="82"/>
      <c r="R17" s="9"/>
      <c r="S17" s="9"/>
      <c r="T17" s="9"/>
      <c r="U17" s="9"/>
      <c r="V17" s="9"/>
      <c r="W17" s="9"/>
      <c r="X17" s="9"/>
      <c r="Y17" s="9"/>
    </row>
    <row r="18" spans="1:25" ht="16.5" hidden="1" thickBot="1" thickTop="1">
      <c r="A18" s="81"/>
      <c r="B18" s="81"/>
      <c r="C18" s="82" t="s">
        <v>92</v>
      </c>
      <c r="D18" s="82"/>
      <c r="E18" s="83"/>
      <c r="F18" s="118" t="s">
        <v>63</v>
      </c>
      <c r="G18" s="84"/>
      <c r="H18" s="119"/>
      <c r="I18" s="119"/>
      <c r="J18" s="119"/>
      <c r="K18" s="119"/>
      <c r="L18" s="93"/>
      <c r="M18" s="82"/>
      <c r="N18" s="82"/>
      <c r="O18" s="82"/>
      <c r="P18" s="82"/>
      <c r="Q18" s="82"/>
      <c r="R18" s="9"/>
      <c r="S18" s="9"/>
      <c r="T18" s="9"/>
      <c r="U18" s="9"/>
      <c r="V18" s="9"/>
      <c r="W18" s="9"/>
      <c r="X18" s="9"/>
      <c r="Y18" s="9"/>
    </row>
    <row r="19" spans="1:25" ht="15.75" customHeight="1" hidden="1" thickBot="1" thickTop="1">
      <c r="A19" s="81"/>
      <c r="B19" s="81"/>
      <c r="C19" s="82" t="s">
        <v>221</v>
      </c>
      <c r="D19" s="82"/>
      <c r="E19" s="83"/>
      <c r="F19" s="118" t="s">
        <v>64</v>
      </c>
      <c r="G19" s="84"/>
      <c r="H19" s="119"/>
      <c r="I19" s="119"/>
      <c r="J19" s="119"/>
      <c r="K19" s="119"/>
      <c r="L19" s="93"/>
      <c r="M19" s="82"/>
      <c r="N19" s="82"/>
      <c r="O19" s="82"/>
      <c r="P19" s="82"/>
      <c r="Q19" s="82"/>
      <c r="R19" s="9"/>
      <c r="S19" s="9"/>
      <c r="T19" s="9"/>
      <c r="U19" s="9"/>
      <c r="V19" s="9"/>
      <c r="W19" s="9"/>
      <c r="X19" s="9"/>
      <c r="Y19" s="9"/>
    </row>
    <row r="20" spans="1:25" ht="15.75" hidden="1" thickTop="1">
      <c r="A20" s="81"/>
      <c r="B20" s="81"/>
      <c r="C20" s="82"/>
      <c r="D20" s="82"/>
      <c r="E20" s="83"/>
      <c r="F20" s="121"/>
      <c r="G20" s="82"/>
      <c r="H20" s="119"/>
      <c r="I20" s="119"/>
      <c r="J20" s="119"/>
      <c r="K20" s="119"/>
      <c r="L20" s="93"/>
      <c r="M20" s="82"/>
      <c r="N20" s="82"/>
      <c r="O20" s="82"/>
      <c r="P20" s="82"/>
      <c r="Q20" s="82"/>
      <c r="R20" s="9"/>
      <c r="S20" s="9"/>
      <c r="T20" s="9"/>
      <c r="U20" s="9"/>
      <c r="V20" s="9"/>
      <c r="W20" s="9"/>
      <c r="X20" s="9"/>
      <c r="Y20" s="9"/>
    </row>
    <row r="21" spans="1:25" ht="15" hidden="1">
      <c r="A21" s="81"/>
      <c r="B21" s="81"/>
      <c r="C21" s="1" t="str">
        <f>ProF!C16</f>
        <v>Wages</v>
      </c>
      <c r="D21" s="82"/>
      <c r="E21" s="83">
        <f>ProF!J16</f>
        <v>189499</v>
      </c>
      <c r="F21" s="120" t="s">
        <v>65</v>
      </c>
      <c r="G21" s="120"/>
      <c r="H21" s="98">
        <f>E21*H17</f>
        <v>0</v>
      </c>
      <c r="I21" s="98"/>
      <c r="J21" s="99"/>
      <c r="K21" s="83"/>
      <c r="L21" s="93"/>
      <c r="M21" s="99"/>
      <c r="N21" s="82"/>
      <c r="O21" s="82"/>
      <c r="P21" s="82"/>
      <c r="Q21" s="82"/>
      <c r="R21" s="9"/>
      <c r="S21" s="9"/>
      <c r="T21" s="9"/>
      <c r="U21" s="9"/>
      <c r="V21" s="9"/>
      <c r="W21" s="9"/>
      <c r="X21" s="9"/>
      <c r="Y21" s="9"/>
    </row>
    <row r="22" spans="1:25" ht="15" hidden="1">
      <c r="A22" s="81"/>
      <c r="B22" s="81"/>
      <c r="C22" s="1" t="str">
        <f>ProF!C17</f>
        <v>Shop wages</v>
      </c>
      <c r="D22" s="82"/>
      <c r="E22" s="83">
        <f>ProF!J17</f>
        <v>98424</v>
      </c>
      <c r="F22" s="121" t="s">
        <v>65</v>
      </c>
      <c r="G22" s="121"/>
      <c r="H22" s="98">
        <v>0</v>
      </c>
      <c r="I22" s="98"/>
      <c r="J22" s="99"/>
      <c r="K22" s="83"/>
      <c r="L22" s="93"/>
      <c r="M22" s="99"/>
      <c r="N22" s="82"/>
      <c r="O22" s="82"/>
      <c r="P22" s="82"/>
      <c r="Q22" s="82"/>
      <c r="R22" s="9"/>
      <c r="S22" s="9"/>
      <c r="T22" s="9"/>
      <c r="U22" s="9"/>
      <c r="V22" s="9"/>
      <c r="W22" s="9"/>
      <c r="X22" s="9"/>
      <c r="Y22" s="9"/>
    </row>
    <row r="23" spans="1:25" ht="15" hidden="1">
      <c r="A23" s="81"/>
      <c r="B23" s="81"/>
      <c r="C23" s="1" t="str">
        <f>ProF!C18</f>
        <v>Fuel expense</v>
      </c>
      <c r="D23" s="82"/>
      <c r="E23" s="83">
        <f>ProF!J18</f>
        <v>77621</v>
      </c>
      <c r="F23" s="121" t="s">
        <v>66</v>
      </c>
      <c r="G23" s="121"/>
      <c r="H23" s="98">
        <v>0</v>
      </c>
      <c r="I23" s="98"/>
      <c r="J23" s="99"/>
      <c r="K23" s="83"/>
      <c r="L23" s="93"/>
      <c r="M23" s="99"/>
      <c r="N23" s="82"/>
      <c r="O23" s="82"/>
      <c r="P23" s="82"/>
      <c r="Q23" s="82"/>
      <c r="R23" s="9"/>
      <c r="S23" s="9"/>
      <c r="T23" s="9"/>
      <c r="U23" s="9"/>
      <c r="V23" s="9"/>
      <c r="W23" s="9"/>
      <c r="X23" s="9"/>
      <c r="Y23" s="9"/>
    </row>
    <row r="24" spans="1:25" ht="15" hidden="1">
      <c r="A24" s="81"/>
      <c r="B24" s="81"/>
      <c r="C24" s="1" t="str">
        <f>ProF!C19</f>
        <v>Insurance</v>
      </c>
      <c r="D24" s="82"/>
      <c r="E24" s="83">
        <f>ProF!J19</f>
        <v>35218</v>
      </c>
      <c r="F24" s="121" t="s">
        <v>66</v>
      </c>
      <c r="G24" s="121"/>
      <c r="H24" s="98"/>
      <c r="I24" s="98"/>
      <c r="J24" s="99"/>
      <c r="K24" s="83"/>
      <c r="L24" s="93"/>
      <c r="M24" s="99"/>
      <c r="N24" s="82"/>
      <c r="O24" s="82"/>
      <c r="P24" s="82"/>
      <c r="Q24" s="82"/>
      <c r="R24" s="9"/>
      <c r="S24" s="9"/>
      <c r="T24" s="9"/>
      <c r="U24" s="9"/>
      <c r="V24" s="9"/>
      <c r="W24" s="9"/>
      <c r="X24" s="9"/>
      <c r="Y24" s="9"/>
    </row>
    <row r="25" spans="1:25" ht="15" hidden="1">
      <c r="A25" s="81"/>
      <c r="B25" s="81"/>
      <c r="C25" s="1" t="str">
        <f>ProF!C20</f>
        <v>Sanitation exp</v>
      </c>
      <c r="D25" s="82"/>
      <c r="E25" s="83">
        <f>ProF!J20</f>
        <v>0</v>
      </c>
      <c r="F25" s="121" t="s">
        <v>62</v>
      </c>
      <c r="G25" s="121"/>
      <c r="H25" s="98">
        <f>E25*H17</f>
        <v>0</v>
      </c>
      <c r="I25" s="98"/>
      <c r="J25" s="99"/>
      <c r="K25" s="83"/>
      <c r="L25" s="93"/>
      <c r="M25" s="99"/>
      <c r="N25" s="82"/>
      <c r="O25" s="82"/>
      <c r="P25" s="82"/>
      <c r="Q25" s="82"/>
      <c r="R25" s="9"/>
      <c r="S25" s="9"/>
      <c r="T25" s="9"/>
      <c r="U25" s="9"/>
      <c r="V25" s="9"/>
      <c r="W25" s="9"/>
      <c r="X25" s="9"/>
      <c r="Y25" s="9"/>
    </row>
    <row r="26" spans="1:25" ht="15" hidden="1">
      <c r="A26" s="81"/>
      <c r="B26" s="81"/>
      <c r="C26" s="1" t="str">
        <f>ProF!C21</f>
        <v>Septic exp</v>
      </c>
      <c r="D26" s="82"/>
      <c r="E26" s="83">
        <f>ProF!J21</f>
        <v>0</v>
      </c>
      <c r="F26" s="121" t="s">
        <v>62</v>
      </c>
      <c r="G26" s="121"/>
      <c r="H26" s="98">
        <f>E26*H17</f>
        <v>0</v>
      </c>
      <c r="I26" s="98"/>
      <c r="J26" s="99"/>
      <c r="K26" s="83"/>
      <c r="L26" s="93"/>
      <c r="M26" s="99"/>
      <c r="N26" s="82"/>
      <c r="O26" s="82"/>
      <c r="P26" s="82"/>
      <c r="Q26" s="82"/>
      <c r="R26" s="9"/>
      <c r="S26" s="9"/>
      <c r="T26" s="9"/>
      <c r="U26" s="9"/>
      <c r="V26" s="9"/>
      <c r="W26" s="9"/>
      <c r="X26" s="9"/>
      <c r="Y26" s="9"/>
    </row>
    <row r="27" spans="1:25" ht="15" hidden="1">
      <c r="A27" s="81"/>
      <c r="B27" s="81"/>
      <c r="C27" s="1" t="str">
        <f>ProF!C22</f>
        <v>Shop expense</v>
      </c>
      <c r="D27" s="82"/>
      <c r="E27" s="83">
        <f>ProF!J22</f>
        <v>22355</v>
      </c>
      <c r="F27" s="120" t="s">
        <v>62</v>
      </c>
      <c r="G27" s="121"/>
      <c r="H27" s="98">
        <f>E27*H17</f>
        <v>0</v>
      </c>
      <c r="I27" s="98"/>
      <c r="J27" s="99"/>
      <c r="K27" s="83"/>
      <c r="L27" s="93"/>
      <c r="M27" s="99"/>
      <c r="N27" s="82"/>
      <c r="O27" s="82"/>
      <c r="P27" s="82"/>
      <c r="Q27" s="82"/>
      <c r="R27" s="82"/>
      <c r="S27" s="9"/>
      <c r="T27" s="9"/>
      <c r="U27" s="9"/>
      <c r="V27" s="9"/>
      <c r="W27" s="9"/>
      <c r="X27" s="9"/>
      <c r="Y27" s="9"/>
    </row>
    <row r="28" spans="1:25" ht="15" hidden="1">
      <c r="A28" s="81"/>
      <c r="B28" s="81"/>
      <c r="C28" s="1" t="str">
        <f>ProF!C23</f>
        <v>Scrap expenses</v>
      </c>
      <c r="D28" s="82"/>
      <c r="E28" s="83">
        <f>ProF!J23</f>
        <v>0</v>
      </c>
      <c r="F28" s="121" t="s">
        <v>62</v>
      </c>
      <c r="G28" s="121"/>
      <c r="H28" s="90">
        <f>E28*H17</f>
        <v>0</v>
      </c>
      <c r="I28" s="90"/>
      <c r="J28" s="99"/>
      <c r="K28" s="83"/>
      <c r="L28" s="93"/>
      <c r="M28" s="99"/>
      <c r="N28" s="82"/>
      <c r="O28" s="82"/>
      <c r="P28" s="82"/>
      <c r="Q28" s="82"/>
      <c r="R28" s="82"/>
      <c r="S28" s="9"/>
      <c r="T28" s="9"/>
      <c r="U28" s="9"/>
      <c r="V28" s="9"/>
      <c r="W28" s="9"/>
      <c r="X28" s="9"/>
      <c r="Y28" s="9"/>
    </row>
    <row r="29" spans="1:25" ht="15" hidden="1">
      <c r="A29" s="81"/>
      <c r="B29" s="81"/>
      <c r="C29" s="1" t="str">
        <f>ProF!C24</f>
        <v>Rep &amp; Maint</v>
      </c>
      <c r="D29" s="82"/>
      <c r="E29" s="83">
        <f>ProF!J24</f>
        <v>73291</v>
      </c>
      <c r="F29" s="121" t="s">
        <v>62</v>
      </c>
      <c r="G29" s="121"/>
      <c r="H29" s="90">
        <f>E29*H17</f>
        <v>0</v>
      </c>
      <c r="I29" s="90"/>
      <c r="J29" s="99"/>
      <c r="K29" s="83"/>
      <c r="L29" s="93"/>
      <c r="M29" s="99"/>
      <c r="N29" s="82"/>
      <c r="O29" s="82"/>
      <c r="P29" s="82"/>
      <c r="Q29" s="82"/>
      <c r="R29" s="82"/>
      <c r="S29" s="9"/>
      <c r="T29" s="9"/>
      <c r="U29" s="9"/>
      <c r="V29" s="9"/>
      <c r="W29" s="9"/>
      <c r="X29" s="9"/>
      <c r="Y29" s="9"/>
    </row>
    <row r="30" spans="1:25" ht="15" hidden="1">
      <c r="A30" s="81"/>
      <c r="B30" s="81"/>
      <c r="C30" s="1" t="str">
        <f>ProF!C25</f>
        <v>Supplies</v>
      </c>
      <c r="D30" s="82"/>
      <c r="E30" s="83">
        <f>ProF!J25</f>
        <v>1015</v>
      </c>
      <c r="F30" s="121" t="s">
        <v>62</v>
      </c>
      <c r="G30" s="121"/>
      <c r="H30" s="98">
        <f>E30*H17</f>
        <v>0</v>
      </c>
      <c r="I30" s="99"/>
      <c r="J30" s="99"/>
      <c r="K30" s="83"/>
      <c r="L30" s="93"/>
      <c r="M30" s="99"/>
      <c r="N30" s="82"/>
      <c r="O30" s="82"/>
      <c r="P30" s="82"/>
      <c r="Q30" s="82"/>
      <c r="R30" s="82"/>
      <c r="S30" s="9"/>
      <c r="T30" s="9"/>
      <c r="U30" s="9"/>
      <c r="V30" s="9"/>
      <c r="W30" s="9"/>
      <c r="X30" s="9"/>
      <c r="Y30" s="9"/>
    </row>
    <row r="31" spans="1:25" ht="15" hidden="1">
      <c r="A31" s="81"/>
      <c r="B31" s="81"/>
      <c r="C31" s="1" t="str">
        <f>ProF!C26</f>
        <v>Disposal fees</v>
      </c>
      <c r="D31" s="82"/>
      <c r="E31" s="83">
        <f>ProF!J26</f>
        <v>393597.9917196242</v>
      </c>
      <c r="F31" s="120" t="s">
        <v>64</v>
      </c>
      <c r="G31" s="121"/>
      <c r="H31" s="98">
        <v>0</v>
      </c>
      <c r="I31" s="98"/>
      <c r="J31" s="99"/>
      <c r="K31" s="83"/>
      <c r="L31" s="93"/>
      <c r="M31" s="99"/>
      <c r="N31" s="82"/>
      <c r="O31" s="82"/>
      <c r="P31" s="82"/>
      <c r="Q31" s="82"/>
      <c r="R31" s="82"/>
      <c r="S31" s="9"/>
      <c r="T31" s="9"/>
      <c r="U31" s="9"/>
      <c r="V31" s="9"/>
      <c r="W31" s="9"/>
      <c r="X31" s="9"/>
      <c r="Y31" s="9"/>
    </row>
    <row r="32" spans="1:25" ht="15" hidden="1">
      <c r="A32" s="81"/>
      <c r="B32" s="81"/>
      <c r="C32" s="1"/>
      <c r="D32" s="82"/>
      <c r="E32" s="83">
        <f>ProF!J27</f>
        <v>132587.64750000002</v>
      </c>
      <c r="F32" s="120" t="s">
        <v>62</v>
      </c>
      <c r="G32" s="121"/>
      <c r="H32" s="98">
        <f>E32*H17</f>
        <v>0</v>
      </c>
      <c r="I32" s="98"/>
      <c r="J32" s="99"/>
      <c r="K32" s="90"/>
      <c r="L32" s="93"/>
      <c r="M32" s="99"/>
      <c r="N32" s="82"/>
      <c r="O32" s="82"/>
      <c r="P32" s="82"/>
      <c r="Q32" s="82"/>
      <c r="R32" s="82"/>
      <c r="S32" s="9"/>
      <c r="T32" s="9"/>
      <c r="U32" s="9"/>
      <c r="V32" s="9"/>
      <c r="W32" s="9"/>
      <c r="X32" s="9"/>
      <c r="Y32" s="9"/>
    </row>
    <row r="33" spans="1:25" ht="15" hidden="1">
      <c r="A33" s="81"/>
      <c r="B33" s="81"/>
      <c r="C33" s="1" t="str">
        <f>ProF!C28</f>
        <v>Advertising</v>
      </c>
      <c r="D33" s="82"/>
      <c r="E33" s="83">
        <f>ProF!J28</f>
        <v>585</v>
      </c>
      <c r="F33" s="120" t="s">
        <v>64</v>
      </c>
      <c r="G33" s="121"/>
      <c r="H33" s="98">
        <v>0</v>
      </c>
      <c r="I33" s="98"/>
      <c r="J33" s="99"/>
      <c r="K33" s="90"/>
      <c r="L33" s="93"/>
      <c r="M33" s="99"/>
      <c r="N33" s="82"/>
      <c r="O33" s="82"/>
      <c r="P33" s="82"/>
      <c r="Q33" s="82"/>
      <c r="R33" s="82"/>
      <c r="S33" s="9"/>
      <c r="T33" s="9"/>
      <c r="U33" s="9"/>
      <c r="V33" s="9"/>
      <c r="W33" s="9"/>
      <c r="X33" s="9"/>
      <c r="Y33" s="9"/>
    </row>
    <row r="34" spans="1:25" ht="15" hidden="1">
      <c r="A34" s="81"/>
      <c r="B34" s="81"/>
      <c r="C34" s="1" t="str">
        <f>ProF!C29</f>
        <v>Bad Debt</v>
      </c>
      <c r="D34" s="82"/>
      <c r="E34" s="83">
        <f>ProF!J29</f>
        <v>9925</v>
      </c>
      <c r="F34" s="122" t="s">
        <v>64</v>
      </c>
      <c r="G34" s="121"/>
      <c r="H34" s="98">
        <v>0</v>
      </c>
      <c r="I34" s="98"/>
      <c r="J34" s="99"/>
      <c r="K34" s="83"/>
      <c r="L34" s="93"/>
      <c r="M34" s="99"/>
      <c r="N34" s="82"/>
      <c r="O34" s="82"/>
      <c r="P34" s="82"/>
      <c r="Q34" s="82"/>
      <c r="R34" s="82"/>
      <c r="S34" s="9"/>
      <c r="T34" s="9"/>
      <c r="U34" s="9"/>
      <c r="V34" s="9"/>
      <c r="W34" s="9"/>
      <c r="X34" s="9"/>
      <c r="Y34" s="9"/>
    </row>
    <row r="35" spans="1:25" ht="15" hidden="1">
      <c r="A35" s="81"/>
      <c r="B35" s="81"/>
      <c r="C35" s="1" t="str">
        <f>ProF!C30</f>
        <v>Bank fees</v>
      </c>
      <c r="D35" s="82"/>
      <c r="E35" s="83">
        <f>ProF!J30</f>
        <v>34</v>
      </c>
      <c r="F35" s="120" t="s">
        <v>62</v>
      </c>
      <c r="G35" s="121"/>
      <c r="H35" s="98">
        <f>E35*H17</f>
        <v>0</v>
      </c>
      <c r="I35" s="98"/>
      <c r="J35" s="99"/>
      <c r="K35" s="83"/>
      <c r="L35" s="93"/>
      <c r="M35" s="99"/>
      <c r="N35" s="82"/>
      <c r="O35" s="82"/>
      <c r="P35" s="82"/>
      <c r="Q35" s="82"/>
      <c r="R35" s="82"/>
      <c r="S35" s="9"/>
      <c r="T35" s="9"/>
      <c r="U35" s="9"/>
      <c r="V35" s="9"/>
      <c r="W35" s="9"/>
      <c r="X35" s="9"/>
      <c r="Y35" s="9"/>
    </row>
    <row r="36" spans="1:25" ht="15" hidden="1">
      <c r="A36" s="81"/>
      <c r="B36" s="81"/>
      <c r="C36" s="1" t="str">
        <f>ProF!C31</f>
        <v>Contrib</v>
      </c>
      <c r="D36" s="82"/>
      <c r="E36" s="83">
        <f>ProF!J31</f>
        <v>400</v>
      </c>
      <c r="F36" s="120" t="s">
        <v>65</v>
      </c>
      <c r="G36" s="121"/>
      <c r="H36" s="98">
        <v>0</v>
      </c>
      <c r="I36" s="98"/>
      <c r="J36" s="99"/>
      <c r="K36" s="83"/>
      <c r="L36" s="93"/>
      <c r="M36" s="99"/>
      <c r="N36" s="82"/>
      <c r="O36" s="82"/>
      <c r="P36" s="82"/>
      <c r="Q36" s="82"/>
      <c r="R36" s="82"/>
      <c r="S36" s="9"/>
      <c r="T36" s="9"/>
      <c r="U36" s="9"/>
      <c r="V36" s="9"/>
      <c r="W36" s="9"/>
      <c r="X36" s="9"/>
      <c r="Y36" s="9"/>
    </row>
    <row r="37" spans="1:25" ht="15" hidden="1">
      <c r="A37" s="81"/>
      <c r="B37" s="81"/>
      <c r="C37" s="1" t="str">
        <f>ProF!C32</f>
        <v>Computer support</v>
      </c>
      <c r="D37" s="82"/>
      <c r="E37" s="83">
        <f>ProF!J32</f>
        <v>3865</v>
      </c>
      <c r="F37" s="120" t="s">
        <v>62</v>
      </c>
      <c r="G37" s="121"/>
      <c r="H37" s="98">
        <v>0</v>
      </c>
      <c r="I37" s="98"/>
      <c r="J37" s="99"/>
      <c r="K37" s="83"/>
      <c r="L37" s="83"/>
      <c r="M37" s="99"/>
      <c r="N37" s="82"/>
      <c r="O37" s="82"/>
      <c r="P37" s="82"/>
      <c r="Q37" s="82"/>
      <c r="R37" s="82"/>
      <c r="S37" s="9"/>
      <c r="T37" s="9"/>
      <c r="U37" s="9"/>
      <c r="V37" s="9"/>
      <c r="W37" s="9"/>
      <c r="X37" s="9"/>
      <c r="Y37" s="9"/>
    </row>
    <row r="38" spans="1:25" ht="15" hidden="1">
      <c r="A38" s="81"/>
      <c r="B38" s="81"/>
      <c r="C38" s="1" t="str">
        <f>ProF!C33</f>
        <v>Depreciation</v>
      </c>
      <c r="D38" s="82"/>
      <c r="E38" s="83">
        <f>ProF!J33</f>
        <v>115517</v>
      </c>
      <c r="F38" s="120" t="s">
        <v>62</v>
      </c>
      <c r="G38" s="121"/>
      <c r="H38" s="98">
        <v>0</v>
      </c>
      <c r="I38" s="98"/>
      <c r="J38" s="99"/>
      <c r="K38" s="83"/>
      <c r="L38" s="93"/>
      <c r="M38" s="99"/>
      <c r="N38" s="82"/>
      <c r="O38" s="82"/>
      <c r="P38" s="82"/>
      <c r="Q38" s="82"/>
      <c r="R38" s="82"/>
      <c r="S38" s="9"/>
      <c r="T38" s="9"/>
      <c r="U38" s="9"/>
      <c r="V38" s="9"/>
      <c r="W38" s="9"/>
      <c r="X38" s="9"/>
      <c r="Y38" s="9"/>
    </row>
    <row r="39" spans="1:25" ht="15" hidden="1">
      <c r="A39" s="81"/>
      <c r="B39" s="81"/>
      <c r="C39" s="1" t="str">
        <f>ProF!C27</f>
        <v>D/f pass thru</v>
      </c>
      <c r="D39" s="82"/>
      <c r="E39" s="83">
        <f>ProF!J34</f>
        <v>0</v>
      </c>
      <c r="F39" s="122" t="s">
        <v>64</v>
      </c>
      <c r="G39" s="121"/>
      <c r="H39" s="98"/>
      <c r="I39" s="98"/>
      <c r="J39" s="99"/>
      <c r="K39" s="83"/>
      <c r="L39" s="93"/>
      <c r="M39" s="99"/>
      <c r="N39" s="82"/>
      <c r="O39" s="82"/>
      <c r="P39" s="82"/>
      <c r="Q39" s="82"/>
      <c r="R39" s="82"/>
      <c r="S39" s="9"/>
      <c r="T39" s="9"/>
      <c r="U39" s="9"/>
      <c r="V39" s="9"/>
      <c r="W39" s="9"/>
      <c r="X39" s="9"/>
      <c r="Y39" s="9"/>
    </row>
    <row r="40" spans="1:25" ht="15" hidden="1">
      <c r="A40" s="81"/>
      <c r="B40" s="81"/>
      <c r="C40" s="1" t="str">
        <f>ProF!C35</f>
        <v>Dues &amp; Subs</v>
      </c>
      <c r="D40" s="82"/>
      <c r="E40" s="83">
        <f>ProF!J35</f>
        <v>752</v>
      </c>
      <c r="F40" s="122" t="s">
        <v>62</v>
      </c>
      <c r="G40" s="121"/>
      <c r="H40" s="98">
        <f>E40*H17</f>
        <v>0</v>
      </c>
      <c r="I40" s="98"/>
      <c r="J40" s="99"/>
      <c r="K40" s="83"/>
      <c r="L40" s="93"/>
      <c r="M40" s="100"/>
      <c r="N40" s="101"/>
      <c r="O40" s="82"/>
      <c r="P40" s="82"/>
      <c r="Q40" s="82"/>
      <c r="R40" s="82"/>
      <c r="S40" s="9"/>
      <c r="T40" s="9"/>
      <c r="U40" s="9"/>
      <c r="V40" s="9"/>
      <c r="W40" s="9"/>
      <c r="X40" s="9"/>
      <c r="Y40" s="9"/>
    </row>
    <row r="41" spans="1:25" ht="15" hidden="1">
      <c r="A41" s="81"/>
      <c r="B41" s="81"/>
      <c r="C41" s="1">
        <f>ProF!C36</f>
        <v>0</v>
      </c>
      <c r="D41" s="82"/>
      <c r="E41" s="83">
        <f>ProF!J36</f>
        <v>0</v>
      </c>
      <c r="F41" s="120" t="s">
        <v>65</v>
      </c>
      <c r="G41" s="121"/>
      <c r="H41" s="98"/>
      <c r="I41" s="98"/>
      <c r="J41" s="99"/>
      <c r="K41" s="83"/>
      <c r="L41" s="93"/>
      <c r="M41" s="99"/>
      <c r="N41" s="82"/>
      <c r="O41" s="82"/>
      <c r="P41" s="82"/>
      <c r="Q41" s="82"/>
      <c r="R41" s="82"/>
      <c r="S41" s="9"/>
      <c r="T41" s="9"/>
      <c r="U41" s="9"/>
      <c r="V41" s="9"/>
      <c r="W41" s="9"/>
      <c r="X41" s="9"/>
      <c r="Y41" s="9"/>
    </row>
    <row r="42" spans="1:25" ht="15" hidden="1">
      <c r="A42" s="81"/>
      <c r="B42" s="81"/>
      <c r="C42" s="1" t="str">
        <f>ProF!C37</f>
        <v>Employee Benefits</v>
      </c>
      <c r="D42" s="82"/>
      <c r="E42" s="83">
        <f>ProF!J37</f>
        <v>480</v>
      </c>
      <c r="F42" s="120" t="s">
        <v>64</v>
      </c>
      <c r="G42" s="121"/>
      <c r="H42" s="98">
        <v>0</v>
      </c>
      <c r="I42" s="98"/>
      <c r="J42" s="99"/>
      <c r="K42" s="83"/>
      <c r="L42" s="93"/>
      <c r="M42" s="99"/>
      <c r="N42" s="82"/>
      <c r="O42" s="82"/>
      <c r="P42" s="82"/>
      <c r="Q42" s="82"/>
      <c r="R42" s="82"/>
      <c r="S42" s="9"/>
      <c r="T42" s="9"/>
      <c r="U42" s="9"/>
      <c r="V42" s="9"/>
      <c r="W42" s="9"/>
      <c r="X42" s="9"/>
      <c r="Y42" s="9"/>
    </row>
    <row r="43" spans="1:25" ht="15" hidden="1">
      <c r="A43" s="81"/>
      <c r="B43" s="81"/>
      <c r="C43" s="1" t="str">
        <f>ProF!C38</f>
        <v>Interest exp</v>
      </c>
      <c r="D43" s="82"/>
      <c r="E43" s="83">
        <f>ProF!J38</f>
        <v>112</v>
      </c>
      <c r="F43" s="120" t="s">
        <v>62</v>
      </c>
      <c r="G43" s="121"/>
      <c r="H43" s="98">
        <f>E43*H17</f>
        <v>0</v>
      </c>
      <c r="I43" s="98"/>
      <c r="J43" s="99"/>
      <c r="K43" s="83"/>
      <c r="L43" s="93"/>
      <c r="M43" s="99"/>
      <c r="N43" s="82"/>
      <c r="O43" s="82"/>
      <c r="P43" s="82"/>
      <c r="Q43" s="82"/>
      <c r="R43" s="82"/>
      <c r="S43" s="82"/>
      <c r="T43" s="82"/>
      <c r="U43" s="82"/>
      <c r="V43" s="82"/>
      <c r="W43" s="9"/>
      <c r="X43" s="9"/>
      <c r="Y43" s="9"/>
    </row>
    <row r="44" spans="1:25" ht="15" hidden="1">
      <c r="A44" s="81"/>
      <c r="B44" s="81"/>
      <c r="C44" s="1"/>
      <c r="D44" s="82"/>
      <c r="E44" s="83"/>
      <c r="F44" s="120"/>
      <c r="G44" s="121"/>
      <c r="H44" s="98"/>
      <c r="I44" s="98"/>
      <c r="J44" s="99"/>
      <c r="K44" s="83"/>
      <c r="L44" s="93"/>
      <c r="M44" s="99"/>
      <c r="N44" s="82"/>
      <c r="O44" s="82"/>
      <c r="P44" s="82"/>
      <c r="Q44" s="82"/>
      <c r="R44" s="82"/>
      <c r="S44" s="82"/>
      <c r="T44" s="82"/>
      <c r="U44" s="82"/>
      <c r="V44" s="82"/>
      <c r="W44" s="9"/>
      <c r="X44" s="9"/>
      <c r="Y44" s="9"/>
    </row>
    <row r="45" spans="1:25" ht="15" hidden="1">
      <c r="A45" s="81"/>
      <c r="B45" s="81"/>
      <c r="C45" s="1" t="str">
        <f>ProF!C39</f>
        <v>Office exp</v>
      </c>
      <c r="D45" s="102"/>
      <c r="E45" s="83">
        <f>ProF!J39</f>
        <v>13998.880000000001</v>
      </c>
      <c r="F45" s="123" t="str">
        <f>F17</f>
        <v>A</v>
      </c>
      <c r="G45" s="123"/>
      <c r="H45" s="98">
        <f>E45*H17</f>
        <v>0</v>
      </c>
      <c r="I45" s="98"/>
      <c r="J45" s="99"/>
      <c r="K45" s="83"/>
      <c r="L45" s="93"/>
      <c r="M45" s="99"/>
      <c r="N45" s="82"/>
      <c r="O45" s="82"/>
      <c r="P45" s="82"/>
      <c r="Q45" s="82"/>
      <c r="R45" s="82"/>
      <c r="S45" s="82"/>
      <c r="T45" s="82"/>
      <c r="U45" s="82"/>
      <c r="V45" s="82"/>
      <c r="W45" s="9"/>
      <c r="X45" s="9"/>
      <c r="Y45" s="9"/>
    </row>
    <row r="46" spans="1:25" ht="15" hidden="1">
      <c r="A46" s="81"/>
      <c r="B46" s="81"/>
      <c r="C46" s="1" t="str">
        <f>ProF!C40</f>
        <v>Office wages</v>
      </c>
      <c r="D46" s="82"/>
      <c r="E46" s="83">
        <f>ProF!J40</f>
        <v>78763</v>
      </c>
      <c r="F46" s="121" t="str">
        <f>F43</f>
        <v>A</v>
      </c>
      <c r="G46" s="121"/>
      <c r="H46" s="98">
        <v>0</v>
      </c>
      <c r="I46" s="98"/>
      <c r="J46" s="99"/>
      <c r="K46" s="83"/>
      <c r="L46" s="93"/>
      <c r="M46" s="99"/>
      <c r="N46" s="82"/>
      <c r="O46" s="82"/>
      <c r="P46" s="82"/>
      <c r="Q46" s="82"/>
      <c r="R46" s="82"/>
      <c r="S46" s="82"/>
      <c r="T46" s="82"/>
      <c r="U46" s="82"/>
      <c r="V46" s="82"/>
      <c r="W46" s="9"/>
      <c r="X46" s="9"/>
      <c r="Y46" s="9"/>
    </row>
    <row r="47" spans="1:25" ht="15" hidden="1">
      <c r="A47" s="81"/>
      <c r="B47" s="81"/>
      <c r="C47" s="1" t="str">
        <f>ProF!C41</f>
        <v>Ofcr Salary</v>
      </c>
      <c r="D47" s="82"/>
      <c r="E47" s="83">
        <f>ProF!J41</f>
        <v>56000</v>
      </c>
      <c r="F47" s="121">
        <f>F44</f>
        <v>0</v>
      </c>
      <c r="G47" s="121"/>
      <c r="H47" s="98">
        <f>E47*H17</f>
        <v>0</v>
      </c>
      <c r="I47" s="98"/>
      <c r="J47" s="99"/>
      <c r="K47" s="83"/>
      <c r="L47" s="93"/>
      <c r="M47" s="99"/>
      <c r="N47" s="82"/>
      <c r="O47" s="82"/>
      <c r="P47" s="82"/>
      <c r="Q47" s="82"/>
      <c r="R47" s="82"/>
      <c r="S47" s="82"/>
      <c r="T47" s="82"/>
      <c r="U47" s="82"/>
      <c r="V47" s="82"/>
      <c r="W47" s="9"/>
      <c r="X47" s="9"/>
      <c r="Y47" s="9"/>
    </row>
    <row r="48" spans="1:25" ht="15" hidden="1">
      <c r="A48" s="81"/>
      <c r="B48" s="81"/>
      <c r="C48" s="1" t="str">
        <f>ProF!C42</f>
        <v>Postage</v>
      </c>
      <c r="D48" s="82"/>
      <c r="E48" s="83">
        <f>ProF!J42</f>
        <v>11940</v>
      </c>
      <c r="F48" s="121" t="str">
        <f>F40</f>
        <v>A</v>
      </c>
      <c r="G48" s="121"/>
      <c r="H48" s="274">
        <f>E48*H17</f>
        <v>0</v>
      </c>
      <c r="I48" s="98"/>
      <c r="J48" s="99"/>
      <c r="K48" s="83"/>
      <c r="L48" s="93"/>
      <c r="M48" s="99"/>
      <c r="N48" s="82"/>
      <c r="O48" s="82"/>
      <c r="P48" s="82"/>
      <c r="Q48" s="82"/>
      <c r="R48" s="82"/>
      <c r="S48" s="82"/>
      <c r="T48" s="82"/>
      <c r="U48" s="82"/>
      <c r="V48" s="82"/>
      <c r="W48" s="9"/>
      <c r="X48" s="9"/>
      <c r="Y48" s="9"/>
    </row>
    <row r="49" spans="1:25" ht="15" hidden="1">
      <c r="A49" s="81"/>
      <c r="B49" s="81"/>
      <c r="C49" s="1" t="str">
        <f>ProF!C43</f>
        <v>Prof fees</v>
      </c>
      <c r="D49" s="82"/>
      <c r="E49" s="83">
        <f>ProF!J43</f>
        <v>5497</v>
      </c>
      <c r="F49" s="121" t="s">
        <v>62</v>
      </c>
      <c r="G49" s="121"/>
      <c r="H49" s="98">
        <v>0</v>
      </c>
      <c r="I49" s="98"/>
      <c r="J49" s="99"/>
      <c r="K49" s="83"/>
      <c r="L49" s="93"/>
      <c r="M49" s="99"/>
      <c r="N49" s="103"/>
      <c r="O49" s="103"/>
      <c r="P49" s="82"/>
      <c r="Q49" s="82"/>
      <c r="R49" s="82"/>
      <c r="S49" s="82"/>
      <c r="T49" s="82"/>
      <c r="U49" s="82"/>
      <c r="V49" s="82"/>
      <c r="W49" s="9"/>
      <c r="X49" s="9"/>
      <c r="Y49" s="9"/>
    </row>
    <row r="50" spans="1:25" ht="15" hidden="1">
      <c r="A50" s="81"/>
      <c r="B50" s="81"/>
      <c r="C50" s="1" t="str">
        <f>ProF!C44</f>
        <v>Rent</v>
      </c>
      <c r="D50" s="82"/>
      <c r="E50" s="83">
        <f>ProF!J44</f>
        <v>0</v>
      </c>
      <c r="F50" s="121" t="s">
        <v>62</v>
      </c>
      <c r="G50" s="121"/>
      <c r="H50" s="98">
        <v>0</v>
      </c>
      <c r="I50" s="98"/>
      <c r="J50" s="99"/>
      <c r="K50" s="83"/>
      <c r="L50" s="93"/>
      <c r="M50" s="99"/>
      <c r="N50" s="82"/>
      <c r="O50" s="82"/>
      <c r="P50" s="82"/>
      <c r="Q50" s="82"/>
      <c r="R50" s="82"/>
      <c r="S50" s="82"/>
      <c r="T50" s="82"/>
      <c r="U50" s="82"/>
      <c r="V50" s="82"/>
      <c r="W50" s="9"/>
      <c r="X50" s="9"/>
      <c r="Y50" s="9"/>
    </row>
    <row r="51" spans="1:25" ht="15" hidden="1">
      <c r="A51" s="81"/>
      <c r="B51" s="81"/>
      <c r="C51" s="1" t="str">
        <f>ProF!C45</f>
        <v>B&amp;O taxes</v>
      </c>
      <c r="D51" s="82"/>
      <c r="E51" s="83">
        <f>ProF!J45</f>
        <v>21606</v>
      </c>
      <c r="F51" s="120" t="s">
        <v>65</v>
      </c>
      <c r="G51" s="121"/>
      <c r="H51" s="98"/>
      <c r="I51" s="98"/>
      <c r="J51" s="99"/>
      <c r="K51" s="83"/>
      <c r="L51" s="93"/>
      <c r="M51" s="99"/>
      <c r="N51" s="82"/>
      <c r="O51" s="82"/>
      <c r="P51" s="82"/>
      <c r="Q51" s="82"/>
      <c r="R51" s="82"/>
      <c r="S51" s="82"/>
      <c r="T51" s="82"/>
      <c r="U51" s="82"/>
      <c r="V51" s="82"/>
      <c r="W51" s="9"/>
      <c r="X51" s="9"/>
      <c r="Y51" s="9"/>
    </row>
    <row r="52" spans="1:25" ht="15" hidden="1">
      <c r="A52" s="81"/>
      <c r="B52" s="81"/>
      <c r="C52" s="1" t="str">
        <f>ProF!C46</f>
        <v>Payroll taxes</v>
      </c>
      <c r="D52" s="82"/>
      <c r="E52" s="83">
        <f>ProF!J46</f>
        <v>57657</v>
      </c>
      <c r="F52" s="120" t="s">
        <v>65</v>
      </c>
      <c r="G52" s="121"/>
      <c r="H52" s="98">
        <v>0</v>
      </c>
      <c r="I52" s="98"/>
      <c r="J52" s="99"/>
      <c r="K52" s="83"/>
      <c r="L52" s="93"/>
      <c r="M52" s="99"/>
      <c r="N52" s="82"/>
      <c r="O52" s="82"/>
      <c r="P52" s="82"/>
      <c r="Q52" s="82"/>
      <c r="R52" s="82"/>
      <c r="S52" s="82"/>
      <c r="T52" s="82"/>
      <c r="U52" s="82"/>
      <c r="V52" s="82"/>
      <c r="W52" s="9"/>
      <c r="X52" s="9"/>
      <c r="Y52" s="9"/>
    </row>
    <row r="53" spans="1:25" ht="15" hidden="1">
      <c r="A53" s="81"/>
      <c r="B53" s="81"/>
      <c r="C53" s="1" t="str">
        <f>ProF!C47</f>
        <v>Prop taxes</v>
      </c>
      <c r="D53" s="82"/>
      <c r="E53" s="83">
        <f>ProF!J47</f>
        <v>3201</v>
      </c>
      <c r="F53" s="121" t="str">
        <f>F50</f>
        <v>A</v>
      </c>
      <c r="G53" s="121"/>
      <c r="H53" s="98">
        <f>E53*H17</f>
        <v>0</v>
      </c>
      <c r="I53" s="98"/>
      <c r="J53" s="99"/>
      <c r="K53" s="83"/>
      <c r="L53" s="93"/>
      <c r="M53" s="99"/>
      <c r="N53" s="82"/>
      <c r="O53" s="82"/>
      <c r="P53" s="82"/>
      <c r="Q53" s="82"/>
      <c r="R53" s="82"/>
      <c r="S53" s="82"/>
      <c r="T53" s="82"/>
      <c r="U53" s="82"/>
      <c r="V53" s="82"/>
      <c r="W53" s="9"/>
      <c r="X53" s="9"/>
      <c r="Y53" s="9"/>
    </row>
    <row r="54" spans="1:25" ht="15" hidden="1">
      <c r="A54" s="81"/>
      <c r="B54" s="81"/>
      <c r="C54" s="1" t="str">
        <f>ProF!C48</f>
        <v>State use taxes</v>
      </c>
      <c r="D54" s="82"/>
      <c r="E54" s="83">
        <f>ProF!J48</f>
        <v>252</v>
      </c>
      <c r="F54" s="121" t="str">
        <f>F51</f>
        <v>dir</v>
      </c>
      <c r="G54" s="121"/>
      <c r="H54" s="98">
        <v>0</v>
      </c>
      <c r="I54" s="98"/>
      <c r="J54" s="99"/>
      <c r="K54" s="83"/>
      <c r="L54" s="93"/>
      <c r="M54" s="99"/>
      <c r="N54" s="82"/>
      <c r="O54" s="82"/>
      <c r="P54" s="82"/>
      <c r="Q54" s="82"/>
      <c r="R54" s="82"/>
      <c r="S54" s="82"/>
      <c r="T54" s="82"/>
      <c r="U54" s="82"/>
      <c r="V54" s="82"/>
      <c r="W54" s="9"/>
      <c r="X54" s="9"/>
      <c r="Y54" s="9"/>
    </row>
    <row r="55" spans="1:25" ht="15" hidden="1">
      <c r="A55" s="81"/>
      <c r="B55" s="81"/>
      <c r="C55" s="1" t="str">
        <f>ProF!C49</f>
        <v>Taxes,Lic,Permits</v>
      </c>
      <c r="D55" s="82"/>
      <c r="E55" s="83">
        <f>ProF!J49</f>
        <v>17809</v>
      </c>
      <c r="F55" s="121" t="s">
        <v>62</v>
      </c>
      <c r="G55" s="121"/>
      <c r="H55" s="98"/>
      <c r="I55" s="98"/>
      <c r="J55" s="99"/>
      <c r="K55" s="83"/>
      <c r="L55" s="93"/>
      <c r="M55" s="99"/>
      <c r="N55" s="82"/>
      <c r="O55" s="82"/>
      <c r="P55" s="82"/>
      <c r="Q55" s="82"/>
      <c r="R55" s="82"/>
      <c r="S55" s="82"/>
      <c r="T55" s="82"/>
      <c r="U55" s="82"/>
      <c r="V55" s="82"/>
      <c r="W55" s="9"/>
      <c r="X55" s="9"/>
      <c r="Y55" s="9"/>
    </row>
    <row r="56" spans="1:25" ht="15" hidden="1">
      <c r="A56" s="81"/>
      <c r="B56" s="81"/>
      <c r="C56" s="1"/>
      <c r="D56" s="82"/>
      <c r="E56" s="83">
        <f>ProF!J50</f>
        <v>5225</v>
      </c>
      <c r="F56" s="121"/>
      <c r="G56" s="121"/>
      <c r="H56" s="98"/>
      <c r="I56" s="98"/>
      <c r="J56" s="99"/>
      <c r="K56" s="83"/>
      <c r="L56" s="93"/>
      <c r="M56" s="99"/>
      <c r="N56" s="82"/>
      <c r="O56" s="82"/>
      <c r="P56" s="82"/>
      <c r="Q56" s="82"/>
      <c r="R56" s="82"/>
      <c r="S56" s="82"/>
      <c r="T56" s="82"/>
      <c r="U56" s="82"/>
      <c r="V56" s="82"/>
      <c r="W56" s="9"/>
      <c r="X56" s="9"/>
      <c r="Y56" s="9"/>
    </row>
    <row r="57" spans="1:25" ht="15" hidden="1">
      <c r="A57" s="81"/>
      <c r="B57" s="81"/>
      <c r="C57" s="1"/>
      <c r="D57" s="82"/>
      <c r="E57" s="83"/>
      <c r="F57" s="121"/>
      <c r="G57" s="121"/>
      <c r="H57" s="98"/>
      <c r="I57" s="98"/>
      <c r="J57" s="99"/>
      <c r="K57" s="83"/>
      <c r="L57" s="93"/>
      <c r="M57" s="99"/>
      <c r="N57" s="82"/>
      <c r="O57" s="82"/>
      <c r="P57" s="82"/>
      <c r="Q57" s="82"/>
      <c r="R57" s="82"/>
      <c r="S57" s="82"/>
      <c r="T57" s="82"/>
      <c r="U57" s="82"/>
      <c r="V57" s="82"/>
      <c r="W57" s="9"/>
      <c r="X57" s="9"/>
      <c r="Y57" s="9"/>
    </row>
    <row r="58" spans="1:25" ht="15" hidden="1">
      <c r="A58" s="81"/>
      <c r="B58" s="81"/>
      <c r="C58" s="1"/>
      <c r="D58" s="82"/>
      <c r="E58" s="83"/>
      <c r="F58" s="121"/>
      <c r="G58" s="121"/>
      <c r="H58" s="98"/>
      <c r="I58" s="98"/>
      <c r="J58" s="99"/>
      <c r="K58" s="83"/>
      <c r="L58" s="93"/>
      <c r="M58" s="99"/>
      <c r="N58" s="82"/>
      <c r="O58" s="82"/>
      <c r="P58" s="82"/>
      <c r="Q58" s="82"/>
      <c r="R58" s="82"/>
      <c r="S58" s="82"/>
      <c r="T58" s="82"/>
      <c r="U58" s="82"/>
      <c r="V58" s="82"/>
      <c r="W58" s="9"/>
      <c r="X58" s="9"/>
      <c r="Y58" s="9"/>
    </row>
    <row r="59" spans="1:25" ht="15" hidden="1">
      <c r="A59" s="81"/>
      <c r="B59" s="81"/>
      <c r="C59" s="1"/>
      <c r="D59" s="82"/>
      <c r="E59" s="83"/>
      <c r="F59" s="121"/>
      <c r="G59" s="121"/>
      <c r="H59" s="98"/>
      <c r="I59" s="98"/>
      <c r="J59" s="99"/>
      <c r="K59" s="83"/>
      <c r="L59" s="93"/>
      <c r="M59" s="99"/>
      <c r="N59" s="82"/>
      <c r="O59" s="82"/>
      <c r="P59" s="82"/>
      <c r="Q59" s="82"/>
      <c r="R59" s="82"/>
      <c r="S59" s="82"/>
      <c r="T59" s="82"/>
      <c r="U59" s="82"/>
      <c r="V59" s="82"/>
      <c r="W59" s="9"/>
      <c r="X59" s="9"/>
      <c r="Y59" s="9"/>
    </row>
    <row r="60" spans="1:25" ht="15" hidden="1">
      <c r="A60" s="81"/>
      <c r="B60" s="81"/>
      <c r="C60" s="82"/>
      <c r="D60" s="82"/>
      <c r="E60" s="83">
        <f>ProF!N58</f>
        <v>0</v>
      </c>
      <c r="F60" s="121"/>
      <c r="G60" s="121"/>
      <c r="H60" s="98"/>
      <c r="I60" s="98"/>
      <c r="J60" s="99"/>
      <c r="K60" s="83"/>
      <c r="L60" s="93"/>
      <c r="M60" s="99"/>
      <c r="N60" s="82"/>
      <c r="O60" s="82"/>
      <c r="P60" s="82"/>
      <c r="Q60" s="82"/>
      <c r="R60" s="82"/>
      <c r="S60" s="82"/>
      <c r="T60" s="82"/>
      <c r="U60" s="82"/>
      <c r="V60" s="82"/>
      <c r="W60" s="9"/>
      <c r="X60" s="9"/>
      <c r="Y60" s="9"/>
    </row>
    <row r="61" spans="1:25" ht="15" hidden="1">
      <c r="A61" s="81"/>
      <c r="B61" s="81"/>
      <c r="C61" s="82" t="s">
        <v>67</v>
      </c>
      <c r="D61" s="82"/>
      <c r="E61" s="104">
        <f>SUM(E21:E60)</f>
        <v>1427227.519219624</v>
      </c>
      <c r="F61" s="121"/>
      <c r="G61" s="121"/>
      <c r="H61" s="104">
        <f>SUM(H21:H60)</f>
        <v>0</v>
      </c>
      <c r="I61" s="104">
        <f>SUM(I21:I60)</f>
        <v>0</v>
      </c>
      <c r="J61" s="104"/>
      <c r="K61" s="94"/>
      <c r="L61" s="93"/>
      <c r="M61" s="98"/>
      <c r="N61" s="98"/>
      <c r="O61" s="98"/>
      <c r="P61" s="98"/>
      <c r="Q61" s="98"/>
      <c r="R61" s="82"/>
      <c r="S61" s="99"/>
      <c r="T61" s="82"/>
      <c r="U61" s="82"/>
      <c r="V61" s="82"/>
      <c r="W61" s="9"/>
      <c r="X61" s="9"/>
      <c r="Y61" s="9"/>
    </row>
    <row r="62" spans="1:25" ht="15.75" hidden="1" thickBot="1">
      <c r="A62" s="81"/>
      <c r="B62" s="81"/>
      <c r="C62" s="82" t="s">
        <v>3</v>
      </c>
      <c r="D62" s="82"/>
      <c r="E62" s="105">
        <f>E16-E61</f>
        <v>-120680.87171962415</v>
      </c>
      <c r="F62" s="91"/>
      <c r="G62" s="91"/>
      <c r="H62" s="105">
        <f>H16-H61</f>
        <v>0</v>
      </c>
      <c r="I62" s="105">
        <f>I16-I61</f>
        <v>0</v>
      </c>
      <c r="J62" s="105"/>
      <c r="K62" s="105"/>
      <c r="L62" s="93"/>
      <c r="M62" s="90"/>
      <c r="N62" s="106"/>
      <c r="O62" s="84"/>
      <c r="P62" s="84"/>
      <c r="Q62" s="84"/>
      <c r="R62" s="82"/>
      <c r="S62" s="82"/>
      <c r="T62" s="82"/>
      <c r="U62" s="82"/>
      <c r="V62" s="82"/>
      <c r="W62" s="9"/>
      <c r="X62" s="9"/>
      <c r="Y62" s="9"/>
    </row>
    <row r="63" spans="1:25" ht="16.5" customHeight="1" hidden="1" thickTop="1">
      <c r="A63" s="81"/>
      <c r="B63" s="81"/>
      <c r="C63" s="82" t="s">
        <v>4</v>
      </c>
      <c r="D63" s="82"/>
      <c r="E63" s="107">
        <f>E61/E16</f>
        <v>1.0923662939632044</v>
      </c>
      <c r="F63" s="108"/>
      <c r="G63" s="108"/>
      <c r="H63" s="108"/>
      <c r="I63" s="108"/>
      <c r="J63" s="108"/>
      <c r="K63" s="108"/>
      <c r="L63" s="93"/>
      <c r="M63" s="109"/>
      <c r="N63" s="84"/>
      <c r="O63" s="84"/>
      <c r="P63" s="91"/>
      <c r="Q63" s="91"/>
      <c r="R63" s="82"/>
      <c r="S63" s="82"/>
      <c r="T63" s="82"/>
      <c r="U63" s="82"/>
      <c r="V63" s="82"/>
      <c r="W63" s="9"/>
      <c r="X63" s="9"/>
      <c r="Y63" s="9"/>
    </row>
    <row r="64" spans="1:25" ht="15" hidden="1">
      <c r="A64" s="81"/>
      <c r="B64" s="81"/>
      <c r="C64" s="82"/>
      <c r="D64" s="82"/>
      <c r="E64" s="83"/>
      <c r="F64" s="82"/>
      <c r="G64" s="82"/>
      <c r="H64" s="84"/>
      <c r="I64" s="82"/>
      <c r="J64" s="82"/>
      <c r="K64" s="82"/>
      <c r="L64" s="93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9"/>
      <c r="X64" s="9"/>
      <c r="Y64" s="9"/>
    </row>
    <row r="65" spans="1:25" ht="15" hidden="1">
      <c r="A65" s="81"/>
      <c r="B65" s="81"/>
      <c r="C65" s="82"/>
      <c r="D65" s="82"/>
      <c r="E65" s="83"/>
      <c r="F65" s="82"/>
      <c r="G65" s="82"/>
      <c r="H65" s="84"/>
      <c r="I65" s="82"/>
      <c r="J65" s="82"/>
      <c r="K65" s="110"/>
      <c r="L65" s="9"/>
      <c r="M65" s="82"/>
      <c r="N65" s="111"/>
      <c r="O65" s="82"/>
      <c r="P65" s="112"/>
      <c r="Q65" s="112"/>
      <c r="R65" s="82"/>
      <c r="S65" s="82"/>
      <c r="T65" s="82"/>
      <c r="U65" s="82"/>
      <c r="V65" s="82"/>
      <c r="W65" s="9"/>
      <c r="X65" s="9"/>
      <c r="Y65" s="9"/>
    </row>
    <row r="66" spans="3:25" ht="18.75" hidden="1" thickBot="1">
      <c r="C66" s="17" t="s">
        <v>234</v>
      </c>
      <c r="D66" s="9"/>
      <c r="E66" s="26"/>
      <c r="F66" s="9"/>
      <c r="G66" s="9"/>
      <c r="H66" s="264"/>
      <c r="I66" s="264"/>
      <c r="J66" s="198"/>
      <c r="K66" s="266">
        <f>LGGarb!E6</f>
        <v>276933.3219166895</v>
      </c>
      <c r="L66" s="26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3:25" ht="18.75" hidden="1" thickTop="1">
      <c r="C67" s="9" t="s">
        <v>80</v>
      </c>
      <c r="D67" s="9"/>
      <c r="E67" s="26"/>
      <c r="F67" s="9"/>
      <c r="G67" s="9"/>
      <c r="H67" s="265"/>
      <c r="I67" s="265"/>
      <c r="J67" s="133"/>
      <c r="K67" s="221"/>
      <c r="L67" s="85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6:25" ht="15">
      <c r="F68" s="9"/>
      <c r="G68" s="9"/>
      <c r="H68" s="86"/>
      <c r="I68" s="9"/>
      <c r="J68" s="9"/>
      <c r="K68" s="9"/>
      <c r="L68" s="85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3" ht="15">
      <c r="A69" s="81"/>
      <c r="B69" s="81"/>
      <c r="C69" s="9" t="s">
        <v>1834</v>
      </c>
      <c r="F69" s="81"/>
      <c r="G69" s="81"/>
      <c r="H69" s="84"/>
      <c r="I69" s="82"/>
      <c r="J69" s="82"/>
      <c r="K69" s="82"/>
      <c r="L69" s="93"/>
      <c r="M69" s="82"/>
      <c r="N69" s="81"/>
      <c r="O69" s="81"/>
      <c r="P69" s="81"/>
      <c r="Q69" s="81"/>
      <c r="R69" s="81"/>
      <c r="S69" s="81"/>
      <c r="T69" s="81"/>
      <c r="U69" s="81"/>
      <c r="V69" s="81"/>
      <c r="W69" s="81"/>
    </row>
    <row r="70" spans="1:23" ht="15">
      <c r="A70" s="81"/>
      <c r="B70" s="81"/>
      <c r="C70" s="9" t="s">
        <v>104</v>
      </c>
      <c r="F70" s="81"/>
      <c r="G70" s="81"/>
      <c r="H70" s="84"/>
      <c r="I70" s="82"/>
      <c r="J70" s="82"/>
      <c r="K70" s="82"/>
      <c r="L70" s="93"/>
      <c r="M70" s="82"/>
      <c r="N70" s="81"/>
      <c r="O70" s="81"/>
      <c r="P70" s="81"/>
      <c r="Q70" s="81"/>
      <c r="R70" s="81"/>
      <c r="S70" s="81"/>
      <c r="T70" s="81"/>
      <c r="U70" s="81"/>
      <c r="V70" s="81"/>
      <c r="W70" s="81"/>
    </row>
    <row r="71" spans="1:23" ht="15">
      <c r="A71" s="81"/>
      <c r="B71" s="81"/>
      <c r="F71" s="81"/>
      <c r="G71" s="81"/>
      <c r="H71" s="84"/>
      <c r="I71" s="82"/>
      <c r="J71" s="82"/>
      <c r="K71" s="82"/>
      <c r="L71" s="93"/>
      <c r="M71" s="82"/>
      <c r="N71" s="81"/>
      <c r="O71" s="81"/>
      <c r="P71" s="81"/>
      <c r="Q71" s="81"/>
      <c r="R71" s="81"/>
      <c r="S71" s="81"/>
      <c r="T71" s="81"/>
      <c r="U71" s="81"/>
      <c r="V71" s="81"/>
      <c r="W71" s="81"/>
    </row>
    <row r="72" spans="3:13" ht="15">
      <c r="C72" s="9" t="s">
        <v>1835</v>
      </c>
      <c r="D72" s="9"/>
      <c r="E72" s="26"/>
      <c r="H72" s="86"/>
      <c r="I72" s="9"/>
      <c r="J72" s="9"/>
      <c r="K72" s="9"/>
      <c r="L72" s="85"/>
      <c r="M72" s="9"/>
    </row>
    <row r="73" spans="3:13" ht="15">
      <c r="C73" s="9"/>
      <c r="D73" s="9"/>
      <c r="E73" s="26"/>
      <c r="H73" s="86"/>
      <c r="I73" s="9"/>
      <c r="J73" s="9"/>
      <c r="K73" s="9"/>
      <c r="L73" s="85"/>
      <c r="M73" s="9"/>
    </row>
    <row r="74" spans="3:13" ht="15">
      <c r="C74" s="124" t="s">
        <v>68</v>
      </c>
      <c r="D74" s="125"/>
      <c r="E74" s="126"/>
      <c r="H74" s="86"/>
      <c r="I74" s="9"/>
      <c r="J74" s="9"/>
      <c r="K74" s="9"/>
      <c r="L74" s="85"/>
      <c r="M74" s="9"/>
    </row>
    <row r="75" spans="3:13" ht="15">
      <c r="C75" s="82" t="s">
        <v>69</v>
      </c>
      <c r="D75" s="82"/>
      <c r="E75" s="88" t="s">
        <v>70</v>
      </c>
      <c r="H75" s="86"/>
      <c r="I75" s="9"/>
      <c r="J75" s="9"/>
      <c r="K75" s="9"/>
      <c r="L75" s="85"/>
      <c r="M75" s="9"/>
    </row>
    <row r="76" spans="3:13" ht="15">
      <c r="C76" s="82" t="s">
        <v>216</v>
      </c>
      <c r="D76" s="108"/>
      <c r="E76" s="88" t="s">
        <v>71</v>
      </c>
      <c r="H76" s="86"/>
      <c r="I76" s="9"/>
      <c r="J76" s="9"/>
      <c r="K76" s="9"/>
      <c r="L76" s="85"/>
      <c r="M76" s="9"/>
    </row>
    <row r="77" spans="3:13" ht="15">
      <c r="C77" s="82" t="s">
        <v>72</v>
      </c>
      <c r="D77" s="108"/>
      <c r="E77" s="88" t="s">
        <v>71</v>
      </c>
      <c r="H77" s="86"/>
      <c r="I77" s="9"/>
      <c r="J77" s="9"/>
      <c r="K77" s="9"/>
      <c r="L77" s="85"/>
      <c r="M77" s="9"/>
    </row>
    <row r="78" spans="3:13" ht="15">
      <c r="C78" s="82" t="s">
        <v>73</v>
      </c>
      <c r="D78" s="108"/>
      <c r="E78" s="88" t="s">
        <v>71</v>
      </c>
      <c r="H78" s="86"/>
      <c r="I78" s="9"/>
      <c r="J78" s="9"/>
      <c r="K78" s="9"/>
      <c r="L78" s="85"/>
      <c r="M78" s="9"/>
    </row>
    <row r="79" spans="3:13" ht="15">
      <c r="C79" s="9"/>
      <c r="D79" s="9"/>
      <c r="E79" s="26"/>
      <c r="H79" s="86"/>
      <c r="I79" s="9"/>
      <c r="J79" s="9"/>
      <c r="K79" s="9"/>
      <c r="L79" s="85"/>
      <c r="M79" s="9"/>
    </row>
    <row r="80" spans="3:13" ht="15">
      <c r="C80" s="9"/>
      <c r="D80" s="9"/>
      <c r="E80" s="26"/>
      <c r="H80" s="86"/>
      <c r="I80" s="9"/>
      <c r="J80" s="9"/>
      <c r="K80" s="9"/>
      <c r="L80" s="85"/>
      <c r="M80" s="9"/>
    </row>
    <row r="81" spans="3:13" ht="15.75" thickBot="1">
      <c r="C81" s="117" t="s">
        <v>74</v>
      </c>
      <c r="H81" s="86"/>
      <c r="I81" s="9"/>
      <c r="J81" s="9"/>
      <c r="K81" s="9"/>
      <c r="L81" s="85"/>
      <c r="M81" s="9"/>
    </row>
    <row r="82" spans="3:13" ht="15.75" thickTop="1">
      <c r="C82" s="9" t="s">
        <v>1836</v>
      </c>
      <c r="E82" s="88" t="s">
        <v>70</v>
      </c>
      <c r="H82" s="86"/>
      <c r="I82" s="9"/>
      <c r="J82" s="9"/>
      <c r="K82" s="9"/>
      <c r="L82" s="85"/>
      <c r="M82" s="9"/>
    </row>
    <row r="83" spans="3:13" ht="15">
      <c r="C83" s="9" t="s">
        <v>1837</v>
      </c>
      <c r="E83" s="88" t="s">
        <v>1838</v>
      </c>
      <c r="H83" s="86"/>
      <c r="I83" s="9"/>
      <c r="J83" s="9"/>
      <c r="K83" s="9"/>
      <c r="L83" s="85"/>
      <c r="M83" s="9"/>
    </row>
    <row r="84" spans="3:13" ht="15">
      <c r="C84" s="9" t="s">
        <v>1839</v>
      </c>
      <c r="E84" s="88" t="s">
        <v>1838</v>
      </c>
      <c r="H84" s="86"/>
      <c r="I84" s="9"/>
      <c r="J84" s="9"/>
      <c r="K84" s="9"/>
      <c r="L84" s="85"/>
      <c r="M84" s="9"/>
    </row>
    <row r="85" spans="3:13" ht="15">
      <c r="C85" s="9"/>
      <c r="E85" s="88"/>
      <c r="H85" s="86"/>
      <c r="I85" s="9"/>
      <c r="J85" s="9"/>
      <c r="K85" s="9"/>
      <c r="L85" s="85"/>
      <c r="M85" s="9"/>
    </row>
    <row r="86" spans="3:5" ht="15">
      <c r="C86" s="9"/>
      <c r="E86" s="88"/>
    </row>
    <row r="87" spans="3:5" ht="15">
      <c r="C87" s="9"/>
      <c r="E87" s="88"/>
    </row>
  </sheetData>
  <sheetProtection/>
  <printOptions/>
  <pageMargins left="0.7" right="0.7" top="0.17" bottom="0.17" header="0.17" footer="0.17"/>
  <pageSetup fitToHeight="1" fitToWidth="1" horizontalDpi="600" verticalDpi="600" orientation="landscape" scale="45" r:id="rId4"/>
  <ignoredErrors>
    <ignoredError sqref="J16:J17 J8 H30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10"/>
  <sheetViews>
    <sheetView zoomScalePageLayoutView="0" workbookViewId="0" topLeftCell="A1">
      <selection activeCell="C4" sqref="C4"/>
    </sheetView>
  </sheetViews>
  <sheetFormatPr defaultColWidth="8.88671875" defaultRowHeight="15"/>
  <cols>
    <col min="1" max="1" width="9.5546875" style="0" customWidth="1"/>
    <col min="4" max="4" width="8.4453125" style="0" customWidth="1"/>
    <col min="5" max="5" width="18.10546875" style="0" customWidth="1"/>
    <col min="6" max="6" width="53.6640625" style="0" bestFit="1" customWidth="1"/>
  </cols>
  <sheetData>
    <row r="1" spans="1:6" ht="15">
      <c r="A1" t="s">
        <v>111</v>
      </c>
      <c r="B1" t="s">
        <v>107</v>
      </c>
      <c r="C1" t="s">
        <v>108</v>
      </c>
      <c r="D1" t="s">
        <v>109</v>
      </c>
      <c r="E1" t="s">
        <v>110</v>
      </c>
      <c r="F1" t="s">
        <v>112</v>
      </c>
    </row>
    <row r="2" spans="1:6" ht="15">
      <c r="A2" s="61"/>
      <c r="B2" s="61"/>
      <c r="C2" s="61"/>
      <c r="D2" s="61"/>
      <c r="E2" s="197"/>
      <c r="F2" s="61"/>
    </row>
    <row r="3" spans="1:6" ht="15">
      <c r="A3" s="61"/>
      <c r="B3" s="61"/>
      <c r="C3" s="61"/>
      <c r="D3" s="61"/>
      <c r="E3" s="197"/>
      <c r="F3" s="198"/>
    </row>
    <row r="4" spans="1:6" ht="15">
      <c r="A4" s="61"/>
      <c r="B4" s="61"/>
      <c r="C4" s="61"/>
      <c r="D4" s="61"/>
      <c r="E4" s="197"/>
      <c r="F4" s="198"/>
    </row>
    <row r="5" spans="1:6" ht="15">
      <c r="A5" s="61"/>
      <c r="B5" s="61"/>
      <c r="C5" s="61"/>
      <c r="D5" s="61"/>
      <c r="E5" s="197"/>
      <c r="F5" s="198"/>
    </row>
    <row r="6" spans="1:6" ht="15">
      <c r="A6" s="61"/>
      <c r="B6" s="61"/>
      <c r="C6" s="61"/>
      <c r="D6" s="61"/>
      <c r="E6" s="197"/>
      <c r="F6" s="198"/>
    </row>
    <row r="7" spans="4:5" ht="15">
      <c r="D7" s="160"/>
      <c r="E7" s="160"/>
    </row>
    <row r="8" spans="4:5" ht="15">
      <c r="D8" s="160"/>
      <c r="E8" s="160"/>
    </row>
    <row r="9" spans="4:5" ht="15">
      <c r="D9" s="160"/>
      <c r="E9" s="160"/>
    </row>
    <row r="10" spans="4:5" ht="15">
      <c r="D10" s="160"/>
      <c r="E10" s="16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29"/>
  <sheetViews>
    <sheetView zoomScalePageLayoutView="0" workbookViewId="0" topLeftCell="A1">
      <selection activeCell="E33" sqref="E33"/>
    </sheetView>
  </sheetViews>
  <sheetFormatPr defaultColWidth="8.88671875" defaultRowHeight="15"/>
  <cols>
    <col min="1" max="1" width="6.10546875" style="0" customWidth="1"/>
    <col min="2" max="2" width="1.4375" style="0" customWidth="1"/>
    <col min="3" max="3" width="9.99609375" style="0" customWidth="1"/>
    <col min="4" max="4" width="10.88671875" style="0" customWidth="1"/>
    <col min="5" max="5" width="10.3359375" style="0" customWidth="1"/>
    <col min="6" max="6" width="12.5546875" style="0" customWidth="1"/>
    <col min="7" max="7" width="8.99609375" style="0" customWidth="1"/>
    <col min="8" max="8" width="13.21484375" style="0" customWidth="1"/>
    <col min="9" max="9" width="11.21484375" style="0" customWidth="1"/>
  </cols>
  <sheetData>
    <row r="1" ht="15">
      <c r="A1" s="9" t="s">
        <v>208</v>
      </c>
    </row>
    <row r="2" spans="1:9" ht="15.75" thickBot="1">
      <c r="A2" t="s">
        <v>220</v>
      </c>
      <c r="H2" s="144">
        <v>40.12</v>
      </c>
      <c r="I2" t="s">
        <v>1771</v>
      </c>
    </row>
    <row r="3" spans="3:9" ht="15.75" thickTop="1">
      <c r="C3" s="9"/>
      <c r="H3" s="222"/>
      <c r="I3" s="9"/>
    </row>
    <row r="4" spans="2:9" ht="15">
      <c r="B4" s="9"/>
      <c r="C4" s="9" t="s">
        <v>1843</v>
      </c>
      <c r="D4" s="9" t="s">
        <v>1770</v>
      </c>
      <c r="E4" s="9"/>
      <c r="F4" s="9" t="s">
        <v>1844</v>
      </c>
      <c r="G4" t="s">
        <v>103</v>
      </c>
      <c r="I4" s="9"/>
    </row>
    <row r="5" spans="1:12" ht="15">
      <c r="A5" s="56" t="s">
        <v>22</v>
      </c>
      <c r="B5" s="7"/>
      <c r="C5" s="7">
        <v>46398</v>
      </c>
      <c r="D5" s="7">
        <v>0</v>
      </c>
      <c r="E5" s="7">
        <f>C5-D5</f>
        <v>46398</v>
      </c>
      <c r="F5" s="7">
        <f>E5</f>
        <v>46398</v>
      </c>
      <c r="G5" s="172">
        <f>F5/I19</f>
        <v>665.5859991392914</v>
      </c>
      <c r="H5" s="7"/>
      <c r="I5" s="7"/>
      <c r="J5" s="7"/>
      <c r="K5" s="7"/>
      <c r="L5" s="18"/>
    </row>
    <row r="6" spans="1:12" ht="15">
      <c r="A6" s="141" t="s">
        <v>23</v>
      </c>
      <c r="B6" s="7"/>
      <c r="C6" s="7">
        <v>33722</v>
      </c>
      <c r="D6" s="7">
        <v>0</v>
      </c>
      <c r="E6" s="7">
        <f>#N/A</f>
        <v>33722</v>
      </c>
      <c r="F6" s="7">
        <f>#N/A</f>
        <v>33722</v>
      </c>
      <c r="G6" s="172">
        <f>F6/I19</f>
        <v>483.7469516568642</v>
      </c>
      <c r="H6" s="7"/>
      <c r="I6" s="7"/>
      <c r="J6" s="7"/>
      <c r="K6" s="7"/>
      <c r="L6" s="18"/>
    </row>
    <row r="7" spans="1:12" ht="14.25" customHeight="1">
      <c r="A7" s="141" t="s">
        <v>24</v>
      </c>
      <c r="B7" s="7"/>
      <c r="C7" s="7">
        <v>32367</v>
      </c>
      <c r="D7" s="7">
        <v>0</v>
      </c>
      <c r="E7" s="7">
        <f>#N/A</f>
        <v>32367</v>
      </c>
      <c r="F7" s="7">
        <f>#N/A</f>
        <v>32367</v>
      </c>
      <c r="G7" s="172">
        <f>F7/I19</f>
        <v>464.3092813082772</v>
      </c>
      <c r="H7" s="7"/>
      <c r="I7" s="7"/>
      <c r="J7" s="7"/>
      <c r="K7" s="7"/>
      <c r="L7" s="18"/>
    </row>
    <row r="8" spans="1:12" ht="15">
      <c r="A8" s="56" t="s">
        <v>25</v>
      </c>
      <c r="B8" s="7"/>
      <c r="C8" s="7">
        <v>31176</v>
      </c>
      <c r="D8" s="7">
        <v>0</v>
      </c>
      <c r="E8" s="7">
        <f>#N/A</f>
        <v>31176</v>
      </c>
      <c r="F8" s="7">
        <f>#N/A</f>
        <v>31176</v>
      </c>
      <c r="G8" s="172">
        <f>F8/I19</f>
        <v>447.2242146033568</v>
      </c>
      <c r="H8" s="7"/>
      <c r="I8" s="7"/>
      <c r="J8" s="7"/>
      <c r="K8" s="7"/>
      <c r="L8" s="18"/>
    </row>
    <row r="9" spans="1:12" ht="15">
      <c r="A9" s="141" t="s">
        <v>24</v>
      </c>
      <c r="B9" s="7"/>
      <c r="C9" s="7">
        <v>25087</v>
      </c>
      <c r="D9" s="7">
        <v>0</v>
      </c>
      <c r="E9" s="7">
        <f>#N/A</f>
        <v>25087</v>
      </c>
      <c r="F9" s="7">
        <f>#N/A</f>
        <v>25087</v>
      </c>
      <c r="G9" s="172">
        <f>F9/I19</f>
        <v>359.8766317601492</v>
      </c>
      <c r="H9" s="7"/>
      <c r="I9" s="7"/>
      <c r="J9" s="7"/>
      <c r="K9" s="7"/>
      <c r="L9" s="18"/>
    </row>
    <row r="10" spans="1:12" ht="15">
      <c r="A10" s="56" t="s">
        <v>22</v>
      </c>
      <c r="B10" s="7"/>
      <c r="C10" s="7">
        <v>35709</v>
      </c>
      <c r="D10" s="7">
        <v>0</v>
      </c>
      <c r="E10" s="7">
        <f>#N/A</f>
        <v>35709</v>
      </c>
      <c r="F10" s="7">
        <f>#N/A</f>
        <v>35709</v>
      </c>
      <c r="G10" s="172">
        <f>F10/I19</f>
        <v>512.2507531200689</v>
      </c>
      <c r="H10" s="7"/>
      <c r="I10" s="7"/>
      <c r="J10" s="7"/>
      <c r="K10" s="7"/>
      <c r="L10" s="18"/>
    </row>
    <row r="11" spans="1:12" ht="15">
      <c r="A11" s="56" t="s">
        <v>22</v>
      </c>
      <c r="B11" s="7"/>
      <c r="C11" s="7">
        <v>37728</v>
      </c>
      <c r="D11" s="7">
        <v>0</v>
      </c>
      <c r="E11" s="7">
        <f>#N/A</f>
        <v>37728</v>
      </c>
      <c r="F11" s="7">
        <f>#N/A</f>
        <v>37728</v>
      </c>
      <c r="G11" s="172">
        <f>F11/I19</f>
        <v>541.213599196672</v>
      </c>
      <c r="H11" s="7"/>
      <c r="I11" s="7"/>
      <c r="J11" s="7"/>
      <c r="K11" s="7"/>
      <c r="L11" s="18"/>
    </row>
    <row r="12" spans="1:12" ht="15">
      <c r="A12" s="56" t="s">
        <v>25</v>
      </c>
      <c r="B12" s="7"/>
      <c r="C12" s="7">
        <v>35237</v>
      </c>
      <c r="D12" s="7">
        <v>0</v>
      </c>
      <c r="E12" s="7">
        <f>#N/A</f>
        <v>35237</v>
      </c>
      <c r="F12" s="7">
        <f>#N/A</f>
        <v>35237</v>
      </c>
      <c r="G12" s="172">
        <f>F12/I19</f>
        <v>505.479845072443</v>
      </c>
      <c r="H12" s="7"/>
      <c r="I12" s="7"/>
      <c r="J12" s="7"/>
      <c r="K12" s="7"/>
      <c r="L12" s="18"/>
    </row>
    <row r="13" spans="1:12" ht="15">
      <c r="A13" s="56" t="s">
        <v>26</v>
      </c>
      <c r="B13" s="7"/>
      <c r="C13" s="7">
        <v>45553</v>
      </c>
      <c r="D13" s="7">
        <v>0</v>
      </c>
      <c r="E13" s="7">
        <f>#N/A</f>
        <v>45553</v>
      </c>
      <c r="F13" s="7">
        <f>#N/A</f>
        <v>45553</v>
      </c>
      <c r="G13" s="172">
        <f>F13/I19</f>
        <v>653.4643523167408</v>
      </c>
      <c r="H13" s="7"/>
      <c r="I13" s="7"/>
      <c r="J13" s="7"/>
      <c r="K13" s="7"/>
      <c r="L13" s="18"/>
    </row>
    <row r="14" spans="1:12" ht="15">
      <c r="A14" s="56" t="s">
        <v>27</v>
      </c>
      <c r="B14" s="7"/>
      <c r="C14" s="7">
        <v>39228</v>
      </c>
      <c r="D14" s="7">
        <v>0</v>
      </c>
      <c r="E14" s="7">
        <f>#N/A</f>
        <v>39228</v>
      </c>
      <c r="F14" s="7">
        <f>#N/A</f>
        <v>39228</v>
      </c>
      <c r="G14" s="172">
        <f>F14/I19</f>
        <v>562.7313154497203</v>
      </c>
      <c r="H14" s="7"/>
      <c r="I14" s="7"/>
      <c r="J14" s="7"/>
      <c r="K14" s="7"/>
      <c r="L14" s="18"/>
    </row>
    <row r="15" spans="1:12" ht="15">
      <c r="A15" s="56" t="s">
        <v>28</v>
      </c>
      <c r="B15" s="7"/>
      <c r="C15" s="7">
        <v>48529</v>
      </c>
      <c r="D15" s="7">
        <v>0</v>
      </c>
      <c r="E15" s="7">
        <f>#N/A</f>
        <v>48529</v>
      </c>
      <c r="F15" s="7">
        <f>#N/A</f>
        <v>48529</v>
      </c>
      <c r="G15" s="172">
        <f>F15/I19</f>
        <v>696.1555013627888</v>
      </c>
      <c r="H15" s="7"/>
      <c r="I15" s="7"/>
      <c r="J15" s="7"/>
      <c r="K15" s="7"/>
      <c r="L15" s="18"/>
    </row>
    <row r="16" spans="1:12" ht="15">
      <c r="A16" s="56" t="s">
        <v>29</v>
      </c>
      <c r="B16" s="22"/>
      <c r="C16" s="22">
        <v>45400</v>
      </c>
      <c r="D16" s="7">
        <v>0</v>
      </c>
      <c r="E16" s="22">
        <f>#N/A</f>
        <v>45400</v>
      </c>
      <c r="F16" s="22">
        <f>#N/A</f>
        <v>45400</v>
      </c>
      <c r="G16" s="273">
        <f>F16/I19</f>
        <v>651.26954525893</v>
      </c>
      <c r="H16" s="31"/>
      <c r="I16" s="7"/>
      <c r="J16" s="7"/>
      <c r="K16" s="7"/>
      <c r="L16" s="18"/>
    </row>
    <row r="17" spans="2:12" ht="15.75" thickBot="1">
      <c r="B17" s="7">
        <f>SUM(B5:B16)</f>
        <v>0</v>
      </c>
      <c r="C17" s="37">
        <f>SUM(C5:C16)</f>
        <v>456134</v>
      </c>
      <c r="D17" s="37">
        <f>SUM(D5:D16)</f>
        <v>0</v>
      </c>
      <c r="E17" s="37">
        <f>SUM(E5:E16)</f>
        <v>456134</v>
      </c>
      <c r="F17" s="37">
        <f>SUM(F5:F16)</f>
        <v>456134</v>
      </c>
      <c r="G17" s="18">
        <f>F17/I19</f>
        <v>6543.307990245303</v>
      </c>
      <c r="H17" s="7"/>
      <c r="I17" s="7">
        <f>SUM(I5:I16)</f>
        <v>0</v>
      </c>
      <c r="J17" s="18"/>
      <c r="K17" s="18"/>
      <c r="L17" s="18"/>
    </row>
    <row r="18" spans="2:12" ht="15.75" thickTop="1">
      <c r="B18" s="18"/>
      <c r="C18" s="18"/>
      <c r="D18" s="18"/>
      <c r="E18" s="18"/>
      <c r="F18" s="18"/>
      <c r="G18" s="18"/>
      <c r="H18" s="42" t="s">
        <v>223</v>
      </c>
      <c r="I18" s="18">
        <v>80</v>
      </c>
      <c r="J18" s="18"/>
      <c r="K18" s="18"/>
      <c r="L18" s="18"/>
    </row>
    <row r="19" spans="2:12" ht="15">
      <c r="B19" s="18"/>
      <c r="C19" s="18" t="s">
        <v>103</v>
      </c>
      <c r="D19" s="18">
        <f>D17/2000</f>
        <v>0</v>
      </c>
      <c r="E19" s="18"/>
      <c r="F19" s="18"/>
      <c r="G19" s="18"/>
      <c r="H19" s="42" t="s">
        <v>224</v>
      </c>
      <c r="I19" s="19">
        <v>69.71</v>
      </c>
      <c r="J19" s="18"/>
      <c r="K19" s="18"/>
      <c r="L19" s="18"/>
    </row>
    <row r="20" spans="2:12" ht="15.75" thickBot="1">
      <c r="B20" s="18"/>
      <c r="C20" s="18" t="s">
        <v>21</v>
      </c>
      <c r="D20" s="18">
        <v>40.18</v>
      </c>
      <c r="E20" s="18"/>
      <c r="F20" s="18"/>
      <c r="G20" s="18"/>
      <c r="H20" s="42" t="s">
        <v>225</v>
      </c>
      <c r="I20" s="272">
        <f>I18-I19</f>
        <v>10.290000000000006</v>
      </c>
      <c r="J20" s="18"/>
      <c r="K20" s="18"/>
      <c r="L20" s="18"/>
    </row>
    <row r="21" spans="2:12" ht="15.75" thickTop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2:12" ht="15">
      <c r="B22" s="18"/>
      <c r="C22" s="18"/>
      <c r="D22" s="18"/>
      <c r="E22" s="18"/>
      <c r="F22" s="18"/>
      <c r="G22" s="18"/>
      <c r="H22" s="42" t="s">
        <v>1775</v>
      </c>
      <c r="I22" s="31">
        <f>I20*G17</f>
        <v>67330.63921962421</v>
      </c>
      <c r="J22" s="18"/>
      <c r="K22" s="18"/>
      <c r="L22" s="18"/>
    </row>
    <row r="23" spans="2:12" ht="15">
      <c r="B23" s="18"/>
      <c r="C23" s="18"/>
      <c r="D23" s="18"/>
      <c r="E23" s="18"/>
      <c r="F23" s="18" t="s">
        <v>103</v>
      </c>
      <c r="G23" s="18"/>
      <c r="H23" s="18" t="s">
        <v>1773</v>
      </c>
      <c r="I23" s="22">
        <f>-E26</f>
        <v>-12530.647500000008</v>
      </c>
      <c r="J23" s="18"/>
      <c r="K23" s="18"/>
      <c r="L23" s="18"/>
    </row>
    <row r="24" spans="2:12" ht="15">
      <c r="B24" s="18"/>
      <c r="C24" s="18" t="s">
        <v>1772</v>
      </c>
      <c r="D24" s="18"/>
      <c r="E24" s="7">
        <f>120057</f>
        <v>120057</v>
      </c>
      <c r="F24" s="18">
        <v>1217.75</v>
      </c>
      <c r="G24" s="18"/>
      <c r="H24" s="18"/>
      <c r="I24" s="18"/>
      <c r="J24" s="18"/>
      <c r="K24" s="18"/>
      <c r="L24" s="18"/>
    </row>
    <row r="25" spans="5:9" ht="15">
      <c r="E25" s="7"/>
      <c r="H25" s="18" t="s">
        <v>1774</v>
      </c>
      <c r="I25" s="43">
        <f>SUM(I22:I24)</f>
        <v>54799.9917196242</v>
      </c>
    </row>
    <row r="26" spans="3:5" ht="15">
      <c r="C26" s="18" t="s">
        <v>1883</v>
      </c>
      <c r="E26" s="22">
        <f>F24*I20</f>
        <v>12530.647500000008</v>
      </c>
    </row>
    <row r="27" ht="15">
      <c r="E27" s="7"/>
    </row>
    <row r="28" spans="3:5" ht="15.75" thickBot="1">
      <c r="C28" t="s">
        <v>1924</v>
      </c>
      <c r="E28" s="37">
        <f>E24+E26</f>
        <v>132587.64750000002</v>
      </c>
    </row>
    <row r="29" ht="15.75" thickTop="1">
      <c r="E29" s="7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M39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4" sqref="G24"/>
    </sheetView>
  </sheetViews>
  <sheetFormatPr defaultColWidth="8.88671875" defaultRowHeight="15"/>
  <cols>
    <col min="1" max="1" width="1.4375" style="0" customWidth="1"/>
    <col min="2" max="3" width="15.3359375" style="0" customWidth="1"/>
    <col min="4" max="4" width="12.3359375" style="215" customWidth="1"/>
    <col min="5" max="5" width="7.4453125" style="0" customWidth="1"/>
    <col min="6" max="7" width="11.3359375" style="0" customWidth="1"/>
    <col min="8" max="8" width="10.21484375" style="0" customWidth="1"/>
    <col min="9" max="9" width="5.4453125" style="0" customWidth="1"/>
    <col min="10" max="10" width="4.77734375" style="0" customWidth="1"/>
    <col min="11" max="11" width="7.77734375" style="0" bestFit="1" customWidth="1"/>
    <col min="12" max="12" width="11.5546875" style="0" bestFit="1" customWidth="1"/>
    <col min="13" max="13" width="11.5546875" style="0" customWidth="1"/>
    <col min="14" max="14" width="10.6640625" style="0" customWidth="1"/>
  </cols>
  <sheetData>
    <row r="1" spans="2:8" ht="15">
      <c r="B1" s="9" t="s">
        <v>212</v>
      </c>
      <c r="C1" s="9"/>
      <c r="G1" s="7"/>
      <c r="H1" s="7"/>
    </row>
    <row r="2" spans="2:8" ht="15">
      <c r="B2" t="s">
        <v>106</v>
      </c>
      <c r="G2" s="7"/>
      <c r="H2" s="7"/>
    </row>
    <row r="3" spans="2:13" ht="15">
      <c r="B3" s="198" t="s">
        <v>1782</v>
      </c>
      <c r="C3" s="198"/>
      <c r="G3" s="7"/>
      <c r="H3" s="7"/>
      <c r="I3" s="130"/>
      <c r="J3" s="18"/>
      <c r="K3" s="56"/>
      <c r="L3" s="18"/>
      <c r="M3" s="42"/>
    </row>
    <row r="4" spans="7:11" ht="15">
      <c r="G4" s="7"/>
      <c r="H4" s="7"/>
      <c r="I4" s="32"/>
      <c r="J4" s="18"/>
      <c r="K4" s="18"/>
    </row>
    <row r="5" spans="4:11" ht="15">
      <c r="D5" s="216"/>
      <c r="E5" s="9" t="s">
        <v>219</v>
      </c>
      <c r="F5" s="9" t="s">
        <v>219</v>
      </c>
      <c r="G5" s="207"/>
      <c r="H5" s="207"/>
      <c r="J5" s="208"/>
      <c r="K5" s="15"/>
    </row>
    <row r="6" spans="2:11" ht="15.75" customHeight="1">
      <c r="B6" s="26"/>
      <c r="C6" s="26"/>
      <c r="D6" s="130"/>
      <c r="E6" s="59"/>
      <c r="F6" s="18"/>
      <c r="H6" s="140"/>
      <c r="J6" s="208"/>
      <c r="K6" s="15"/>
    </row>
    <row r="7" spans="2:11" ht="15">
      <c r="B7" s="26"/>
      <c r="C7" s="26"/>
      <c r="D7" s="130"/>
      <c r="E7" s="59"/>
      <c r="F7" s="143"/>
      <c r="G7" s="20"/>
      <c r="H7" s="140"/>
      <c r="J7" s="208"/>
      <c r="K7" s="15"/>
    </row>
    <row r="8" spans="2:11" ht="15">
      <c r="B8" s="26"/>
      <c r="C8" s="26"/>
      <c r="D8" s="130"/>
      <c r="E8" s="214"/>
      <c r="F8" s="7"/>
      <c r="G8" s="20"/>
      <c r="H8" s="140"/>
      <c r="J8" s="208"/>
      <c r="K8" s="15"/>
    </row>
    <row r="9" spans="4:13" ht="15">
      <c r="D9" s="217" t="s">
        <v>1783</v>
      </c>
      <c r="E9" s="61"/>
      <c r="F9" s="213"/>
      <c r="G9" s="209"/>
      <c r="H9" s="209"/>
      <c r="L9" s="161"/>
      <c r="M9" s="161"/>
    </row>
    <row r="10" spans="4:13" ht="15">
      <c r="D10" s="217"/>
      <c r="E10" s="61"/>
      <c r="F10" s="213"/>
      <c r="G10" s="209"/>
      <c r="H10" s="209"/>
      <c r="L10" s="161"/>
      <c r="M10" s="161"/>
    </row>
    <row r="11" spans="2:13" ht="15">
      <c r="B11" s="9" t="s">
        <v>84</v>
      </c>
      <c r="C11" s="9"/>
      <c r="D11" s="276"/>
      <c r="E11" s="61"/>
      <c r="F11" s="213"/>
      <c r="G11" s="209"/>
      <c r="H11" s="209"/>
      <c r="L11" s="161"/>
      <c r="M11" s="161"/>
    </row>
    <row r="12" spans="2:13" ht="15">
      <c r="B12" s="9" t="s">
        <v>84</v>
      </c>
      <c r="C12" s="9"/>
      <c r="D12" s="276"/>
      <c r="E12" s="61"/>
      <c r="F12" s="213">
        <f>D12*F7</f>
        <v>0</v>
      </c>
      <c r="G12" s="210"/>
      <c r="H12" s="210"/>
      <c r="L12" s="161"/>
      <c r="M12" s="161"/>
    </row>
    <row r="13" spans="2:13" ht="15">
      <c r="B13" s="9" t="s">
        <v>84</v>
      </c>
      <c r="C13" s="9"/>
      <c r="D13" s="276"/>
      <c r="E13" s="61"/>
      <c r="F13" s="213">
        <f>D13*F7</f>
        <v>0</v>
      </c>
      <c r="G13" s="210"/>
      <c r="H13" s="210"/>
      <c r="L13" s="161"/>
      <c r="M13" s="161"/>
    </row>
    <row r="14" spans="2:13" ht="15">
      <c r="B14" s="9"/>
      <c r="C14" s="9"/>
      <c r="D14" s="276"/>
      <c r="E14" s="61"/>
      <c r="F14" s="213"/>
      <c r="G14" s="210"/>
      <c r="H14" s="210"/>
      <c r="L14" s="161"/>
      <c r="M14" s="161"/>
    </row>
    <row r="15" spans="2:13" ht="15">
      <c r="B15" s="9"/>
      <c r="C15" s="9"/>
      <c r="D15" s="276"/>
      <c r="E15" s="61"/>
      <c r="F15" s="213"/>
      <c r="G15" s="210"/>
      <c r="H15" s="210"/>
      <c r="L15" s="161"/>
      <c r="M15" s="161"/>
    </row>
    <row r="16" spans="4:13" ht="15">
      <c r="D16" s="276"/>
      <c r="E16" s="61"/>
      <c r="F16" s="172"/>
      <c r="G16" s="210"/>
      <c r="H16" s="210"/>
      <c r="L16" s="161"/>
      <c r="M16" s="161"/>
    </row>
    <row r="17" spans="2:13" ht="15">
      <c r="B17" t="s">
        <v>1785</v>
      </c>
      <c r="D17" s="276"/>
      <c r="E17" s="61"/>
      <c r="F17" s="172">
        <f>D17*F7</f>
        <v>0</v>
      </c>
      <c r="G17" s="210"/>
      <c r="H17" s="210"/>
      <c r="L17" s="161"/>
      <c r="M17" s="161"/>
    </row>
    <row r="18" spans="4:13" ht="15">
      <c r="D18" s="276"/>
      <c r="E18" s="61"/>
      <c r="F18" s="172"/>
      <c r="G18" s="210"/>
      <c r="H18" s="210"/>
      <c r="L18" s="161"/>
      <c r="M18" s="161"/>
    </row>
    <row r="19" spans="2:13" ht="15">
      <c r="B19" t="s">
        <v>1784</v>
      </c>
      <c r="D19" s="276"/>
      <c r="E19" s="61"/>
      <c r="F19" s="279">
        <f>F7*D19</f>
        <v>0</v>
      </c>
      <c r="G19" s="210"/>
      <c r="H19" s="210"/>
      <c r="L19" s="161"/>
      <c r="M19" s="161"/>
    </row>
    <row r="20" spans="4:13" ht="15">
      <c r="D20" s="218"/>
      <c r="E20" s="200"/>
      <c r="F20" s="212"/>
      <c r="G20" s="210"/>
      <c r="H20" s="210"/>
      <c r="I20" s="131"/>
      <c r="L20" s="161"/>
      <c r="M20" s="161"/>
    </row>
    <row r="21" spans="2:13" ht="15">
      <c r="B21" s="9" t="s">
        <v>82</v>
      </c>
      <c r="C21" s="9"/>
      <c r="D21" s="276"/>
      <c r="E21" s="211"/>
      <c r="F21" s="212">
        <f>F7*D21</f>
        <v>0</v>
      </c>
      <c r="G21" s="210"/>
      <c r="H21" s="210"/>
      <c r="I21" s="131"/>
      <c r="L21" s="161"/>
      <c r="M21" s="161"/>
    </row>
    <row r="22" spans="2:13" ht="15">
      <c r="B22" s="9" t="s">
        <v>1786</v>
      </c>
      <c r="C22" s="9"/>
      <c r="D22" s="276"/>
      <c r="E22" s="211"/>
      <c r="F22" s="212">
        <f>F7*D22</f>
        <v>0</v>
      </c>
      <c r="G22" s="210"/>
      <c r="H22" s="210"/>
      <c r="I22" s="131"/>
      <c r="L22" s="161"/>
      <c r="M22" s="161"/>
    </row>
    <row r="23" spans="2:13" ht="15">
      <c r="B23" s="9" t="s">
        <v>1786</v>
      </c>
      <c r="C23" s="9"/>
      <c r="D23" s="276"/>
      <c r="E23" s="211"/>
      <c r="F23" s="212">
        <f>F7*D23</f>
        <v>0</v>
      </c>
      <c r="G23" s="210"/>
      <c r="H23" s="210"/>
      <c r="I23" s="131"/>
      <c r="L23" s="161"/>
      <c r="M23" s="161"/>
    </row>
    <row r="24" spans="2:13" ht="15">
      <c r="B24" s="9"/>
      <c r="C24" s="9"/>
      <c r="D24" s="276"/>
      <c r="E24" s="211"/>
      <c r="F24" s="212"/>
      <c r="G24" s="210"/>
      <c r="H24" s="210"/>
      <c r="I24" s="131"/>
      <c r="L24" s="161"/>
      <c r="M24" s="161"/>
    </row>
    <row r="25" spans="2:13" ht="15">
      <c r="B25" t="s">
        <v>1787</v>
      </c>
      <c r="D25" s="276"/>
      <c r="E25" s="211"/>
      <c r="F25" s="213">
        <f>F7*D25</f>
        <v>0</v>
      </c>
      <c r="G25" s="209"/>
      <c r="H25" s="209"/>
      <c r="I25" s="131"/>
      <c r="L25" s="161"/>
      <c r="M25" s="161"/>
    </row>
    <row r="26" spans="4:13" ht="15">
      <c r="D26" s="276"/>
      <c r="E26" s="211"/>
      <c r="F26" s="213"/>
      <c r="G26" s="209"/>
      <c r="H26" s="209"/>
      <c r="I26" s="131"/>
      <c r="L26" s="161"/>
      <c r="M26" s="161"/>
    </row>
    <row r="27" spans="2:13" ht="15">
      <c r="B27" s="9"/>
      <c r="C27" s="9"/>
      <c r="D27" s="277"/>
      <c r="E27" s="61"/>
      <c r="F27" s="280"/>
      <c r="G27" s="209"/>
      <c r="H27" s="209"/>
      <c r="I27" s="131"/>
      <c r="L27" s="161"/>
      <c r="M27" s="161"/>
    </row>
    <row r="28" spans="2:13" ht="15">
      <c r="B28" s="9"/>
      <c r="C28" s="9"/>
      <c r="D28" s="217"/>
      <c r="E28" s="61"/>
      <c r="F28" s="213"/>
      <c r="G28" s="209"/>
      <c r="H28" s="209"/>
      <c r="I28" s="131"/>
      <c r="L28" s="161"/>
      <c r="M28" s="161"/>
    </row>
    <row r="29" spans="2:13" ht="15">
      <c r="B29" s="9"/>
      <c r="C29" s="9"/>
      <c r="D29" s="278">
        <f>SUM(D11:D27)</f>
        <v>0</v>
      </c>
      <c r="E29" s="61"/>
      <c r="F29" s="278">
        <f>SUM(F11:F27)</f>
        <v>0</v>
      </c>
      <c r="G29" s="209"/>
      <c r="H29" s="209"/>
      <c r="I29" s="131"/>
      <c r="L29" s="161"/>
      <c r="M29" s="161"/>
    </row>
    <row r="30" spans="2:13" ht="15">
      <c r="B30" s="9"/>
      <c r="C30" s="9"/>
      <c r="D30" s="278"/>
      <c r="E30" s="61"/>
      <c r="F30" s="278"/>
      <c r="G30" s="209"/>
      <c r="H30" s="209"/>
      <c r="I30" s="131"/>
      <c r="L30" s="161"/>
      <c r="M30" s="161"/>
    </row>
    <row r="31" spans="2:13" ht="15">
      <c r="B31" s="9" t="s">
        <v>1788</v>
      </c>
      <c r="C31" s="9"/>
      <c r="D31" s="217"/>
      <c r="E31" s="61"/>
      <c r="F31" s="213"/>
      <c r="G31" s="209"/>
      <c r="H31" s="209"/>
      <c r="I31" s="131"/>
      <c r="L31" s="161"/>
      <c r="M31" s="161"/>
    </row>
    <row r="32" spans="2:13" ht="15">
      <c r="B32" s="9" t="s">
        <v>1789</v>
      </c>
      <c r="C32" s="9"/>
      <c r="D32" s="217"/>
      <c r="E32" s="61"/>
      <c r="F32" s="213"/>
      <c r="G32" s="209"/>
      <c r="H32" s="209"/>
      <c r="I32" s="131"/>
      <c r="L32" s="161"/>
      <c r="M32" s="161"/>
    </row>
    <row r="33" spans="2:13" ht="15">
      <c r="B33" s="9"/>
      <c r="C33" s="9"/>
      <c r="D33" s="217"/>
      <c r="E33" s="61"/>
      <c r="F33" s="213"/>
      <c r="G33" s="209"/>
      <c r="H33" s="209"/>
      <c r="I33" s="131"/>
      <c r="L33" s="161"/>
      <c r="M33" s="161"/>
    </row>
    <row r="34" spans="2:13" ht="15">
      <c r="B34" s="9"/>
      <c r="C34" s="9"/>
      <c r="D34" s="217"/>
      <c r="E34" s="61"/>
      <c r="F34" s="213"/>
      <c r="G34" s="209"/>
      <c r="H34" s="209"/>
      <c r="I34" s="131"/>
      <c r="L34" s="161"/>
      <c r="M34" s="161"/>
    </row>
    <row r="35" spans="2:13" ht="15">
      <c r="B35" s="9"/>
      <c r="C35" s="9"/>
      <c r="D35" s="217"/>
      <c r="E35" s="61"/>
      <c r="F35" s="213"/>
      <c r="G35" s="209"/>
      <c r="H35" s="209"/>
      <c r="I35" s="131"/>
      <c r="L35" s="161"/>
      <c r="M35" s="161"/>
    </row>
    <row r="36" spans="2:13" ht="15">
      <c r="B36" s="9"/>
      <c r="C36" s="9"/>
      <c r="D36" s="217"/>
      <c r="E36" s="61"/>
      <c r="F36" s="213"/>
      <c r="G36" s="209"/>
      <c r="H36" s="209"/>
      <c r="I36" s="131"/>
      <c r="L36" s="161"/>
      <c r="M36" s="161"/>
    </row>
    <row r="37" spans="2:13" ht="15">
      <c r="B37" s="9"/>
      <c r="C37" s="9"/>
      <c r="D37" s="217"/>
      <c r="E37" s="61"/>
      <c r="F37" s="213"/>
      <c r="G37" s="209"/>
      <c r="H37" s="209"/>
      <c r="I37" s="131"/>
      <c r="L37" s="161"/>
      <c r="M37" s="161"/>
    </row>
    <row r="38" spans="2:13" ht="15">
      <c r="B38" s="9"/>
      <c r="C38" s="9"/>
      <c r="D38" s="217"/>
      <c r="E38" s="61"/>
      <c r="F38" s="213"/>
      <c r="G38" s="209"/>
      <c r="H38" s="209"/>
      <c r="I38" s="131"/>
      <c r="L38" s="161"/>
      <c r="M38" s="161"/>
    </row>
    <row r="39" spans="2:13" ht="15">
      <c r="B39" s="9"/>
      <c r="C39" s="9"/>
      <c r="D39" s="217"/>
      <c r="E39" s="61"/>
      <c r="F39" s="213"/>
      <c r="G39" s="209"/>
      <c r="H39" s="209"/>
      <c r="I39" s="131"/>
      <c r="L39" s="161"/>
      <c r="M39" s="161"/>
    </row>
  </sheetData>
  <sheetProtection/>
  <printOptions/>
  <pageMargins left="3.22" right="0.22" top="0.75" bottom="0.75" header="0.17" footer="0.3"/>
  <pageSetup horizontalDpi="600" verticalDpi="600" orientation="landscape" paperSize="5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24"/>
  <sheetViews>
    <sheetView zoomScalePageLayoutView="0" workbookViewId="0" topLeftCell="A1">
      <selection activeCell="A9" sqref="A9"/>
    </sheetView>
  </sheetViews>
  <sheetFormatPr defaultColWidth="8.88671875" defaultRowHeight="15"/>
  <cols>
    <col min="1" max="1" width="14.88671875" style="0" customWidth="1"/>
    <col min="2" max="2" width="12.4453125" style="0" bestFit="1" customWidth="1"/>
    <col min="3" max="3" width="11.5546875" style="0" bestFit="1" customWidth="1"/>
    <col min="4" max="4" width="11.99609375" style="0" bestFit="1" customWidth="1"/>
    <col min="5" max="5" width="7.3359375" style="0" customWidth="1"/>
    <col min="6" max="6" width="8.88671875" style="0" customWidth="1"/>
    <col min="7" max="7" width="8.99609375" style="0" bestFit="1" customWidth="1"/>
    <col min="8" max="8" width="6.3359375" style="0" customWidth="1"/>
    <col min="9" max="9" width="5.4453125" style="0" customWidth="1"/>
    <col min="10" max="10" width="2.77734375" style="0" customWidth="1"/>
    <col min="11" max="11" width="9.10546875" style="0" bestFit="1" customWidth="1"/>
  </cols>
  <sheetData>
    <row r="1" ht="15">
      <c r="A1" s="9" t="s">
        <v>209</v>
      </c>
    </row>
    <row r="3" ht="15">
      <c r="A3" t="s">
        <v>1769</v>
      </c>
    </row>
    <row r="4" ht="15">
      <c r="B4" s="127" t="s">
        <v>241</v>
      </c>
    </row>
    <row r="5" ht="15">
      <c r="B5" s="127"/>
    </row>
    <row r="6" spans="2:4" ht="15.75" thickBot="1">
      <c r="B6" s="127" t="s">
        <v>236</v>
      </c>
      <c r="D6" s="137">
        <v>2008</v>
      </c>
    </row>
    <row r="7" spans="1:2" ht="15.75" thickTop="1">
      <c r="A7" s="138"/>
      <c r="B7" s="38" t="s">
        <v>235</v>
      </c>
    </row>
    <row r="8" spans="1:3" ht="15">
      <c r="A8" s="138"/>
      <c r="B8" s="127" t="s">
        <v>237</v>
      </c>
      <c r="C8" s="268">
        <v>0.1</v>
      </c>
    </row>
    <row r="9" spans="1:3" ht="15">
      <c r="A9" s="139"/>
      <c r="B9" s="127" t="s">
        <v>238</v>
      </c>
      <c r="C9">
        <v>0.1</v>
      </c>
    </row>
    <row r="10" spans="1:3" ht="15">
      <c r="A10" s="138"/>
      <c r="B10" s="127" t="s">
        <v>239</v>
      </c>
      <c r="C10">
        <v>0.25</v>
      </c>
    </row>
    <row r="11" spans="1:3" ht="15">
      <c r="A11" s="138"/>
      <c r="B11" s="127" t="s">
        <v>240</v>
      </c>
      <c r="C11">
        <v>0.485</v>
      </c>
    </row>
    <row r="12" spans="1:3" ht="15">
      <c r="A12" s="138"/>
      <c r="B12" s="127" t="s">
        <v>242</v>
      </c>
      <c r="C12">
        <v>0.05</v>
      </c>
    </row>
    <row r="13" spans="1:3" ht="15">
      <c r="A13" s="138"/>
      <c r="C13" s="38"/>
    </row>
    <row r="14" spans="1:3" ht="15">
      <c r="A14" s="138"/>
      <c r="C14" s="269">
        <f>SUM(C8:C13)</f>
        <v>0.9850000000000001</v>
      </c>
    </row>
    <row r="15" spans="1:4" ht="15.75" thickBot="1">
      <c r="A15" s="138" t="s">
        <v>243</v>
      </c>
      <c r="D15" s="281">
        <f>D6*C14</f>
        <v>1977.88</v>
      </c>
    </row>
    <row r="16" ht="15.75" thickTop="1"/>
    <row r="17" ht="15">
      <c r="A17" t="s">
        <v>99</v>
      </c>
    </row>
    <row r="18" spans="1:4" ht="15.75" thickBot="1">
      <c r="A18" t="s">
        <v>100</v>
      </c>
      <c r="D18" s="137">
        <v>3937</v>
      </c>
    </row>
    <row r="19" ht="15.75" thickTop="1"/>
    <row r="20" ht="15">
      <c r="A20" t="s">
        <v>244</v>
      </c>
    </row>
    <row r="21" spans="1:4" ht="15">
      <c r="A21" t="s">
        <v>245</v>
      </c>
      <c r="D21">
        <v>0</v>
      </c>
    </row>
    <row r="22" ht="15">
      <c r="A22" t="s">
        <v>246</v>
      </c>
    </row>
    <row r="23" spans="1:4" ht="15">
      <c r="A23" t="s">
        <v>247</v>
      </c>
      <c r="D23" s="38">
        <v>0</v>
      </c>
    </row>
    <row r="24" spans="1:4" ht="15.75" thickBot="1">
      <c r="A24" t="s">
        <v>248</v>
      </c>
      <c r="D24" s="270">
        <f>D23-D21</f>
        <v>0</v>
      </c>
    </row>
    <row r="25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28"/>
  <sheetViews>
    <sheetView zoomScalePageLayoutView="0" workbookViewId="0" topLeftCell="A1">
      <selection activeCell="H35" sqref="H35"/>
    </sheetView>
  </sheetViews>
  <sheetFormatPr defaultColWidth="8.88671875" defaultRowHeight="15"/>
  <cols>
    <col min="3" max="3" width="12.4453125" style="0" bestFit="1" customWidth="1"/>
    <col min="4" max="4" width="10.99609375" style="0" customWidth="1"/>
    <col min="5" max="5" width="10.99609375" style="0" bestFit="1" customWidth="1"/>
    <col min="6" max="6" width="10.99609375" style="0" customWidth="1"/>
    <col min="7" max="7" width="4.88671875" style="0" customWidth="1"/>
    <col min="8" max="8" width="6.88671875" style="0" customWidth="1"/>
    <col min="9" max="9" width="9.99609375" style="0" customWidth="1"/>
    <col min="10" max="10" width="8.88671875" style="0" customWidth="1"/>
    <col min="11" max="11" width="9.99609375" style="0" bestFit="1" customWidth="1"/>
    <col min="12" max="12" width="10.99609375" style="0" bestFit="1" customWidth="1"/>
  </cols>
  <sheetData>
    <row r="1" ht="15">
      <c r="A1" s="1" t="s">
        <v>210</v>
      </c>
    </row>
    <row r="2" ht="15">
      <c r="A2" t="s">
        <v>86</v>
      </c>
    </row>
    <row r="3" ht="15" hidden="1"/>
    <row r="4" ht="15" hidden="1"/>
    <row r="5" spans="1:11" ht="15" hidden="1">
      <c r="A5" s="145">
        <f>'[2]CmlEW'!A7</f>
        <v>0</v>
      </c>
      <c r="B5" s="145"/>
      <c r="C5" s="145"/>
      <c r="D5" s="145"/>
      <c r="E5" s="145"/>
      <c r="F5" s="145"/>
      <c r="G5" s="145"/>
      <c r="H5" s="60"/>
      <c r="I5" s="145"/>
      <c r="J5" s="145"/>
      <c r="K5" s="145"/>
    </row>
    <row r="6" spans="1:11" ht="15">
      <c r="A6" s="146" t="s">
        <v>218</v>
      </c>
      <c r="B6" s="145"/>
      <c r="C6" s="145"/>
      <c r="D6" s="145"/>
      <c r="E6" s="145"/>
      <c r="F6" s="145"/>
      <c r="G6" s="145"/>
      <c r="H6" s="60"/>
      <c r="I6" s="145"/>
      <c r="J6" s="145"/>
      <c r="K6" s="145"/>
    </row>
    <row r="7" spans="1:11" ht="15">
      <c r="A7" s="145"/>
      <c r="B7" s="145"/>
      <c r="C7" s="128">
        <v>43100</v>
      </c>
      <c r="E7" s="205">
        <v>43373</v>
      </c>
      <c r="F7" s="283" t="s">
        <v>33</v>
      </c>
      <c r="G7" s="283"/>
      <c r="H7" s="148"/>
      <c r="I7" s="147" t="s">
        <v>91</v>
      </c>
      <c r="J7" s="148"/>
      <c r="K7" s="148"/>
    </row>
    <row r="8" spans="1:11" ht="15.75" thickBot="1">
      <c r="A8" s="146"/>
      <c r="B8" s="145"/>
      <c r="C8" s="149">
        <v>444081</v>
      </c>
      <c r="D8" s="149"/>
      <c r="E8" s="149">
        <v>11573</v>
      </c>
      <c r="F8" s="150"/>
      <c r="G8" s="150"/>
      <c r="H8" s="151"/>
      <c r="I8" s="247">
        <v>0.049</v>
      </c>
      <c r="J8" s="153"/>
      <c r="K8" s="153"/>
    </row>
    <row r="9" spans="1:11" ht="15.75" thickTop="1">
      <c r="A9" s="146"/>
      <c r="B9" s="145"/>
      <c r="C9" s="149"/>
      <c r="D9" s="149"/>
      <c r="E9" s="150"/>
      <c r="F9" s="150"/>
      <c r="G9" s="150"/>
      <c r="H9" s="151"/>
      <c r="I9" s="248"/>
      <c r="J9" s="153"/>
      <c r="K9" s="153"/>
    </row>
    <row r="10" spans="1:11" ht="15">
      <c r="A10" s="146"/>
      <c r="B10" s="145"/>
      <c r="C10" s="154"/>
      <c r="D10" s="154"/>
      <c r="E10" s="150"/>
      <c r="F10" s="150"/>
      <c r="G10" s="150"/>
      <c r="H10" s="151"/>
      <c r="I10" s="248"/>
      <c r="J10" s="153"/>
      <c r="K10" s="153"/>
    </row>
    <row r="11" spans="1:11" ht="15">
      <c r="A11" s="146"/>
      <c r="B11" s="145"/>
      <c r="C11" s="149"/>
      <c r="D11" s="149"/>
      <c r="E11" s="150"/>
      <c r="F11" s="150"/>
      <c r="G11" s="150"/>
      <c r="H11" s="151"/>
      <c r="I11" s="155"/>
      <c r="J11" s="153"/>
      <c r="K11" s="153"/>
    </row>
    <row r="12" spans="1:11" ht="15.75" thickBot="1">
      <c r="A12" s="145" t="s">
        <v>105</v>
      </c>
      <c r="B12" s="145"/>
      <c r="C12" s="149">
        <v>29573</v>
      </c>
      <c r="D12" s="149">
        <f>SUM(D8:D11)</f>
        <v>0</v>
      </c>
      <c r="E12" s="149">
        <v>11573</v>
      </c>
      <c r="F12" s="149">
        <f>(C12+E12)/2</f>
        <v>20573</v>
      </c>
      <c r="G12" s="149"/>
      <c r="H12" s="156">
        <f>F12/F16</f>
        <v>0.024007921342053654</v>
      </c>
      <c r="I12" s="146"/>
      <c r="J12" s="153"/>
      <c r="K12" s="153"/>
    </row>
    <row r="13" spans="1:11" ht="15.75" thickTop="1">
      <c r="A13" s="145"/>
      <c r="B13" s="145"/>
      <c r="C13" s="149"/>
      <c r="D13" s="149"/>
      <c r="E13" s="150"/>
      <c r="F13" s="150"/>
      <c r="G13" s="150"/>
      <c r="H13" s="151"/>
      <c r="I13" s="146"/>
      <c r="J13" s="153"/>
      <c r="K13" s="153"/>
    </row>
    <row r="14" spans="1:11" ht="15">
      <c r="A14" s="145"/>
      <c r="B14" s="145"/>
      <c r="C14" s="149"/>
      <c r="D14" s="149"/>
      <c r="E14" s="150"/>
      <c r="F14" s="150"/>
      <c r="G14" s="150"/>
      <c r="H14" s="151"/>
      <c r="I14" s="152"/>
      <c r="J14" s="153"/>
      <c r="K14" s="153"/>
    </row>
    <row r="15" spans="1:11" ht="15.75" thickBot="1">
      <c r="A15" s="145" t="s">
        <v>90</v>
      </c>
      <c r="B15" s="145"/>
      <c r="C15" s="154">
        <v>680374</v>
      </c>
      <c r="D15" s="154"/>
      <c r="E15" s="154">
        <v>992331</v>
      </c>
      <c r="F15" s="154">
        <f>(C15+E15)/2</f>
        <v>836352.5</v>
      </c>
      <c r="G15" s="282"/>
      <c r="H15" s="156">
        <f>F15/F16</f>
        <v>0.9759920786579463</v>
      </c>
      <c r="I15" s="152"/>
      <c r="J15" s="153"/>
      <c r="K15" s="153"/>
    </row>
    <row r="16" spans="1:11" ht="16.5" thickBot="1" thickTop="1">
      <c r="A16" s="145"/>
      <c r="B16" s="145"/>
      <c r="C16" s="159">
        <f>SUM(C12:C15)</f>
        <v>709947</v>
      </c>
      <c r="D16" s="159">
        <f>SUM(D12:D15)</f>
        <v>0</v>
      </c>
      <c r="E16" s="159">
        <f>SUM(E12:E15)</f>
        <v>1003904</v>
      </c>
      <c r="F16" s="282">
        <f>SUM(F12:F15)</f>
        <v>856925.5</v>
      </c>
      <c r="G16" s="282"/>
      <c r="H16" s="157"/>
      <c r="I16" s="158"/>
      <c r="J16" s="153"/>
      <c r="K16" s="153"/>
    </row>
    <row r="17" ht="15.75" thickTop="1"/>
    <row r="18" spans="3:7" ht="15">
      <c r="C18" s="128">
        <v>43100</v>
      </c>
      <c r="E18" s="205">
        <v>43373</v>
      </c>
      <c r="F18" s="205"/>
      <c r="G18" s="205"/>
    </row>
    <row r="19" spans="1:9" ht="15.75" thickBot="1">
      <c r="A19" t="s">
        <v>87</v>
      </c>
      <c r="C19" s="37">
        <v>829914</v>
      </c>
      <c r="D19" s="7"/>
      <c r="E19" s="37">
        <v>860082</v>
      </c>
      <c r="F19" s="31"/>
      <c r="G19" s="31"/>
      <c r="H19" s="7"/>
      <c r="I19" s="7"/>
    </row>
    <row r="20" spans="3:9" ht="15.75" hidden="1" thickTop="1">
      <c r="C20" s="7"/>
      <c r="D20" s="7"/>
      <c r="E20" s="7"/>
      <c r="F20" s="7"/>
      <c r="G20" s="7"/>
      <c r="H20" s="7"/>
      <c r="I20" s="7"/>
    </row>
    <row r="21" spans="1:9" ht="15.75" thickTop="1">
      <c r="A21" t="s">
        <v>88</v>
      </c>
      <c r="C21" s="7"/>
      <c r="D21" s="46">
        <f>C21/C19</f>
        <v>0</v>
      </c>
      <c r="E21" s="7"/>
      <c r="F21" s="7"/>
      <c r="G21" s="7"/>
      <c r="H21" s="46">
        <f>E21/E19</f>
        <v>0</v>
      </c>
      <c r="I21" s="7"/>
    </row>
    <row r="22" spans="3:9" ht="15">
      <c r="C22" s="22">
        <f>C12</f>
        <v>29573</v>
      </c>
      <c r="D22" s="129">
        <f>C22/C19</f>
        <v>0.03563381266010695</v>
      </c>
      <c r="E22" s="22">
        <f>E12</f>
        <v>11573</v>
      </c>
      <c r="F22" s="154">
        <f>(C22+E22)/2</f>
        <v>20573</v>
      </c>
      <c r="G22" s="22"/>
      <c r="H22" s="129">
        <f>E22/E19</f>
        <v>0.01345569375943224</v>
      </c>
      <c r="I22" s="233" t="s">
        <v>227</v>
      </c>
    </row>
    <row r="23" spans="1:9" ht="15">
      <c r="A23" t="s">
        <v>89</v>
      </c>
      <c r="C23" s="7">
        <f>SUM(C21:C22)</f>
        <v>29573</v>
      </c>
      <c r="D23" s="46">
        <f>C23/C19</f>
        <v>0.03563381266010695</v>
      </c>
      <c r="E23" s="7">
        <f>SUM(E21:E22)</f>
        <v>11573</v>
      </c>
      <c r="F23" s="7"/>
      <c r="G23" s="7"/>
      <c r="H23" s="46">
        <f>E23/E19</f>
        <v>0.01345569375943224</v>
      </c>
      <c r="I23" s="46">
        <v>0.4</v>
      </c>
    </row>
    <row r="24" spans="3:9" ht="15" hidden="1">
      <c r="C24" s="7"/>
      <c r="D24" s="31"/>
      <c r="E24" s="7"/>
      <c r="F24" s="7"/>
      <c r="G24" s="7"/>
      <c r="H24" s="31"/>
      <c r="I24" s="46"/>
    </row>
    <row r="25" spans="1:9" ht="15">
      <c r="A25" t="s">
        <v>90</v>
      </c>
      <c r="C25" s="22">
        <f>C15</f>
        <v>680374</v>
      </c>
      <c r="D25" s="129">
        <f>C25/C19</f>
        <v>0.8198126552871743</v>
      </c>
      <c r="E25" s="22">
        <v>173078</v>
      </c>
      <c r="F25" s="22"/>
      <c r="G25" s="22"/>
      <c r="H25" s="129">
        <f>E25/E19</f>
        <v>0.2012343009154941</v>
      </c>
      <c r="I25" s="46">
        <v>0.6</v>
      </c>
    </row>
    <row r="26" spans="3:8" ht="15" hidden="1">
      <c r="C26" s="7"/>
      <c r="D26" s="7"/>
      <c r="E26" s="7"/>
      <c r="F26" s="7"/>
      <c r="G26" s="7"/>
      <c r="H26" s="7"/>
    </row>
    <row r="27" spans="3:12" ht="15.75" thickBot="1">
      <c r="C27" s="37">
        <f>SUM(C23:C25)</f>
        <v>709947</v>
      </c>
      <c r="D27" s="46">
        <f>C27/C19</f>
        <v>0.8554464679472813</v>
      </c>
      <c r="E27" s="37">
        <f>SUM(E23:E25)</f>
        <v>184651</v>
      </c>
      <c r="F27" s="31"/>
      <c r="G27" s="31"/>
      <c r="H27" s="46">
        <f>E27/E19</f>
        <v>0.21468999467492633</v>
      </c>
      <c r="I27" s="206"/>
      <c r="J27" s="9"/>
      <c r="K27" s="9"/>
      <c r="L27" s="9"/>
    </row>
    <row r="28" spans="3:12" ht="15.75" hidden="1" thickTop="1">
      <c r="C28" s="7"/>
      <c r="D28" s="7"/>
      <c r="E28" s="7"/>
      <c r="F28" s="7"/>
      <c r="G28" s="7"/>
      <c r="H28" s="7"/>
      <c r="I28" s="26"/>
      <c r="J28" s="9"/>
      <c r="K28" s="9"/>
      <c r="L28" s="9"/>
    </row>
    <row r="29" ht="15.75" thickTop="1"/>
  </sheetData>
  <sheetProtection/>
  <printOptions/>
  <pageMargins left="0.7" right="0.7" top="0.75" bottom="0.29" header="0.3" footer="0.3"/>
  <pageSetup fitToHeight="1" fitToWidth="1" horizontalDpi="600" verticalDpi="600" orientation="landscape" r:id="rId3"/>
  <ignoredErrors>
    <ignoredError sqref="D25 D23:E23 D27:E27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AE259"/>
  <sheetViews>
    <sheetView zoomScale="80" zoomScaleNormal="80" zoomScalePageLayoutView="0" workbookViewId="0" topLeftCell="A1">
      <pane xSplit="1" ySplit="15" topLeftCell="B30" activePane="bottomRight" state="frozen"/>
      <selection pane="topLeft" activeCell="I126" sqref="I126"/>
      <selection pane="topRight" activeCell="I126" sqref="I126"/>
      <selection pane="bottomLeft" activeCell="I126" sqref="I126"/>
      <selection pane="bottomRight" activeCell="B10" sqref="B10"/>
    </sheetView>
  </sheetViews>
  <sheetFormatPr defaultColWidth="8.88671875" defaultRowHeight="15"/>
  <cols>
    <col min="1" max="1" width="1.88671875" style="0" customWidth="1"/>
    <col min="2" max="2" width="18.99609375" style="0" customWidth="1"/>
    <col min="3" max="3" width="5.77734375" style="0" customWidth="1"/>
    <col min="4" max="4" width="2.3359375" style="0" customWidth="1"/>
    <col min="5" max="5" width="11.4453125" style="0" customWidth="1"/>
    <col min="6" max="6" width="9.6640625" style="0" customWidth="1"/>
    <col min="7" max="7" width="10.4453125" style="0" bestFit="1" customWidth="1"/>
    <col min="8" max="8" width="6.10546875" style="0" customWidth="1"/>
    <col min="9" max="9" width="9.99609375" style="0" bestFit="1" customWidth="1"/>
    <col min="10" max="10" width="8.88671875" style="0" customWidth="1"/>
    <col min="11" max="11" width="1.99609375" style="0" bestFit="1" customWidth="1"/>
    <col min="12" max="12" width="10.4453125" style="0" bestFit="1" customWidth="1"/>
    <col min="13" max="13" width="8.6640625" style="0" bestFit="1" customWidth="1"/>
    <col min="14" max="14" width="9.99609375" style="0" bestFit="1" customWidth="1"/>
    <col min="15" max="15" width="10.4453125" style="0" bestFit="1" customWidth="1"/>
    <col min="16" max="16" width="1.99609375" style="0" customWidth="1"/>
    <col min="17" max="17" width="15.10546875" style="0" hidden="1" customWidth="1"/>
    <col min="18" max="18" width="9.10546875" style="0" hidden="1" customWidth="1"/>
    <col min="19" max="19" width="8.88671875" style="0" hidden="1" customWidth="1"/>
    <col min="20" max="20" width="8.99609375" style="0" hidden="1" customWidth="1"/>
    <col min="21" max="21" width="4.99609375" style="0" hidden="1" customWidth="1"/>
    <col min="22" max="22" width="5.99609375" style="0" hidden="1" customWidth="1"/>
    <col min="23" max="23" width="8.21484375" style="165" hidden="1" customWidth="1"/>
    <col min="24" max="24" width="8.21484375" style="0" hidden="1" customWidth="1"/>
    <col min="25" max="25" width="8.4453125" style="0" hidden="1" customWidth="1"/>
    <col min="26" max="27" width="6.10546875" style="0" hidden="1" customWidth="1"/>
    <col min="28" max="28" width="7.99609375" style="0" hidden="1" customWidth="1"/>
  </cols>
  <sheetData>
    <row r="1" ht="4.5" customHeight="1">
      <c r="B1" s="61"/>
    </row>
    <row r="2" spans="2:28" ht="5.25" customHeight="1">
      <c r="B2" s="61"/>
      <c r="W2" s="61"/>
      <c r="X2" s="61"/>
      <c r="Y2" s="61"/>
      <c r="Z2" s="61"/>
      <c r="AA2" s="61"/>
      <c r="AB2" s="61"/>
    </row>
    <row r="3" spans="2:28" ht="5.25" customHeight="1">
      <c r="B3" s="61"/>
      <c r="Q3" s="14"/>
      <c r="R3" s="14"/>
      <c r="S3" s="14"/>
      <c r="T3" s="14"/>
      <c r="U3" s="14"/>
      <c r="V3" s="14"/>
      <c r="W3" s="61"/>
      <c r="X3" s="61"/>
      <c r="Y3" s="61"/>
      <c r="Z3" s="61"/>
      <c r="AA3" s="61"/>
      <c r="AB3" s="61"/>
    </row>
    <row r="4" spans="2:28" ht="6.75" customHeight="1">
      <c r="B4" s="61"/>
      <c r="Q4" s="14"/>
      <c r="R4" s="14"/>
      <c r="S4" s="14"/>
      <c r="T4" s="14"/>
      <c r="U4" s="14"/>
      <c r="V4" s="14"/>
      <c r="W4" s="61"/>
      <c r="X4" s="61"/>
      <c r="Y4" s="61"/>
      <c r="Z4" s="61"/>
      <c r="AA4" s="61"/>
      <c r="AB4" s="61"/>
    </row>
    <row r="5" spans="2:28" ht="3.75" customHeight="1">
      <c r="B5" s="61"/>
      <c r="Q5" s="14"/>
      <c r="R5" s="14"/>
      <c r="S5" s="14"/>
      <c r="T5" s="14"/>
      <c r="U5" s="14"/>
      <c r="V5" s="14"/>
      <c r="W5" s="61"/>
      <c r="X5" s="61"/>
      <c r="Y5" s="61"/>
      <c r="Z5" s="61"/>
      <c r="AA5" s="61"/>
      <c r="AB5" s="61"/>
    </row>
    <row r="6" spans="2:28" ht="7.5" customHeight="1">
      <c r="B6" s="61"/>
      <c r="R6" s="14"/>
      <c r="S6" s="14"/>
      <c r="T6" s="14"/>
      <c r="U6" s="14"/>
      <c r="V6" s="14"/>
      <c r="W6" s="61"/>
      <c r="X6" s="61"/>
      <c r="Y6" s="61"/>
      <c r="Z6" s="61"/>
      <c r="AA6" s="61"/>
      <c r="AB6" s="61"/>
    </row>
    <row r="7" spans="2:28" ht="6" customHeight="1">
      <c r="B7" s="61"/>
      <c r="Q7" s="14"/>
      <c r="R7" s="14"/>
      <c r="S7" s="14"/>
      <c r="T7" s="14"/>
      <c r="U7" s="14"/>
      <c r="V7" s="14"/>
      <c r="W7" s="61"/>
      <c r="X7" s="61"/>
      <c r="Y7" s="61"/>
      <c r="Z7" s="61"/>
      <c r="AA7" s="61"/>
      <c r="AB7" s="61"/>
    </row>
    <row r="8" spans="2:28" ht="7.5" customHeight="1">
      <c r="B8" s="61"/>
      <c r="Q8" s="14"/>
      <c r="R8" s="14"/>
      <c r="S8" s="14"/>
      <c r="T8" s="14"/>
      <c r="U8" s="14"/>
      <c r="V8" s="14"/>
      <c r="W8" s="61"/>
      <c r="X8" s="61"/>
      <c r="Y8" s="61"/>
      <c r="Z8" s="61"/>
      <c r="AA8" s="61"/>
      <c r="AB8" s="61"/>
    </row>
    <row r="9" spans="2:28" ht="5.25" customHeight="1">
      <c r="B9" s="61"/>
      <c r="W9" s="61"/>
      <c r="X9" s="232"/>
      <c r="Y9" s="232"/>
      <c r="Z9" s="232"/>
      <c r="AA9" s="232"/>
      <c r="AB9" s="232"/>
    </row>
    <row r="10" spans="2:28" ht="18">
      <c r="B10" s="231"/>
      <c r="C10" s="53" t="s">
        <v>102</v>
      </c>
      <c r="D10" s="47"/>
      <c r="E10" s="48"/>
      <c r="F10" s="227">
        <v>43009</v>
      </c>
      <c r="G10" s="48"/>
      <c r="H10" s="48"/>
      <c r="I10" s="48"/>
      <c r="J10" s="48"/>
      <c r="K10" s="48"/>
      <c r="L10" s="48"/>
      <c r="M10" s="163"/>
      <c r="N10" s="163"/>
      <c r="O10" s="163"/>
      <c r="P10" s="162"/>
      <c r="Q10" s="162"/>
      <c r="R10" s="162"/>
      <c r="S10" s="162"/>
      <c r="T10" s="162"/>
      <c r="U10" s="162"/>
      <c r="V10" s="162"/>
      <c r="W10" s="61"/>
      <c r="X10" s="61"/>
      <c r="Y10" s="61"/>
      <c r="Z10" s="61"/>
      <c r="AA10" s="61"/>
      <c r="AB10" s="61"/>
    </row>
    <row r="11" spans="2:28" ht="13.5" customHeight="1">
      <c r="B11" s="228" t="s">
        <v>35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64"/>
      <c r="N11" s="164"/>
      <c r="O11" s="48"/>
      <c r="W11" s="61"/>
      <c r="X11" s="61"/>
      <c r="Y11" s="61"/>
      <c r="Z11" s="61"/>
      <c r="AA11" s="61"/>
      <c r="AB11" s="61"/>
    </row>
    <row r="12" spans="2:28" ht="15">
      <c r="B12" s="7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W12" s="61"/>
      <c r="X12" s="61"/>
      <c r="Y12" s="61"/>
      <c r="Z12" s="61"/>
      <c r="AA12" s="61"/>
      <c r="AB12" s="61"/>
    </row>
    <row r="13" spans="2:28" ht="15">
      <c r="B13" s="74"/>
      <c r="C13" s="48"/>
      <c r="D13" s="48"/>
      <c r="E13" s="48"/>
      <c r="F13" s="49" t="s">
        <v>36</v>
      </c>
      <c r="G13" s="48"/>
      <c r="H13" s="48"/>
      <c r="I13" s="48"/>
      <c r="J13" s="48"/>
      <c r="K13" s="48"/>
      <c r="L13" s="50" t="s">
        <v>37</v>
      </c>
      <c r="M13" s="50" t="s">
        <v>38</v>
      </c>
      <c r="N13" s="50" t="s">
        <v>37</v>
      </c>
      <c r="O13" s="50" t="s">
        <v>39</v>
      </c>
      <c r="Q13" s="291" t="s">
        <v>53</v>
      </c>
      <c r="R13" s="291"/>
      <c r="S13" s="291"/>
      <c r="T13" s="291"/>
      <c r="U13" s="291"/>
      <c r="V13" s="291"/>
      <c r="W13" s="292" t="s">
        <v>54</v>
      </c>
      <c r="X13" s="292"/>
      <c r="Y13" s="292"/>
      <c r="Z13" s="292"/>
      <c r="AA13" s="292"/>
      <c r="AB13" s="292"/>
    </row>
    <row r="14" spans="2:31" ht="15.75">
      <c r="B14" s="229" t="s">
        <v>40</v>
      </c>
      <c r="C14" s="50" t="s">
        <v>41</v>
      </c>
      <c r="D14" s="50"/>
      <c r="E14" s="47" t="s">
        <v>42</v>
      </c>
      <c r="F14" s="50" t="s">
        <v>43</v>
      </c>
      <c r="G14" s="50" t="s">
        <v>44</v>
      </c>
      <c r="H14" s="50" t="s">
        <v>45</v>
      </c>
      <c r="I14" s="50" t="s">
        <v>46</v>
      </c>
      <c r="J14" s="50" t="s">
        <v>47</v>
      </c>
      <c r="K14" s="48"/>
      <c r="L14" s="50" t="s">
        <v>48</v>
      </c>
      <c r="M14" s="50" t="s">
        <v>49</v>
      </c>
      <c r="N14" s="50" t="s">
        <v>50</v>
      </c>
      <c r="O14" s="50" t="s">
        <v>51</v>
      </c>
      <c r="Q14" s="132" t="s">
        <v>93</v>
      </c>
      <c r="R14" s="132" t="s">
        <v>97</v>
      </c>
      <c r="S14" s="132" t="s">
        <v>95</v>
      </c>
      <c r="T14" s="132" t="s">
        <v>94</v>
      </c>
      <c r="U14" s="132" t="s">
        <v>96</v>
      </c>
      <c r="V14" s="132" t="s">
        <v>222</v>
      </c>
      <c r="W14" s="132" t="s">
        <v>93</v>
      </c>
      <c r="X14" s="132" t="s">
        <v>97</v>
      </c>
      <c r="Y14" s="132" t="s">
        <v>95</v>
      </c>
      <c r="Z14" s="132" t="s">
        <v>94</v>
      </c>
      <c r="AA14" s="132" t="s">
        <v>96</v>
      </c>
      <c r="AB14" s="132" t="s">
        <v>222</v>
      </c>
      <c r="AE14" s="17"/>
    </row>
    <row r="15" spans="2:28" ht="15">
      <c r="B15" s="74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W15" s="61"/>
      <c r="X15" s="61"/>
      <c r="Y15" s="61"/>
      <c r="Z15" s="61"/>
      <c r="AA15" s="61"/>
      <c r="AB15" s="61"/>
    </row>
    <row r="16" spans="2:28" ht="15.75">
      <c r="B16" s="136" t="s">
        <v>1776</v>
      </c>
      <c r="C16" s="48"/>
      <c r="D16" s="48"/>
      <c r="E16" s="48"/>
      <c r="F16" s="48"/>
      <c r="G16" s="48"/>
      <c r="H16" s="48"/>
      <c r="I16" s="48"/>
      <c r="J16" s="21"/>
      <c r="K16" s="48"/>
      <c r="L16" s="48"/>
      <c r="M16" s="48"/>
      <c r="N16" s="48"/>
      <c r="O16" s="48"/>
      <c r="W16" s="61"/>
      <c r="X16" s="61"/>
      <c r="Y16" s="61"/>
      <c r="Z16" s="61"/>
      <c r="AA16" s="61"/>
      <c r="AB16" s="61"/>
    </row>
    <row r="17" spans="2:28" ht="15">
      <c r="B17" s="228"/>
      <c r="C17" s="48"/>
      <c r="D17" s="48"/>
      <c r="E17" s="48"/>
      <c r="F17" s="48"/>
      <c r="G17" s="48"/>
      <c r="H17" s="51"/>
      <c r="I17" s="21"/>
      <c r="J17" s="21"/>
      <c r="K17" s="48"/>
      <c r="L17" s="48"/>
      <c r="M17" s="48"/>
      <c r="N17" s="48"/>
      <c r="O17" s="48"/>
      <c r="W17" s="61"/>
      <c r="X17" s="61"/>
      <c r="Y17" s="61"/>
      <c r="Z17" s="61"/>
      <c r="AA17" s="61"/>
      <c r="AB17" s="61"/>
    </row>
    <row r="18" spans="2:28" ht="15">
      <c r="B18" s="198"/>
      <c r="C18" s="48"/>
      <c r="D18" s="48"/>
      <c r="E18" s="45"/>
      <c r="F18" s="52"/>
      <c r="G18" s="48"/>
      <c r="H18" s="142"/>
      <c r="I18" s="21"/>
      <c r="J18" s="21"/>
      <c r="L18" s="21"/>
      <c r="M18" s="73"/>
      <c r="N18" s="21"/>
      <c r="O18" s="21"/>
      <c r="W18" s="73"/>
      <c r="X18" s="61"/>
      <c r="Y18" s="61"/>
      <c r="Z18" s="61"/>
      <c r="AA18" s="61"/>
      <c r="AB18" s="61"/>
    </row>
    <row r="19" spans="2:28" ht="15">
      <c r="B19" s="75" t="s">
        <v>1845</v>
      </c>
      <c r="C19" s="48">
        <v>7</v>
      </c>
      <c r="D19" s="48"/>
      <c r="E19" s="45">
        <v>34393</v>
      </c>
      <c r="F19" s="52">
        <f>($F$10-E19)/365</f>
        <v>23.605479452054794</v>
      </c>
      <c r="G19" s="48">
        <v>2695</v>
      </c>
      <c r="H19" s="142">
        <v>0</v>
      </c>
      <c r="I19" s="21">
        <f>G19-H19*G19</f>
        <v>2695</v>
      </c>
      <c r="J19" s="21">
        <f>I19/C19</f>
        <v>385</v>
      </c>
      <c r="L19" s="21">
        <f>IF(F19&lt;0,0,IF(F19&lt;=C19,J19*F19,I19))</f>
        <v>2695</v>
      </c>
      <c r="M19" s="73">
        <f>IF(L19=0,(1+F19)*J19,IF(J19&lt;=(I19-L19),J19,(I19-L19)))</f>
        <v>0</v>
      </c>
      <c r="N19" s="21">
        <f>M19+L19</f>
        <v>2695</v>
      </c>
      <c r="O19" s="21">
        <f>IF(L19=0,(G19/2)-(M19/2),G19-((N19+L19)/2))</f>
        <v>0</v>
      </c>
      <c r="W19" s="73"/>
      <c r="X19" s="61"/>
      <c r="Y19" s="61"/>
      <c r="Z19" s="61"/>
      <c r="AA19" s="61"/>
      <c r="AB19" s="61"/>
    </row>
    <row r="20" spans="2:28" ht="15">
      <c r="B20" s="75" t="s">
        <v>1846</v>
      </c>
      <c r="C20" s="48">
        <v>7</v>
      </c>
      <c r="D20" s="48"/>
      <c r="E20" s="45">
        <v>35812</v>
      </c>
      <c r="F20" s="52">
        <f>($F$10-E20)/365</f>
        <v>19.71780821917808</v>
      </c>
      <c r="G20" s="48">
        <v>21000</v>
      </c>
      <c r="H20" s="142">
        <v>0</v>
      </c>
      <c r="I20" s="21">
        <f>G20-H20*G20</f>
        <v>21000</v>
      </c>
      <c r="J20" s="21">
        <f>I20/C20</f>
        <v>3000</v>
      </c>
      <c r="L20" s="21">
        <f>IF(F20&lt;0,0,IF(F20&lt;=C20,J20*F20,I20))</f>
        <v>21000</v>
      </c>
      <c r="M20" s="73">
        <f>IF(L20=0,(1+F20)*J20,IF(J20&lt;=(I20-L20),J20,(I20-L20)))</f>
        <v>0</v>
      </c>
      <c r="N20" s="21">
        <f>M20+L20</f>
        <v>21000</v>
      </c>
      <c r="O20" s="21">
        <f>IF(L20=0,(G20/2)-(M20/2),G20-((N20+L20)/2))</f>
        <v>0</v>
      </c>
      <c r="W20" s="73"/>
      <c r="X20" s="61"/>
      <c r="Y20" s="61"/>
      <c r="Z20" s="61"/>
      <c r="AA20" s="61"/>
      <c r="AB20" s="61"/>
    </row>
    <row r="21" spans="2:28" ht="15">
      <c r="B21" s="75" t="s">
        <v>1847</v>
      </c>
      <c r="C21" s="48">
        <v>7</v>
      </c>
      <c r="D21" s="48"/>
      <c r="E21" s="45">
        <v>36340</v>
      </c>
      <c r="F21" s="52">
        <f>#N/A</f>
        <v>18.27123287671233</v>
      </c>
      <c r="G21" s="48">
        <v>99826</v>
      </c>
      <c r="H21" s="142">
        <v>0</v>
      </c>
      <c r="I21" s="21">
        <f>#N/A</f>
        <v>99826</v>
      </c>
      <c r="J21" s="21">
        <f>#N/A</f>
        <v>14260.857142857143</v>
      </c>
      <c r="L21" s="21">
        <f>#N/A</f>
        <v>99826</v>
      </c>
      <c r="M21" s="73">
        <f>#N/A</f>
        <v>0</v>
      </c>
      <c r="N21" s="21">
        <f>#N/A</f>
        <v>99826</v>
      </c>
      <c r="O21" s="21">
        <f>#N/A</f>
        <v>0</v>
      </c>
      <c r="W21" s="73"/>
      <c r="X21" s="61"/>
      <c r="Y21" s="61"/>
      <c r="Z21" s="61"/>
      <c r="AA21" s="61"/>
      <c r="AB21" s="61"/>
    </row>
    <row r="22" spans="2:28" ht="15">
      <c r="B22" s="75" t="s">
        <v>1848</v>
      </c>
      <c r="C22" s="48">
        <v>7</v>
      </c>
      <c r="D22" s="48"/>
      <c r="E22" s="45">
        <v>37105</v>
      </c>
      <c r="F22" s="52">
        <f>#N/A</f>
        <v>16.175342465753424</v>
      </c>
      <c r="G22" s="48">
        <v>908</v>
      </c>
      <c r="H22" s="142">
        <v>0</v>
      </c>
      <c r="I22" s="21">
        <f>#N/A</f>
        <v>908</v>
      </c>
      <c r="J22" s="21">
        <f>#N/A</f>
        <v>129.71428571428572</v>
      </c>
      <c r="L22" s="21">
        <f>#N/A</f>
        <v>908</v>
      </c>
      <c r="M22" s="73">
        <f>#N/A</f>
        <v>0</v>
      </c>
      <c r="N22" s="21">
        <f>#N/A</f>
        <v>908</v>
      </c>
      <c r="O22" s="21">
        <f>#N/A</f>
        <v>0</v>
      </c>
      <c r="W22" s="73"/>
      <c r="X22" s="61"/>
      <c r="Y22" s="61"/>
      <c r="Z22" s="61"/>
      <c r="AA22" s="61"/>
      <c r="AB22" s="61"/>
    </row>
    <row r="23" spans="2:28" ht="15">
      <c r="B23" s="75" t="s">
        <v>1849</v>
      </c>
      <c r="C23" s="48">
        <v>7</v>
      </c>
      <c r="D23" s="48"/>
      <c r="E23" s="45">
        <v>37196</v>
      </c>
      <c r="F23" s="52">
        <f>#N/A</f>
        <v>15.926027397260274</v>
      </c>
      <c r="G23" s="48">
        <v>9000</v>
      </c>
      <c r="H23" s="142">
        <v>0</v>
      </c>
      <c r="I23" s="21">
        <f>#N/A</f>
        <v>9000</v>
      </c>
      <c r="J23" s="21">
        <f>#N/A</f>
        <v>1285.7142857142858</v>
      </c>
      <c r="L23" s="21">
        <f>#N/A</f>
        <v>9000</v>
      </c>
      <c r="M23" s="73">
        <f>#N/A</f>
        <v>0</v>
      </c>
      <c r="N23" s="21">
        <f>#N/A</f>
        <v>9000</v>
      </c>
      <c r="O23" s="21">
        <f>#N/A</f>
        <v>0</v>
      </c>
      <c r="W23" s="73"/>
      <c r="X23" s="61"/>
      <c r="Y23" s="61"/>
      <c r="Z23" s="61"/>
      <c r="AA23" s="61"/>
      <c r="AB23" s="61"/>
    </row>
    <row r="24" spans="2:28" ht="15">
      <c r="B24" s="75" t="s">
        <v>1850</v>
      </c>
      <c r="C24" s="48">
        <v>7</v>
      </c>
      <c r="D24" s="275"/>
      <c r="E24" s="45">
        <v>38141</v>
      </c>
      <c r="F24" s="52">
        <f>#N/A</f>
        <v>13.336986301369864</v>
      </c>
      <c r="G24" s="48">
        <v>2779</v>
      </c>
      <c r="H24" s="142">
        <v>0</v>
      </c>
      <c r="I24" s="21">
        <f>#N/A</f>
        <v>2779</v>
      </c>
      <c r="J24" s="21">
        <f>#N/A</f>
        <v>397</v>
      </c>
      <c r="L24" s="21">
        <f>#N/A</f>
        <v>2779</v>
      </c>
      <c r="M24" s="73">
        <f>#N/A</f>
        <v>0</v>
      </c>
      <c r="N24" s="21">
        <f>#N/A</f>
        <v>2779</v>
      </c>
      <c r="O24" s="21">
        <f>#N/A</f>
        <v>0</v>
      </c>
      <c r="W24" s="73"/>
      <c r="X24" s="61"/>
      <c r="Y24" s="61"/>
      <c r="Z24" s="61"/>
      <c r="AA24" s="61"/>
      <c r="AB24" s="61"/>
    </row>
    <row r="25" spans="2:28" ht="15">
      <c r="B25" s="75" t="s">
        <v>1851</v>
      </c>
      <c r="C25" s="48">
        <v>7</v>
      </c>
      <c r="D25" s="48"/>
      <c r="E25" s="45">
        <v>37341</v>
      </c>
      <c r="F25" s="52">
        <f>#N/A</f>
        <v>15.528767123287672</v>
      </c>
      <c r="G25" s="48">
        <v>6538</v>
      </c>
      <c r="H25" s="142">
        <v>0</v>
      </c>
      <c r="I25" s="21">
        <f>#N/A</f>
        <v>6538</v>
      </c>
      <c r="J25" s="21">
        <f>#N/A</f>
        <v>934</v>
      </c>
      <c r="L25" s="21">
        <f>#N/A</f>
        <v>6538</v>
      </c>
      <c r="M25" s="73">
        <f>#N/A</f>
        <v>0</v>
      </c>
      <c r="N25" s="21">
        <f>#N/A</f>
        <v>6538</v>
      </c>
      <c r="O25" s="21">
        <f>#N/A</f>
        <v>0</v>
      </c>
      <c r="W25" s="73"/>
      <c r="X25" s="61"/>
      <c r="Y25" s="61"/>
      <c r="Z25" s="61"/>
      <c r="AA25" s="61"/>
      <c r="AB25" s="61"/>
    </row>
    <row r="26" spans="2:28" ht="15">
      <c r="B26" s="75" t="s">
        <v>1852</v>
      </c>
      <c r="C26" s="48">
        <v>7</v>
      </c>
      <c r="D26" s="48"/>
      <c r="E26" s="45">
        <v>38034</v>
      </c>
      <c r="F26" s="52">
        <f>#N/A</f>
        <v>13.63013698630137</v>
      </c>
      <c r="G26" s="48">
        <v>90946</v>
      </c>
      <c r="H26" s="142">
        <v>0</v>
      </c>
      <c r="I26" s="21">
        <f>#N/A</f>
        <v>90946</v>
      </c>
      <c r="J26" s="21">
        <f>#N/A</f>
        <v>12992.285714285714</v>
      </c>
      <c r="L26" s="21">
        <f>#N/A</f>
        <v>90946</v>
      </c>
      <c r="M26" s="73">
        <f>#N/A</f>
        <v>0</v>
      </c>
      <c r="N26" s="21">
        <f>#N/A</f>
        <v>90946</v>
      </c>
      <c r="O26" s="21">
        <f>#N/A</f>
        <v>0</v>
      </c>
      <c r="W26" s="73"/>
      <c r="X26" s="61"/>
      <c r="Y26" s="61"/>
      <c r="Z26" s="61"/>
      <c r="AA26" s="61"/>
      <c r="AB26" s="61"/>
    </row>
    <row r="27" spans="2:28" ht="15">
      <c r="B27" s="75" t="s">
        <v>1853</v>
      </c>
      <c r="C27" s="48">
        <v>7</v>
      </c>
      <c r="D27" s="48"/>
      <c r="E27" s="45">
        <v>38076</v>
      </c>
      <c r="F27" s="52">
        <f>#N/A</f>
        <v>13.515068493150684</v>
      </c>
      <c r="G27" s="48">
        <v>6348</v>
      </c>
      <c r="H27" s="142">
        <v>0</v>
      </c>
      <c r="I27" s="21">
        <f>#N/A</f>
        <v>6348</v>
      </c>
      <c r="J27" s="21">
        <f>#N/A</f>
        <v>906.8571428571429</v>
      </c>
      <c r="L27" s="21">
        <f>#N/A</f>
        <v>6348</v>
      </c>
      <c r="M27" s="73">
        <f>#N/A</f>
        <v>0</v>
      </c>
      <c r="N27" s="21">
        <f>#N/A</f>
        <v>6348</v>
      </c>
      <c r="O27" s="21">
        <f>#N/A</f>
        <v>0</v>
      </c>
      <c r="W27" s="73"/>
      <c r="X27" s="61"/>
      <c r="Y27" s="61"/>
      <c r="Z27" s="61"/>
      <c r="AA27" s="61"/>
      <c r="AB27" s="61"/>
    </row>
    <row r="28" spans="2:28" ht="15">
      <c r="B28" s="75" t="s">
        <v>1854</v>
      </c>
      <c r="C28" s="48">
        <v>7</v>
      </c>
      <c r="D28" s="48"/>
      <c r="E28" s="45">
        <v>38259</v>
      </c>
      <c r="F28" s="52">
        <f>#N/A</f>
        <v>13.013698630136986</v>
      </c>
      <c r="G28" s="48">
        <v>9612</v>
      </c>
      <c r="H28" s="142">
        <v>0</v>
      </c>
      <c r="I28" s="21">
        <f>#N/A</f>
        <v>9612</v>
      </c>
      <c r="J28" s="21">
        <f>#N/A</f>
        <v>1373.142857142857</v>
      </c>
      <c r="L28" s="21">
        <f>#N/A</f>
        <v>9612</v>
      </c>
      <c r="M28" s="73">
        <f>#N/A</f>
        <v>0</v>
      </c>
      <c r="N28" s="21">
        <f>#N/A</f>
        <v>9612</v>
      </c>
      <c r="O28" s="21">
        <f>#N/A</f>
        <v>0</v>
      </c>
      <c r="W28" s="73"/>
      <c r="X28" s="61"/>
      <c r="Y28" s="61"/>
      <c r="Z28" s="61"/>
      <c r="AA28" s="61"/>
      <c r="AB28" s="61"/>
    </row>
    <row r="29" spans="2:28" ht="15">
      <c r="B29" s="75" t="s">
        <v>1855</v>
      </c>
      <c r="C29" s="48">
        <v>7</v>
      </c>
      <c r="D29" s="48"/>
      <c r="E29" s="45">
        <v>38733</v>
      </c>
      <c r="F29" s="52">
        <f>#N/A</f>
        <v>11.715068493150685</v>
      </c>
      <c r="G29" s="48">
        <v>128440</v>
      </c>
      <c r="H29" s="142">
        <v>0</v>
      </c>
      <c r="I29" s="21">
        <f>#N/A</f>
        <v>128440</v>
      </c>
      <c r="J29" s="21">
        <f>#N/A</f>
        <v>18348.571428571428</v>
      </c>
      <c r="L29" s="21">
        <f>#N/A</f>
        <v>128440</v>
      </c>
      <c r="M29" s="73">
        <f>#N/A</f>
        <v>0</v>
      </c>
      <c r="N29" s="21">
        <f>#N/A</f>
        <v>128440</v>
      </c>
      <c r="O29" s="21">
        <f>#N/A</f>
        <v>0</v>
      </c>
      <c r="W29" s="73"/>
      <c r="X29" s="61"/>
      <c r="Y29" s="61"/>
      <c r="Z29" s="61"/>
      <c r="AA29" s="61"/>
      <c r="AB29" s="61"/>
    </row>
    <row r="30" spans="2:28" ht="15">
      <c r="B30" s="75" t="s">
        <v>1856</v>
      </c>
      <c r="C30" s="48">
        <v>7</v>
      </c>
      <c r="D30" s="48"/>
      <c r="E30" s="45">
        <v>39011</v>
      </c>
      <c r="F30" s="52">
        <f>#N/A</f>
        <v>10.953424657534246</v>
      </c>
      <c r="G30" s="48">
        <v>17392</v>
      </c>
      <c r="H30" s="142">
        <v>0</v>
      </c>
      <c r="I30" s="21">
        <f>#N/A</f>
        <v>17392</v>
      </c>
      <c r="J30" s="21">
        <f>#N/A</f>
        <v>2484.5714285714284</v>
      </c>
      <c r="L30" s="21">
        <f>#N/A</f>
        <v>17392</v>
      </c>
      <c r="M30" s="73">
        <f>#N/A</f>
        <v>0</v>
      </c>
      <c r="N30" s="21">
        <f>#N/A</f>
        <v>17392</v>
      </c>
      <c r="O30" s="21">
        <f>#N/A</f>
        <v>0</v>
      </c>
      <c r="W30" s="73"/>
      <c r="X30" s="61"/>
      <c r="Y30" s="61"/>
      <c r="Z30" s="61"/>
      <c r="AA30" s="61"/>
      <c r="AB30" s="61"/>
    </row>
    <row r="31" spans="2:28" ht="15">
      <c r="B31" s="75" t="s">
        <v>1857</v>
      </c>
      <c r="C31" s="48">
        <v>7</v>
      </c>
      <c r="D31" s="48"/>
      <c r="E31" s="45">
        <v>39331</v>
      </c>
      <c r="F31" s="52">
        <f>#N/A</f>
        <v>10.076712328767123</v>
      </c>
      <c r="G31" s="48">
        <v>86206</v>
      </c>
      <c r="H31" s="142">
        <v>0</v>
      </c>
      <c r="I31" s="21">
        <f>#N/A</f>
        <v>86206</v>
      </c>
      <c r="J31" s="21">
        <f>#N/A</f>
        <v>12315.142857142857</v>
      </c>
      <c r="L31" s="21">
        <f>#N/A</f>
        <v>86206</v>
      </c>
      <c r="M31" s="73">
        <f>#N/A</f>
        <v>0</v>
      </c>
      <c r="N31" s="21">
        <f>#N/A</f>
        <v>86206</v>
      </c>
      <c r="O31" s="21">
        <f>#N/A</f>
        <v>0</v>
      </c>
      <c r="W31" s="73"/>
      <c r="X31" s="61"/>
      <c r="Y31" s="61"/>
      <c r="Z31" s="61"/>
      <c r="AA31" s="61"/>
      <c r="AB31" s="61"/>
    </row>
    <row r="32" spans="2:28" ht="15">
      <c r="B32" s="75" t="s">
        <v>1858</v>
      </c>
      <c r="C32" s="48">
        <v>7</v>
      </c>
      <c r="D32" s="48"/>
      <c r="E32" s="45">
        <v>40071</v>
      </c>
      <c r="F32" s="52">
        <f>#N/A</f>
        <v>8.04931506849315</v>
      </c>
      <c r="G32" s="48">
        <f>8085+12997+16275+400</f>
        <v>37757</v>
      </c>
      <c r="H32" s="142">
        <v>0</v>
      </c>
      <c r="I32" s="21">
        <f>#N/A</f>
        <v>37757</v>
      </c>
      <c r="J32" s="21">
        <f>#N/A</f>
        <v>5393.857142857143</v>
      </c>
      <c r="L32" s="21">
        <f>#N/A</f>
        <v>37757</v>
      </c>
      <c r="M32" s="73">
        <f>#N/A</f>
        <v>0</v>
      </c>
      <c r="N32" s="21">
        <f>#N/A</f>
        <v>37757</v>
      </c>
      <c r="O32" s="21">
        <f>#N/A</f>
        <v>0</v>
      </c>
      <c r="W32" s="73"/>
      <c r="X32" s="61"/>
      <c r="Y32" s="61"/>
      <c r="Z32" s="61"/>
      <c r="AA32" s="61"/>
      <c r="AB32" s="61"/>
    </row>
    <row r="33" spans="2:28" ht="15">
      <c r="B33" s="75" t="s">
        <v>1859</v>
      </c>
      <c r="C33" s="48">
        <v>7</v>
      </c>
      <c r="D33" s="48"/>
      <c r="E33" s="45">
        <v>40378</v>
      </c>
      <c r="F33" s="52">
        <f>#N/A</f>
        <v>7.208219178082191</v>
      </c>
      <c r="G33" s="48">
        <f>70315+62166</f>
        <v>132481</v>
      </c>
      <c r="H33" s="142">
        <v>0</v>
      </c>
      <c r="I33" s="21">
        <f>#N/A</f>
        <v>132481</v>
      </c>
      <c r="J33" s="21">
        <f>#N/A</f>
        <v>18925.85714285714</v>
      </c>
      <c r="L33" s="21">
        <f>#N/A</f>
        <v>132481</v>
      </c>
      <c r="M33" s="73">
        <f>#N/A</f>
        <v>0</v>
      </c>
      <c r="N33" s="21">
        <f>#N/A</f>
        <v>132481</v>
      </c>
      <c r="O33" s="21">
        <f>#N/A</f>
        <v>0</v>
      </c>
      <c r="W33" s="73"/>
      <c r="X33" s="61"/>
      <c r="Y33" s="61"/>
      <c r="Z33" s="61"/>
      <c r="AA33" s="61"/>
      <c r="AB33" s="61"/>
    </row>
    <row r="34" spans="2:28" ht="15">
      <c r="B34" s="75" t="s">
        <v>1860</v>
      </c>
      <c r="C34" s="48">
        <v>7</v>
      </c>
      <c r="D34" s="48"/>
      <c r="E34" s="45">
        <v>40647</v>
      </c>
      <c r="F34" s="52">
        <f>#N/A</f>
        <v>6.471232876712329</v>
      </c>
      <c r="G34" s="48">
        <f>4328+541+6492+5000-4328</f>
        <v>12033</v>
      </c>
      <c r="H34" s="142">
        <v>0</v>
      </c>
      <c r="I34" s="21">
        <f>#N/A</f>
        <v>12033</v>
      </c>
      <c r="J34" s="21">
        <f>#N/A</f>
        <v>1719</v>
      </c>
      <c r="L34" s="21">
        <f>#N/A</f>
        <v>11124.049315068494</v>
      </c>
      <c r="M34" s="73">
        <f>#N/A</f>
        <v>908.9506849315057</v>
      </c>
      <c r="N34" s="21">
        <f>#N/A</f>
        <v>12033</v>
      </c>
      <c r="O34" s="21">
        <f>#N/A</f>
        <v>454.4753424657538</v>
      </c>
      <c r="W34" s="73"/>
      <c r="X34" s="61"/>
      <c r="Y34" s="61"/>
      <c r="Z34" s="61"/>
      <c r="AA34" s="61"/>
      <c r="AB34" s="61"/>
    </row>
    <row r="35" spans="2:28" ht="15">
      <c r="B35" s="75" t="s">
        <v>1861</v>
      </c>
      <c r="C35" s="48">
        <v>7</v>
      </c>
      <c r="D35" s="48"/>
      <c r="E35" s="45">
        <v>40811</v>
      </c>
      <c r="F35" s="52">
        <f>#N/A</f>
        <v>6.021917808219178</v>
      </c>
      <c r="G35" s="48">
        <v>30512</v>
      </c>
      <c r="H35" s="142">
        <v>0</v>
      </c>
      <c r="I35" s="21">
        <f>#N/A</f>
        <v>30512</v>
      </c>
      <c r="J35" s="21">
        <f>#N/A</f>
        <v>4358.857142857143</v>
      </c>
      <c r="L35" s="21">
        <f>#N/A</f>
        <v>26248.679452054796</v>
      </c>
      <c r="M35" s="73">
        <f>#N/A</f>
        <v>4263.320547945204</v>
      </c>
      <c r="N35" s="21">
        <f>#N/A</f>
        <v>30512</v>
      </c>
      <c r="O35" s="21">
        <f>#N/A</f>
        <v>2131.6602739726004</v>
      </c>
      <c r="W35" s="73"/>
      <c r="X35" s="61"/>
      <c r="Y35" s="61"/>
      <c r="Z35" s="61"/>
      <c r="AA35" s="61"/>
      <c r="AB35" s="61"/>
    </row>
    <row r="36" spans="2:28" ht="15">
      <c r="B36" s="75" t="s">
        <v>1862</v>
      </c>
      <c r="C36" s="48">
        <v>7</v>
      </c>
      <c r="D36" s="48"/>
      <c r="E36" s="45">
        <v>40997</v>
      </c>
      <c r="F36" s="52">
        <f>#N/A</f>
        <v>5.512328767123288</v>
      </c>
      <c r="G36" s="48">
        <f>47540-47540</f>
        <v>0</v>
      </c>
      <c r="H36" s="142">
        <v>0</v>
      </c>
      <c r="I36" s="21">
        <f>#N/A</f>
        <v>0</v>
      </c>
      <c r="J36" s="21">
        <f>#N/A</f>
        <v>0</v>
      </c>
      <c r="L36" s="21">
        <f>#N/A</f>
        <v>0</v>
      </c>
      <c r="M36" s="73">
        <f>#N/A</f>
        <v>0</v>
      </c>
      <c r="N36" s="21">
        <f>#N/A</f>
        <v>0</v>
      </c>
      <c r="O36" s="21">
        <f>#N/A</f>
        <v>0</v>
      </c>
      <c r="W36" s="73"/>
      <c r="X36" s="61"/>
      <c r="Y36" s="61"/>
      <c r="Z36" s="61"/>
      <c r="AA36" s="61"/>
      <c r="AB36" s="61"/>
    </row>
    <row r="37" spans="2:28" ht="15">
      <c r="B37" s="75" t="s">
        <v>1863</v>
      </c>
      <c r="C37" s="48">
        <v>7</v>
      </c>
      <c r="D37" s="48"/>
      <c r="E37" s="45">
        <v>41204</v>
      </c>
      <c r="F37" s="52">
        <f>#N/A</f>
        <v>4.945205479452055</v>
      </c>
      <c r="G37" s="48">
        <f>153532-30000</f>
        <v>123532</v>
      </c>
      <c r="H37" s="142">
        <v>0</v>
      </c>
      <c r="I37" s="21">
        <f>#N/A</f>
        <v>123532</v>
      </c>
      <c r="J37" s="21">
        <f>#N/A</f>
        <v>17647.428571428572</v>
      </c>
      <c r="L37" s="21">
        <f>#N/A</f>
        <v>87270.16046966732</v>
      </c>
      <c r="M37" s="73">
        <f>#N/A</f>
        <v>17647.428571428572</v>
      </c>
      <c r="N37" s="21">
        <f>#N/A</f>
        <v>104917.5890410959</v>
      </c>
      <c r="O37" s="21">
        <f>#N/A</f>
        <v>27438.125244618393</v>
      </c>
      <c r="W37" s="73"/>
      <c r="X37" s="61"/>
      <c r="Y37" s="61"/>
      <c r="Z37" s="61"/>
      <c r="AA37" s="61"/>
      <c r="AB37" s="61"/>
    </row>
    <row r="38" spans="2:28" ht="15">
      <c r="B38" s="75" t="s">
        <v>1864</v>
      </c>
      <c r="C38" s="48">
        <v>7</v>
      </c>
      <c r="D38" s="48"/>
      <c r="E38" s="45">
        <v>41934</v>
      </c>
      <c r="F38" s="52">
        <f>#N/A</f>
        <v>2.9452054794520546</v>
      </c>
      <c r="G38" s="48">
        <v>23241</v>
      </c>
      <c r="H38" s="142">
        <v>0</v>
      </c>
      <c r="I38" s="21">
        <f>#N/A</f>
        <v>23241</v>
      </c>
      <c r="J38" s="21">
        <f>#N/A</f>
        <v>3320.1428571428573</v>
      </c>
      <c r="L38" s="21">
        <f>#N/A</f>
        <v>9778.502935420744</v>
      </c>
      <c r="M38" s="73">
        <f>#N/A</f>
        <v>3320.1428571428573</v>
      </c>
      <c r="N38" s="21">
        <f>#N/A</f>
        <v>13098.6457925636</v>
      </c>
      <c r="O38" s="21">
        <f>#N/A</f>
        <v>11802.425636007829</v>
      </c>
      <c r="W38" s="73"/>
      <c r="X38" s="61"/>
      <c r="Y38" s="61"/>
      <c r="Z38" s="61"/>
      <c r="AA38" s="61"/>
      <c r="AB38" s="61"/>
    </row>
    <row r="39" spans="2:28" ht="15">
      <c r="B39" s="75" t="s">
        <v>1865</v>
      </c>
      <c r="C39" s="48">
        <v>7</v>
      </c>
      <c r="D39" s="48"/>
      <c r="E39" s="45">
        <v>42105</v>
      </c>
      <c r="F39" s="52">
        <f>#N/A</f>
        <v>2.4767123287671233</v>
      </c>
      <c r="G39" s="48">
        <v>11531</v>
      </c>
      <c r="H39" s="142">
        <v>0</v>
      </c>
      <c r="I39" s="21">
        <f>#N/A</f>
        <v>11531</v>
      </c>
      <c r="J39" s="21">
        <f>#N/A</f>
        <v>1647.2857142857142</v>
      </c>
      <c r="L39" s="21">
        <f>#N/A</f>
        <v>4079.8528375733854</v>
      </c>
      <c r="M39" s="73">
        <f>#N/A</f>
        <v>1647.2857142857142</v>
      </c>
      <c r="N39" s="21">
        <f>#N/A</f>
        <v>5727.1385518591</v>
      </c>
      <c r="O39" s="21">
        <f>#N/A</f>
        <v>6627.504305283757</v>
      </c>
      <c r="W39" s="73"/>
      <c r="X39" s="61"/>
      <c r="Y39" s="61"/>
      <c r="Z39" s="61"/>
      <c r="AA39" s="61"/>
      <c r="AB39" s="61"/>
    </row>
    <row r="40" spans="2:28" ht="15">
      <c r="B40" s="75" t="s">
        <v>1867</v>
      </c>
      <c r="C40" s="48">
        <v>7</v>
      </c>
      <c r="D40" s="48"/>
      <c r="E40" s="45">
        <v>42516</v>
      </c>
      <c r="F40" s="52">
        <f>#N/A</f>
        <v>1.3506849315068492</v>
      </c>
      <c r="G40" s="48">
        <f>54281-54281</f>
        <v>0</v>
      </c>
      <c r="H40" s="142">
        <v>0</v>
      </c>
      <c r="I40" s="21">
        <f>#N/A</f>
        <v>0</v>
      </c>
      <c r="J40" s="21">
        <f>#N/A</f>
        <v>0</v>
      </c>
      <c r="L40" s="21">
        <f>#N/A</f>
        <v>0</v>
      </c>
      <c r="M40" s="73">
        <f>#N/A</f>
        <v>0</v>
      </c>
      <c r="N40" s="21">
        <f>#N/A</f>
        <v>0</v>
      </c>
      <c r="O40" s="21">
        <f>#N/A</f>
        <v>0</v>
      </c>
      <c r="W40" s="73"/>
      <c r="X40" s="61"/>
      <c r="Y40" s="61"/>
      <c r="Z40" s="61"/>
      <c r="AA40" s="61"/>
      <c r="AB40" s="61"/>
    </row>
    <row r="41" spans="2:28" ht="15">
      <c r="B41" s="75" t="s">
        <v>1866</v>
      </c>
      <c r="C41" s="48">
        <v>7</v>
      </c>
      <c r="D41" s="48"/>
      <c r="E41" s="45">
        <v>42516</v>
      </c>
      <c r="F41" s="52">
        <f>#N/A</f>
        <v>1.3506849315068492</v>
      </c>
      <c r="G41" s="48">
        <f>22027-22027</f>
        <v>0</v>
      </c>
      <c r="H41" s="142">
        <v>0</v>
      </c>
      <c r="I41" s="21">
        <f>#N/A</f>
        <v>0</v>
      </c>
      <c r="J41" s="21">
        <f>#N/A</f>
        <v>0</v>
      </c>
      <c r="L41" s="21">
        <f>#N/A</f>
        <v>0</v>
      </c>
      <c r="M41" s="73">
        <f>#N/A</f>
        <v>0</v>
      </c>
      <c r="N41" s="21">
        <f>#N/A</f>
        <v>0</v>
      </c>
      <c r="O41" s="21">
        <f>#N/A</f>
        <v>0</v>
      </c>
      <c r="W41" s="73"/>
      <c r="X41" s="61"/>
      <c r="Y41" s="61"/>
      <c r="Z41" s="61"/>
      <c r="AA41" s="61"/>
      <c r="AB41" s="61"/>
    </row>
    <row r="42" spans="2:28" ht="15">
      <c r="B42" s="75" t="s">
        <v>1848</v>
      </c>
      <c r="C42" s="48">
        <v>7</v>
      </c>
      <c r="D42" s="48"/>
      <c r="E42" s="45">
        <v>42628</v>
      </c>
      <c r="F42" s="52">
        <f>#N/A</f>
        <v>1.0438356164383562</v>
      </c>
      <c r="G42" s="48">
        <f>155795-30000</f>
        <v>125795</v>
      </c>
      <c r="H42" s="142">
        <v>0</v>
      </c>
      <c r="I42" s="21">
        <f>#N/A</f>
        <v>125795</v>
      </c>
      <c r="J42" s="21">
        <f>#N/A</f>
        <v>17970.714285714286</v>
      </c>
      <c r="L42" s="21">
        <f>#N/A</f>
        <v>18758.471624266145</v>
      </c>
      <c r="M42" s="73">
        <f>#N/A</f>
        <v>17970.714285714286</v>
      </c>
      <c r="N42" s="21">
        <f>#N/A</f>
        <v>36729.18590998043</v>
      </c>
      <c r="O42" s="21">
        <f>#N/A</f>
        <v>98051.17123287672</v>
      </c>
      <c r="W42" s="73"/>
      <c r="X42" s="61"/>
      <c r="Y42" s="61"/>
      <c r="Z42" s="61"/>
      <c r="AA42" s="61"/>
      <c r="AB42" s="61"/>
    </row>
    <row r="43" spans="2:28" ht="15">
      <c r="B43" s="75" t="s">
        <v>1866</v>
      </c>
      <c r="C43" s="48">
        <v>10</v>
      </c>
      <c r="D43" s="48"/>
      <c r="E43" s="45">
        <v>38295</v>
      </c>
      <c r="F43" s="52">
        <f>#N/A</f>
        <v>12.915068493150685</v>
      </c>
      <c r="G43" s="48">
        <v>8052</v>
      </c>
      <c r="H43" s="142">
        <v>0</v>
      </c>
      <c r="I43" s="21">
        <f>#N/A</f>
        <v>8052</v>
      </c>
      <c r="J43" s="21">
        <f>#N/A</f>
        <v>805.2</v>
      </c>
      <c r="L43" s="21">
        <f>#N/A</f>
        <v>8052</v>
      </c>
      <c r="M43" s="73">
        <f>#N/A</f>
        <v>0</v>
      </c>
      <c r="N43" s="21">
        <f>#N/A</f>
        <v>8052</v>
      </c>
      <c r="O43" s="21">
        <f>#N/A</f>
        <v>0</v>
      </c>
      <c r="W43" s="73"/>
      <c r="X43" s="61"/>
      <c r="Y43" s="61"/>
      <c r="Z43" s="61"/>
      <c r="AA43" s="61"/>
      <c r="AB43" s="61"/>
    </row>
    <row r="44" spans="2:28" ht="15">
      <c r="B44" s="75" t="s">
        <v>1868</v>
      </c>
      <c r="C44" s="48">
        <v>7</v>
      </c>
      <c r="D44" s="48"/>
      <c r="E44" s="45">
        <v>42622</v>
      </c>
      <c r="F44" s="52">
        <f>#N/A</f>
        <v>1.0602739726027397</v>
      </c>
      <c r="G44" s="48">
        <v>67408</v>
      </c>
      <c r="H44" s="142">
        <v>0</v>
      </c>
      <c r="I44" s="21">
        <f>#N/A</f>
        <v>67408</v>
      </c>
      <c r="J44" s="21">
        <f>#N/A</f>
        <v>9629.714285714286</v>
      </c>
      <c r="L44" s="21">
        <f>#N/A</f>
        <v>10210.13542074364</v>
      </c>
      <c r="M44" s="73">
        <f>#N/A</f>
        <v>9629.714285714286</v>
      </c>
      <c r="N44" s="21">
        <f>#N/A</f>
        <v>19839.849706457928</v>
      </c>
      <c r="O44" s="21">
        <f>#N/A</f>
        <v>52383.00743639922</v>
      </c>
      <c r="W44" s="73"/>
      <c r="X44" s="61"/>
      <c r="Y44" s="61"/>
      <c r="Z44" s="61"/>
      <c r="AA44" s="61"/>
      <c r="AB44" s="61"/>
    </row>
    <row r="45" spans="2:28" ht="15">
      <c r="B45" s="75" t="s">
        <v>1869</v>
      </c>
      <c r="C45" s="48">
        <v>15</v>
      </c>
      <c r="D45" s="48"/>
      <c r="E45" s="45">
        <v>36550</v>
      </c>
      <c r="F45" s="52">
        <f>#N/A</f>
        <v>17.695890410958903</v>
      </c>
      <c r="G45" s="48">
        <v>267164</v>
      </c>
      <c r="H45" s="142">
        <v>0</v>
      </c>
      <c r="I45" s="21">
        <f>#N/A</f>
        <v>267164</v>
      </c>
      <c r="J45" s="21">
        <f>#N/A</f>
        <v>17810.933333333334</v>
      </c>
      <c r="L45" s="21">
        <f>#N/A</f>
        <v>267164</v>
      </c>
      <c r="M45" s="73">
        <f>#N/A</f>
        <v>0</v>
      </c>
      <c r="N45" s="21">
        <f>#N/A</f>
        <v>267164</v>
      </c>
      <c r="O45" s="21">
        <f>#N/A</f>
        <v>0</v>
      </c>
      <c r="W45" s="73"/>
      <c r="X45" s="61"/>
      <c r="Y45" s="61"/>
      <c r="Z45" s="61"/>
      <c r="AA45" s="61"/>
      <c r="AB45" s="61"/>
    </row>
    <row r="46" spans="2:28" ht="15">
      <c r="B46" s="75" t="s">
        <v>1870</v>
      </c>
      <c r="C46" s="48">
        <v>10</v>
      </c>
      <c r="D46" s="48"/>
      <c r="E46" s="45">
        <v>35247</v>
      </c>
      <c r="F46" s="52">
        <f>#N/A</f>
        <v>21.265753424657536</v>
      </c>
      <c r="G46" s="48">
        <f>36085+8797+5756+200+600+9137+4316+4595+34578+10816+20699+20379+8240+3635+2550+450+595+34440+750+2160+3186+2012+920+100+1119+1234+1796+711+950+9939+3083+1350+2100+3234+949+1779+1189+9716+7800+900+1400+6675+6675+13774+2076+160+4000+6773+1000+2095+6776+925+2720+970+3500+3898+500+250+250+650+1610+2253+1370+1076+391+852</f>
        <v>335464</v>
      </c>
      <c r="H46" s="142">
        <v>0</v>
      </c>
      <c r="I46" s="21">
        <f>#N/A</f>
        <v>335464</v>
      </c>
      <c r="J46" s="21">
        <f>#N/A</f>
        <v>33546.4</v>
      </c>
      <c r="L46" s="21">
        <f>#N/A</f>
        <v>335464</v>
      </c>
      <c r="M46" s="73">
        <f>#N/A</f>
        <v>0</v>
      </c>
      <c r="N46" s="21">
        <f>#N/A</f>
        <v>335464</v>
      </c>
      <c r="O46" s="21">
        <f>#N/A</f>
        <v>0</v>
      </c>
      <c r="W46" s="73"/>
      <c r="X46" s="61"/>
      <c r="Y46" s="61"/>
      <c r="Z46" s="61"/>
      <c r="AA46" s="61"/>
      <c r="AB46" s="61"/>
    </row>
    <row r="47" spans="2:28" ht="15">
      <c r="B47" s="75" t="s">
        <v>1871</v>
      </c>
      <c r="C47" s="48">
        <v>10</v>
      </c>
      <c r="D47" s="48"/>
      <c r="E47" s="45">
        <v>39264</v>
      </c>
      <c r="F47" s="52">
        <f>#N/A</f>
        <v>10.26027397260274</v>
      </c>
      <c r="G47" s="48">
        <f>2250+6000+850+850+2965+1261+294+9125+3089</f>
        <v>26684</v>
      </c>
      <c r="H47" s="142">
        <v>0</v>
      </c>
      <c r="I47" s="21">
        <f>#N/A</f>
        <v>26684</v>
      </c>
      <c r="J47" s="21">
        <f>#N/A</f>
        <v>2668.4</v>
      </c>
      <c r="L47" s="21">
        <f>#N/A</f>
        <v>26684</v>
      </c>
      <c r="M47" s="73">
        <f>#N/A</f>
        <v>0</v>
      </c>
      <c r="N47" s="21">
        <f>#N/A</f>
        <v>26684</v>
      </c>
      <c r="O47" s="21">
        <f>#N/A</f>
        <v>0</v>
      </c>
      <c r="W47" s="73"/>
      <c r="X47" s="61"/>
      <c r="Y47" s="61"/>
      <c r="Z47" s="61"/>
      <c r="AA47" s="61"/>
      <c r="AB47" s="61"/>
    </row>
    <row r="48" spans="2:28" ht="15">
      <c r="B48" s="75" t="s">
        <v>1872</v>
      </c>
      <c r="C48" s="48">
        <v>10</v>
      </c>
      <c r="D48" s="48"/>
      <c r="E48" s="45">
        <v>39630</v>
      </c>
      <c r="F48" s="52">
        <f>#N/A</f>
        <v>9.257534246575343</v>
      </c>
      <c r="G48" s="48">
        <f>3000+6750+500+14813+10878+12535+1186+975+24216</f>
        <v>74853</v>
      </c>
      <c r="H48" s="142">
        <v>0</v>
      </c>
      <c r="I48" s="21">
        <f>#N/A</f>
        <v>74853</v>
      </c>
      <c r="J48" s="21">
        <f>#N/A</f>
        <v>7485.3</v>
      </c>
      <c r="L48" s="21">
        <f>#N/A</f>
        <v>69295.42109589042</v>
      </c>
      <c r="M48" s="73">
        <f>#N/A</f>
        <v>5557.578904109585</v>
      </c>
      <c r="N48" s="21">
        <f>#N/A</f>
        <v>74853</v>
      </c>
      <c r="O48" s="21">
        <f>#N/A</f>
        <v>2778.7894520547998</v>
      </c>
      <c r="W48" s="73"/>
      <c r="X48" s="61"/>
      <c r="Y48" s="61"/>
      <c r="Z48" s="61"/>
      <c r="AA48" s="61"/>
      <c r="AB48" s="61"/>
    </row>
    <row r="49" spans="2:28" ht="15">
      <c r="B49" s="75" t="s">
        <v>1873</v>
      </c>
      <c r="C49" s="48">
        <v>10</v>
      </c>
      <c r="D49" s="48"/>
      <c r="E49" s="45">
        <v>39995</v>
      </c>
      <c r="F49" s="52">
        <f>#N/A</f>
        <v>8.257534246575343</v>
      </c>
      <c r="G49" s="48">
        <f>19442+14290+2460</f>
        <v>36192</v>
      </c>
      <c r="H49" s="142">
        <v>0</v>
      </c>
      <c r="I49" s="21">
        <f>#N/A</f>
        <v>36192</v>
      </c>
      <c r="J49" s="21">
        <f>#N/A</f>
        <v>3619.2</v>
      </c>
      <c r="L49" s="21">
        <f>#N/A</f>
        <v>29885.66794520548</v>
      </c>
      <c r="M49" s="73">
        <f>#N/A</f>
        <v>3619.2</v>
      </c>
      <c r="N49" s="21">
        <f>#N/A</f>
        <v>33504.86794520548</v>
      </c>
      <c r="O49" s="21">
        <f>#N/A</f>
        <v>4496.73205479452</v>
      </c>
      <c r="W49" s="73"/>
      <c r="X49" s="61"/>
      <c r="Y49" s="61"/>
      <c r="Z49" s="61"/>
      <c r="AA49" s="61"/>
      <c r="AB49" s="61"/>
    </row>
    <row r="50" spans="2:28" ht="15">
      <c r="B50" s="75" t="s">
        <v>1874</v>
      </c>
      <c r="C50" s="48">
        <v>10</v>
      </c>
      <c r="D50" s="48"/>
      <c r="E50" s="45">
        <v>40360</v>
      </c>
      <c r="F50" s="52">
        <f>#N/A</f>
        <v>7.257534246575342</v>
      </c>
      <c r="G50" s="48">
        <f>13984+27967+500+14454+3950+14319+1192+500+4000+574+55000+358+10804-55000</f>
        <v>92602</v>
      </c>
      <c r="H50" s="142">
        <v>0</v>
      </c>
      <c r="I50" s="21">
        <f>#N/A</f>
        <v>92602</v>
      </c>
      <c r="J50" s="21">
        <f>#N/A</f>
        <v>9260.2</v>
      </c>
      <c r="L50" s="21">
        <f>#N/A</f>
        <v>67206.218630137</v>
      </c>
      <c r="M50" s="73">
        <f>#N/A</f>
        <v>9260.2</v>
      </c>
      <c r="N50" s="21">
        <f>#N/A</f>
        <v>76466.41863013699</v>
      </c>
      <c r="O50" s="21">
        <f>#N/A</f>
        <v>20765.681369863014</v>
      </c>
      <c r="W50" s="73"/>
      <c r="X50" s="61"/>
      <c r="Y50" s="61"/>
      <c r="Z50" s="61"/>
      <c r="AA50" s="61"/>
      <c r="AB50" s="61"/>
    </row>
    <row r="51" spans="2:28" ht="15">
      <c r="B51" s="75" t="s">
        <v>1875</v>
      </c>
      <c r="C51" s="48">
        <v>10</v>
      </c>
      <c r="D51" s="48"/>
      <c r="E51" s="45">
        <v>40725</v>
      </c>
      <c r="F51" s="52">
        <f>#N/A</f>
        <v>6.257534246575342</v>
      </c>
      <c r="G51" s="48">
        <f>2500+3900+6700+14290+3800+876+850</f>
        <v>32916</v>
      </c>
      <c r="H51" s="142">
        <v>0</v>
      </c>
      <c r="I51" s="21">
        <f>#N/A</f>
        <v>32916</v>
      </c>
      <c r="J51" s="21">
        <f>#N/A</f>
        <v>3291.6</v>
      </c>
      <c r="L51" s="21">
        <f>#N/A</f>
        <v>20597.299726027395</v>
      </c>
      <c r="M51" s="73">
        <f>#N/A</f>
        <v>3291.6</v>
      </c>
      <c r="N51" s="21">
        <f>#N/A</f>
        <v>23888.899726027394</v>
      </c>
      <c r="O51" s="21">
        <f>#N/A</f>
        <v>10672.900273972606</v>
      </c>
      <c r="W51" s="73"/>
      <c r="X51" s="61"/>
      <c r="Y51" s="61"/>
      <c r="Z51" s="61"/>
      <c r="AA51" s="61"/>
      <c r="AB51" s="61"/>
    </row>
    <row r="52" spans="2:28" ht="15">
      <c r="B52" s="75" t="s">
        <v>1876</v>
      </c>
      <c r="C52" s="48">
        <v>10</v>
      </c>
      <c r="D52" s="48"/>
      <c r="E52" s="45">
        <v>41091</v>
      </c>
      <c r="F52" s="52">
        <f>#N/A</f>
        <v>5.254794520547946</v>
      </c>
      <c r="G52" s="48">
        <f>10556+14454+6077+2609+5197+5196-6077-10556</f>
        <v>27456</v>
      </c>
      <c r="H52" s="142">
        <v>0</v>
      </c>
      <c r="I52" s="21">
        <f>#N/A</f>
        <v>27456</v>
      </c>
      <c r="J52" s="21">
        <f>#N/A</f>
        <v>2745.6</v>
      </c>
      <c r="L52" s="21">
        <f>#N/A</f>
        <v>14427.563835616438</v>
      </c>
      <c r="M52" s="73">
        <f>#N/A</f>
        <v>2745.6</v>
      </c>
      <c r="N52" s="21">
        <f>#N/A</f>
        <v>17173.163835616437</v>
      </c>
      <c r="O52" s="21">
        <f>#N/A</f>
        <v>11655.636164383563</v>
      </c>
      <c r="W52" s="73"/>
      <c r="X52" s="61"/>
      <c r="Y52" s="61"/>
      <c r="Z52" s="61"/>
      <c r="AA52" s="61"/>
      <c r="AB52" s="61"/>
    </row>
    <row r="53" spans="2:28" ht="15">
      <c r="B53" s="75" t="s">
        <v>1877</v>
      </c>
      <c r="C53" s="48">
        <v>10</v>
      </c>
      <c r="D53" s="48"/>
      <c r="E53" s="45">
        <v>41456</v>
      </c>
      <c r="F53" s="52">
        <f>#N/A</f>
        <v>4.254794520547946</v>
      </c>
      <c r="G53" s="48">
        <f>1305+1845+4244+6711</f>
        <v>14105</v>
      </c>
      <c r="H53" s="142">
        <v>0</v>
      </c>
      <c r="I53" s="21">
        <f>#N/A</f>
        <v>14105</v>
      </c>
      <c r="J53" s="21">
        <f>#N/A</f>
        <v>1410.5</v>
      </c>
      <c r="L53" s="21">
        <f>#N/A</f>
        <v>6001.387671232877</v>
      </c>
      <c r="M53" s="73">
        <f>#N/A</f>
        <v>1410.5</v>
      </c>
      <c r="N53" s="21">
        <f>#N/A</f>
        <v>7411.887671232877</v>
      </c>
      <c r="O53" s="21">
        <f>#N/A</f>
        <v>7398.362328767123</v>
      </c>
      <c r="W53" s="73"/>
      <c r="X53" s="61"/>
      <c r="Y53" s="61"/>
      <c r="Z53" s="61"/>
      <c r="AA53" s="61"/>
      <c r="AB53" s="61"/>
    </row>
    <row r="54" spans="2:28" ht="15">
      <c r="B54" s="75" t="s">
        <v>1878</v>
      </c>
      <c r="C54" s="48">
        <v>10</v>
      </c>
      <c r="D54" s="48"/>
      <c r="E54" s="45">
        <v>41821</v>
      </c>
      <c r="F54" s="52">
        <f>#N/A</f>
        <v>3.254794520547945</v>
      </c>
      <c r="G54" s="48">
        <f>3773+5962+3252+15275+0</f>
        <v>28262</v>
      </c>
      <c r="H54" s="142">
        <v>0</v>
      </c>
      <c r="I54" s="21">
        <f>#N/A</f>
        <v>28262</v>
      </c>
      <c r="J54" s="21">
        <f>#N/A</f>
        <v>2826.2</v>
      </c>
      <c r="L54" s="21">
        <f>#N/A</f>
        <v>9198.700273972601</v>
      </c>
      <c r="M54" s="73">
        <f>#N/A</f>
        <v>2826.2</v>
      </c>
      <c r="N54" s="21">
        <f>#N/A</f>
        <v>12024.900273972602</v>
      </c>
      <c r="O54" s="21">
        <f>#N/A</f>
        <v>17650.1997260274</v>
      </c>
      <c r="W54" s="73"/>
      <c r="X54" s="61"/>
      <c r="Y54" s="61"/>
      <c r="Z54" s="61"/>
      <c r="AA54" s="61"/>
      <c r="AB54" s="61"/>
    </row>
    <row r="55" spans="2:28" ht="15">
      <c r="B55" s="75" t="s">
        <v>1879</v>
      </c>
      <c r="C55" s="48">
        <v>10</v>
      </c>
      <c r="D55" s="48"/>
      <c r="E55" s="45">
        <v>42186</v>
      </c>
      <c r="F55" s="52">
        <f>#N/A</f>
        <v>2.254794520547945</v>
      </c>
      <c r="G55" s="48">
        <f>15000+10500+7700+183447+10666+2016+2000+3500-10666-2016-2000-3500-3252</f>
        <v>213395</v>
      </c>
      <c r="H55" s="142">
        <v>0</v>
      </c>
      <c r="I55" s="21">
        <f>#N/A</f>
        <v>213395</v>
      </c>
      <c r="J55" s="21">
        <f>#N/A</f>
        <v>21339.5</v>
      </c>
      <c r="L55" s="21">
        <f>#N/A</f>
        <v>48116.187671232874</v>
      </c>
      <c r="M55" s="73">
        <f>#N/A</f>
        <v>21339.5</v>
      </c>
      <c r="N55" s="21">
        <f>#N/A</f>
        <v>69455.68767123288</v>
      </c>
      <c r="O55" s="21">
        <f>#N/A</f>
        <v>154609.06232876712</v>
      </c>
      <c r="W55" s="73"/>
      <c r="X55" s="61"/>
      <c r="Y55" s="61"/>
      <c r="Z55" s="61"/>
      <c r="AA55" s="61"/>
      <c r="AB55" s="61"/>
    </row>
    <row r="56" spans="2:28" ht="15">
      <c r="B56" s="75" t="s">
        <v>1880</v>
      </c>
      <c r="C56" s="48">
        <v>10</v>
      </c>
      <c r="D56" s="48"/>
      <c r="E56" s="45">
        <v>41456</v>
      </c>
      <c r="F56" s="52">
        <f>#N/A</f>
        <v>4.254794520547946</v>
      </c>
      <c r="G56" s="48">
        <f>10574+11013+1660+2500</f>
        <v>25747</v>
      </c>
      <c r="H56" s="142">
        <v>0</v>
      </c>
      <c r="I56" s="21">
        <f>#N/A</f>
        <v>25747</v>
      </c>
      <c r="J56" s="21">
        <f>#N/A</f>
        <v>2574.7</v>
      </c>
      <c r="L56" s="21">
        <f>#N/A</f>
        <v>10954.819452054795</v>
      </c>
      <c r="M56" s="73">
        <f>#N/A</f>
        <v>2574.7</v>
      </c>
      <c r="N56" s="21">
        <f>#N/A</f>
        <v>13529.519452054796</v>
      </c>
      <c r="O56" s="21">
        <f>#N/A</f>
        <v>13504.830547945205</v>
      </c>
      <c r="W56" s="73"/>
      <c r="X56" s="61"/>
      <c r="Y56" s="61"/>
      <c r="Z56" s="61"/>
      <c r="AA56" s="61"/>
      <c r="AB56" s="61"/>
    </row>
    <row r="57" spans="2:28" ht="15">
      <c r="B57" s="75" t="s">
        <v>1884</v>
      </c>
      <c r="C57" s="48">
        <v>7</v>
      </c>
      <c r="D57" s="48"/>
      <c r="E57" s="45">
        <v>43284</v>
      </c>
      <c r="F57" s="52">
        <f>#N/A</f>
        <v>-0.7534246575342466</v>
      </c>
      <c r="G57" s="48">
        <f>206626-41325</f>
        <v>165301</v>
      </c>
      <c r="H57" s="142">
        <v>0</v>
      </c>
      <c r="I57" s="21">
        <f>G57-H57*G57</f>
        <v>165301</v>
      </c>
      <c r="J57" s="21">
        <f>I57/C57</f>
        <v>23614.428571428572</v>
      </c>
      <c r="L57" s="21">
        <f>IF(F57&lt;0,0,IF(F57&lt;=C57,J57*F57,I57))</f>
        <v>0</v>
      </c>
      <c r="M57" s="73">
        <f>IF(L57=0,(1+F57)*J57,IF(J57&lt;=(I57-L57),J57,(I57-L57)))</f>
        <v>5822.735812133073</v>
      </c>
      <c r="N57" s="21">
        <f>M57+L57</f>
        <v>5822.735812133073</v>
      </c>
      <c r="O57" s="21">
        <f>IF(L57=0,(G57/2)-(M57/2),G57-((N57+L57)/2))</f>
        <v>79739.13209393347</v>
      </c>
      <c r="W57" s="73"/>
      <c r="X57" s="61"/>
      <c r="Y57" s="61"/>
      <c r="Z57" s="61"/>
      <c r="AA57" s="61"/>
      <c r="AB57" s="61"/>
    </row>
    <row r="58" spans="2:28" ht="15">
      <c r="B58" s="75" t="s">
        <v>1885</v>
      </c>
      <c r="C58" s="48">
        <v>10</v>
      </c>
      <c r="D58" s="48"/>
      <c r="E58" s="45">
        <v>43252</v>
      </c>
      <c r="F58" s="52">
        <f>#N/A</f>
        <v>-0.6657534246575343</v>
      </c>
      <c r="G58" s="48">
        <v>50320</v>
      </c>
      <c r="H58" s="142">
        <v>0</v>
      </c>
      <c r="I58" s="21">
        <f>G58-H58*G58</f>
        <v>50320</v>
      </c>
      <c r="J58" s="21">
        <f>I58/C58</f>
        <v>5032</v>
      </c>
      <c r="L58" s="21">
        <f>IF(F58&lt;0,0,IF(F58&lt;=C58,J58*F58,I58))</f>
        <v>0</v>
      </c>
      <c r="M58" s="73">
        <f>IF(L58=0,(1+F58)*J58,IF(J58&lt;=(I58-L58),J58,(I58-L58)))</f>
        <v>1681.9287671232876</v>
      </c>
      <c r="N58" s="21">
        <f>M58+L58</f>
        <v>1681.9287671232876</v>
      </c>
      <c r="O58" s="21">
        <f>IF(L58=0,(G58/2)-(M58/2),G58-((N58+L58)/2))</f>
        <v>24319.035616438356</v>
      </c>
      <c r="W58" s="73"/>
      <c r="X58" s="61"/>
      <c r="Y58" s="61"/>
      <c r="Z58" s="61"/>
      <c r="AA58" s="61"/>
      <c r="AB58" s="61"/>
    </row>
    <row r="59" spans="2:28" ht="15">
      <c r="B59" s="75"/>
      <c r="C59" s="48"/>
      <c r="D59" s="48"/>
      <c r="E59" s="45"/>
      <c r="F59" s="52"/>
      <c r="G59" s="48"/>
      <c r="H59" s="142"/>
      <c r="I59" s="21"/>
      <c r="J59" s="21"/>
      <c r="L59" s="21"/>
      <c r="M59" s="73"/>
      <c r="N59" s="21"/>
      <c r="O59" s="21"/>
      <c r="W59" s="73"/>
      <c r="X59" s="61"/>
      <c r="Y59" s="61"/>
      <c r="Z59" s="61"/>
      <c r="AA59" s="61"/>
      <c r="AB59" s="61"/>
    </row>
    <row r="60" spans="2:28" ht="15">
      <c r="B60" s="75"/>
      <c r="C60" s="48"/>
      <c r="D60" s="48"/>
      <c r="E60" s="45"/>
      <c r="F60" s="52"/>
      <c r="G60" s="48"/>
      <c r="H60" s="142"/>
      <c r="I60" s="21"/>
      <c r="J60" s="21"/>
      <c r="L60" s="21"/>
      <c r="M60" s="73"/>
      <c r="N60" s="21"/>
      <c r="O60" s="21"/>
      <c r="W60" s="73"/>
      <c r="X60" s="61"/>
      <c r="Y60" s="61"/>
      <c r="Z60" s="61"/>
      <c r="AA60" s="61"/>
      <c r="AB60" s="61"/>
    </row>
    <row r="61" spans="2:28" ht="15">
      <c r="B61" s="75"/>
      <c r="C61" s="48"/>
      <c r="D61" s="48"/>
      <c r="E61" s="45"/>
      <c r="F61" s="52"/>
      <c r="G61" s="48"/>
      <c r="H61" s="142"/>
      <c r="I61" s="21"/>
      <c r="J61" s="21"/>
      <c r="L61" s="21"/>
      <c r="M61" s="73"/>
      <c r="N61" s="21"/>
      <c r="O61" s="21"/>
      <c r="W61" s="73"/>
      <c r="X61" s="61"/>
      <c r="Y61" s="61"/>
      <c r="Z61" s="61"/>
      <c r="AA61" s="61"/>
      <c r="AB61" s="61"/>
    </row>
    <row r="62" spans="2:28" ht="15">
      <c r="B62" s="75"/>
      <c r="C62" s="48">
        <v>10</v>
      </c>
      <c r="D62" s="48"/>
      <c r="E62" s="45">
        <v>40544</v>
      </c>
      <c r="F62" s="52">
        <f>($F$10-E62)/365</f>
        <v>6.7534246575342465</v>
      </c>
      <c r="G62" s="48">
        <v>0</v>
      </c>
      <c r="H62" s="142">
        <v>0</v>
      </c>
      <c r="I62" s="21">
        <f>G62-H62*G62</f>
        <v>0</v>
      </c>
      <c r="J62" s="21">
        <f>I62/C62</f>
        <v>0</v>
      </c>
      <c r="L62" s="21">
        <f>IF(F62&lt;0,0,IF(F62&lt;=C62,J62*F62,I62))</f>
        <v>0</v>
      </c>
      <c r="M62" s="73">
        <f>IF(L62=0,(1+F62)*J62,IF(J62&lt;=(I62-L62),J62,(I62-L62)))</f>
        <v>0</v>
      </c>
      <c r="N62" s="21">
        <f>M62+L62</f>
        <v>0</v>
      </c>
      <c r="O62" s="21">
        <f>IF(L62=0,(G62/2)-(M62/2),G62-((N62+L62)/2))</f>
        <v>0</v>
      </c>
      <c r="W62" s="61"/>
      <c r="X62" s="61"/>
      <c r="Y62" s="61"/>
      <c r="Z62" s="61"/>
      <c r="AA62" s="61"/>
      <c r="AB62" s="61"/>
    </row>
    <row r="63" spans="2:28" ht="15">
      <c r="B63" s="61"/>
      <c r="G63">
        <f>SUM(G18:G62)</f>
        <v>2444493</v>
      </c>
      <c r="I63">
        <f>SUM(I18:I62)</f>
        <v>2444493</v>
      </c>
      <c r="L63" s="21">
        <f>SUM(L18:L62)</f>
        <v>1732445.1183561643</v>
      </c>
      <c r="M63" s="73">
        <f>SUM(M18:M62)</f>
        <v>115517.30043052838</v>
      </c>
      <c r="N63" s="21">
        <f>SUM(N18:N62)</f>
        <v>1847962.418786693</v>
      </c>
      <c r="O63" s="21">
        <f>SUM(O18:O62)</f>
        <v>546478.7314285714</v>
      </c>
      <c r="P63">
        <f>SUM(P18:P62)</f>
        <v>0</v>
      </c>
      <c r="Q63" s="21">
        <f>M63</f>
        <v>115517.30043052838</v>
      </c>
      <c r="R63">
        <f>SUM(R18:R62)</f>
        <v>0</v>
      </c>
      <c r="S63">
        <f>SUM(S18:S62)</f>
        <v>0</v>
      </c>
      <c r="T63">
        <f>SUM(T14:T62)</f>
        <v>0</v>
      </c>
      <c r="U63">
        <f>SUM(U18:U62)</f>
        <v>0</v>
      </c>
      <c r="V63">
        <f>SUM(V18:V62)</f>
        <v>0</v>
      </c>
      <c r="W63" s="73">
        <f>O63</f>
        <v>546478.7314285714</v>
      </c>
      <c r="X63" s="61">
        <f>SUM(X18:X62)</f>
        <v>0</v>
      </c>
      <c r="Y63" s="73">
        <f>SUM(Y18:Y62)</f>
        <v>0</v>
      </c>
      <c r="Z63" s="61">
        <f>SUM(Z18:Z62)</f>
        <v>0</v>
      </c>
      <c r="AA63" s="73">
        <f>SUM(AA18:AA62)</f>
        <v>0</v>
      </c>
      <c r="AB63" s="73">
        <f>SUM(AB18:AB62)</f>
        <v>0</v>
      </c>
    </row>
    <row r="64" spans="2:28" ht="15">
      <c r="B64" s="61"/>
      <c r="L64" s="21"/>
      <c r="M64" s="73"/>
      <c r="N64" s="21"/>
      <c r="O64" s="21"/>
      <c r="Q64" s="21"/>
      <c r="W64" s="73"/>
      <c r="X64" s="61"/>
      <c r="Y64" s="73"/>
      <c r="Z64" s="61"/>
      <c r="AA64" s="73"/>
      <c r="AB64" s="73"/>
    </row>
    <row r="65" spans="2:28" ht="15">
      <c r="B65" s="61"/>
      <c r="L65" s="21"/>
      <c r="M65" s="73"/>
      <c r="N65" s="21"/>
      <c r="O65" s="21"/>
      <c r="Q65" s="21"/>
      <c r="W65" s="73"/>
      <c r="X65" s="61"/>
      <c r="Y65" s="73"/>
      <c r="Z65" s="61"/>
      <c r="AA65" s="73"/>
      <c r="AB65" s="73"/>
    </row>
    <row r="66" spans="2:28" ht="15">
      <c r="B66" s="61"/>
      <c r="L66" s="21"/>
      <c r="M66" s="73"/>
      <c r="N66" s="21"/>
      <c r="O66" s="21"/>
      <c r="Q66" s="21"/>
      <c r="W66" s="73"/>
      <c r="X66" s="61"/>
      <c r="Y66" s="73"/>
      <c r="Z66" s="61"/>
      <c r="AA66" s="73"/>
      <c r="AB66" s="73"/>
    </row>
    <row r="67" spans="2:28" ht="15">
      <c r="B67" s="61"/>
      <c r="L67" s="21"/>
      <c r="M67" s="73"/>
      <c r="N67" s="21"/>
      <c r="O67" s="21"/>
      <c r="Q67" s="21"/>
      <c r="W67" s="73"/>
      <c r="X67" s="61"/>
      <c r="Y67" s="73"/>
      <c r="Z67" s="61"/>
      <c r="AA67" s="73"/>
      <c r="AB67" s="73"/>
    </row>
    <row r="68" spans="2:28" ht="15">
      <c r="B68" s="61"/>
      <c r="L68" s="21"/>
      <c r="M68" s="73"/>
      <c r="N68" s="21"/>
      <c r="O68" s="21"/>
      <c r="Q68" s="21"/>
      <c r="W68" s="73"/>
      <c r="X68" s="61"/>
      <c r="Y68" s="73"/>
      <c r="Z68" s="61"/>
      <c r="AA68" s="73"/>
      <c r="AB68" s="73"/>
    </row>
    <row r="69" spans="2:28" ht="15">
      <c r="B69" s="61"/>
      <c r="L69" s="21"/>
      <c r="M69" s="73"/>
      <c r="N69" s="21"/>
      <c r="O69" s="21"/>
      <c r="Q69" s="21"/>
      <c r="W69" s="73"/>
      <c r="X69" s="61"/>
      <c r="Y69" s="73"/>
      <c r="Z69" s="61"/>
      <c r="AA69" s="73"/>
      <c r="AB69" s="73"/>
    </row>
    <row r="70" spans="2:28" ht="15">
      <c r="B70" s="61"/>
      <c r="L70" s="21"/>
      <c r="M70" s="73"/>
      <c r="N70" s="21"/>
      <c r="O70" s="21"/>
      <c r="Q70" s="21"/>
      <c r="W70" s="73"/>
      <c r="X70" s="61"/>
      <c r="Y70" s="73"/>
      <c r="Z70" s="61"/>
      <c r="AA70" s="73"/>
      <c r="AB70" s="73"/>
    </row>
    <row r="71" spans="2:28" ht="15">
      <c r="B71" s="61"/>
      <c r="L71" s="21"/>
      <c r="M71" s="73"/>
      <c r="N71" s="21"/>
      <c r="O71" s="21"/>
      <c r="Q71" s="21"/>
      <c r="W71" s="73"/>
      <c r="X71" s="61"/>
      <c r="Y71" s="73"/>
      <c r="Z71" s="61"/>
      <c r="AA71" s="73"/>
      <c r="AB71" s="73"/>
    </row>
    <row r="72" spans="2:28" ht="15">
      <c r="B72" s="61"/>
      <c r="L72" s="21"/>
      <c r="M72" s="73"/>
      <c r="N72" s="21"/>
      <c r="O72" s="21"/>
      <c r="Q72" s="21"/>
      <c r="W72" s="73"/>
      <c r="X72" s="61"/>
      <c r="Y72" s="73"/>
      <c r="Z72" s="61"/>
      <c r="AA72" s="73"/>
      <c r="AB72" s="73"/>
    </row>
    <row r="73" spans="2:28" ht="15">
      <c r="B73" s="61"/>
      <c r="L73" s="21"/>
      <c r="M73" s="73"/>
      <c r="N73" s="21"/>
      <c r="O73" s="21"/>
      <c r="Q73" s="21"/>
      <c r="W73" s="73"/>
      <c r="X73" s="61"/>
      <c r="Y73" s="73"/>
      <c r="Z73" s="61"/>
      <c r="AA73" s="73"/>
      <c r="AB73" s="73"/>
    </row>
    <row r="74" spans="2:28" ht="15">
      <c r="B74" s="61"/>
      <c r="L74" s="21"/>
      <c r="M74" s="73"/>
      <c r="N74" s="21"/>
      <c r="O74" s="21"/>
      <c r="Q74" s="21"/>
      <c r="W74" s="73"/>
      <c r="X74" s="61"/>
      <c r="Y74" s="73"/>
      <c r="Z74" s="61"/>
      <c r="AA74" s="73"/>
      <c r="AB74" s="73"/>
    </row>
    <row r="75" spans="2:28" ht="15.75">
      <c r="B75" s="136"/>
      <c r="M75" s="61"/>
      <c r="W75" s="61"/>
      <c r="X75" s="61"/>
      <c r="Y75" s="61"/>
      <c r="Z75" s="61"/>
      <c r="AA75" s="61"/>
      <c r="AB75" s="61"/>
    </row>
    <row r="76" spans="2:28" ht="15">
      <c r="B76" s="198"/>
      <c r="E76" s="45"/>
      <c r="F76" s="52"/>
      <c r="I76" s="21"/>
      <c r="J76" s="21"/>
      <c r="L76" s="21"/>
      <c r="M76" s="73"/>
      <c r="N76" s="21"/>
      <c r="O76" s="21"/>
      <c r="W76" s="61"/>
      <c r="X76" s="61"/>
      <c r="Y76" s="61"/>
      <c r="Z76" s="61"/>
      <c r="AA76" s="61"/>
      <c r="AB76" s="61"/>
    </row>
    <row r="77" spans="2:28" ht="15">
      <c r="B77" s="61"/>
      <c r="I77" s="21"/>
      <c r="J77" s="21"/>
      <c r="L77" s="21"/>
      <c r="M77" s="73"/>
      <c r="N77" s="21"/>
      <c r="O77" s="21"/>
      <c r="Q77" s="21"/>
      <c r="R77" s="21"/>
      <c r="S77" s="21"/>
      <c r="T77" s="21"/>
      <c r="U77" s="21"/>
      <c r="V77" s="21"/>
      <c r="W77" s="73"/>
      <c r="X77" s="73"/>
      <c r="Y77" s="73"/>
      <c r="Z77" s="73"/>
      <c r="AA77" s="73"/>
      <c r="AB77" s="73"/>
    </row>
    <row r="78" spans="2:28" ht="15.75">
      <c r="B78" s="136"/>
      <c r="M78" s="61"/>
      <c r="R78" s="21"/>
      <c r="W78" s="61"/>
      <c r="X78" s="61"/>
      <c r="Y78" s="61"/>
      <c r="Z78" s="61"/>
      <c r="AA78" s="61"/>
      <c r="AB78" s="61"/>
    </row>
    <row r="79" spans="2:28" ht="15.75">
      <c r="B79" s="230"/>
      <c r="E79" s="45"/>
      <c r="F79" s="52"/>
      <c r="I79" s="21"/>
      <c r="J79" s="21"/>
      <c r="L79" s="21"/>
      <c r="M79" s="73"/>
      <c r="N79" s="21"/>
      <c r="O79" s="21"/>
      <c r="W79" s="61"/>
      <c r="X79" s="61"/>
      <c r="Y79" s="61"/>
      <c r="Z79" s="61"/>
      <c r="AA79" s="61"/>
      <c r="AB79" s="61"/>
    </row>
    <row r="80" spans="2:28" ht="15">
      <c r="B80" s="61"/>
      <c r="L80" s="21"/>
      <c r="M80" s="73"/>
      <c r="O80" s="21"/>
      <c r="Q80" s="21"/>
      <c r="R80" s="21"/>
      <c r="S80" s="21"/>
      <c r="T80" s="21"/>
      <c r="U80" s="21"/>
      <c r="V80" s="21"/>
      <c r="W80" s="73"/>
      <c r="X80" s="73"/>
      <c r="Y80" s="73"/>
      <c r="Z80" s="73"/>
      <c r="AA80" s="73"/>
      <c r="AB80" s="73"/>
    </row>
    <row r="81" spans="2:28" ht="15">
      <c r="B81" s="61"/>
      <c r="M81" s="61"/>
      <c r="W81" s="61"/>
      <c r="X81" s="61"/>
      <c r="Y81" s="61"/>
      <c r="Z81" s="61"/>
      <c r="AA81" s="61"/>
      <c r="AB81" s="61"/>
    </row>
    <row r="82" spans="2:28" ht="15.75">
      <c r="B82" s="230"/>
      <c r="M82" s="61"/>
      <c r="W82" s="61"/>
      <c r="X82" s="61"/>
      <c r="Y82" s="61"/>
      <c r="Z82" s="61"/>
      <c r="AA82" s="61"/>
      <c r="AB82" s="61"/>
    </row>
    <row r="83" spans="2:28" ht="15">
      <c r="B83" s="198"/>
      <c r="E83" s="45"/>
      <c r="F83" s="52"/>
      <c r="I83" s="21"/>
      <c r="J83" s="21"/>
      <c r="L83" s="21"/>
      <c r="M83" s="73"/>
      <c r="N83" s="21"/>
      <c r="O83" s="21"/>
      <c r="W83" s="61"/>
      <c r="X83" s="61"/>
      <c r="Y83" s="61"/>
      <c r="Z83" s="61"/>
      <c r="AA83" s="61"/>
      <c r="AB83" s="61"/>
    </row>
    <row r="84" spans="2:28" ht="15">
      <c r="B84" s="61"/>
      <c r="J84" s="21"/>
      <c r="L84" s="21"/>
      <c r="M84" s="73"/>
      <c r="N84" s="21"/>
      <c r="O84" s="21"/>
      <c r="Q84" s="21"/>
      <c r="R84" s="21"/>
      <c r="S84" s="21"/>
      <c r="T84" s="21"/>
      <c r="U84" s="21"/>
      <c r="V84" s="21"/>
      <c r="W84" s="73"/>
      <c r="X84" s="73"/>
      <c r="Y84" s="73"/>
      <c r="Z84" s="73"/>
      <c r="AA84" s="73"/>
      <c r="AB84" s="73"/>
    </row>
    <row r="85" spans="2:28" ht="15.75">
      <c r="B85" s="230"/>
      <c r="M85" s="61"/>
      <c r="W85" s="61"/>
      <c r="X85" s="61"/>
      <c r="Y85" s="61"/>
      <c r="Z85" s="61"/>
      <c r="AA85" s="61"/>
      <c r="AB85" s="61"/>
    </row>
    <row r="86" spans="2:28" ht="15">
      <c r="B86" s="198"/>
      <c r="E86" s="45"/>
      <c r="F86" s="52"/>
      <c r="I86" s="21"/>
      <c r="J86" s="21"/>
      <c r="L86" s="21"/>
      <c r="M86" s="73"/>
      <c r="N86" s="21"/>
      <c r="O86" s="21"/>
      <c r="W86" s="61"/>
      <c r="X86" s="61"/>
      <c r="Y86" s="61"/>
      <c r="Z86" s="61"/>
      <c r="AA86" s="61"/>
      <c r="AB86" s="61"/>
    </row>
    <row r="87" spans="2:28" ht="15">
      <c r="B87" s="198"/>
      <c r="E87" s="45"/>
      <c r="F87" s="52"/>
      <c r="I87" s="21"/>
      <c r="J87" s="21"/>
      <c r="L87" s="21"/>
      <c r="M87" s="73"/>
      <c r="N87" s="21"/>
      <c r="O87" s="21"/>
      <c r="W87" s="61"/>
      <c r="X87" s="61"/>
      <c r="Y87" s="61"/>
      <c r="Z87" s="61"/>
      <c r="AA87" s="61"/>
      <c r="AB87" s="61"/>
    </row>
    <row r="88" spans="2:28" ht="15">
      <c r="B88" s="61"/>
      <c r="J88" s="21"/>
      <c r="L88" s="21"/>
      <c r="M88" s="21"/>
      <c r="N88" s="21"/>
      <c r="O88" s="21"/>
      <c r="U88" s="21"/>
      <c r="W88" s="61"/>
      <c r="X88" s="61"/>
      <c r="Y88" s="61"/>
      <c r="Z88" s="61"/>
      <c r="AA88" s="73"/>
      <c r="AB88" s="61"/>
    </row>
    <row r="89" spans="2:28" ht="15.75">
      <c r="B89" s="136"/>
      <c r="M89" s="61"/>
      <c r="W89" s="61"/>
      <c r="X89" s="61"/>
      <c r="Y89" s="61"/>
      <c r="Z89" s="61"/>
      <c r="AA89" s="61"/>
      <c r="AB89" s="61"/>
    </row>
    <row r="90" spans="2:28" ht="15">
      <c r="B90" s="198"/>
      <c r="E90" s="45"/>
      <c r="F90" s="52"/>
      <c r="I90" s="21"/>
      <c r="J90" s="21"/>
      <c r="L90" s="21"/>
      <c r="M90" s="73"/>
      <c r="N90" s="21"/>
      <c r="O90" s="21"/>
      <c r="W90" s="61"/>
      <c r="X90" s="61"/>
      <c r="Y90" s="61"/>
      <c r="Z90" s="61"/>
      <c r="AA90" s="61"/>
      <c r="AB90" s="61"/>
    </row>
    <row r="91" spans="2:31" ht="15">
      <c r="B91" s="61"/>
      <c r="I91" s="21"/>
      <c r="J91" s="21"/>
      <c r="K91" s="21"/>
      <c r="L91" s="21"/>
      <c r="M91" s="73"/>
      <c r="N91" s="21"/>
      <c r="O91" s="21"/>
      <c r="P91" s="21"/>
      <c r="Q91" s="21"/>
      <c r="R91" s="21"/>
      <c r="S91" s="21"/>
      <c r="T91" s="21"/>
      <c r="U91" s="21"/>
      <c r="V91" s="21"/>
      <c r="W91" s="73"/>
      <c r="X91" s="73"/>
      <c r="Y91" s="73"/>
      <c r="Z91" s="73"/>
      <c r="AA91" s="73"/>
      <c r="AB91" s="73"/>
      <c r="AC91" s="21"/>
      <c r="AD91" s="21"/>
      <c r="AE91" s="21"/>
    </row>
    <row r="92" spans="2:31" ht="15">
      <c r="B92" s="61"/>
      <c r="I92" s="21"/>
      <c r="J92" s="21"/>
      <c r="K92" s="21"/>
      <c r="L92" s="21"/>
      <c r="M92" s="73"/>
      <c r="N92" s="21"/>
      <c r="O92" s="21"/>
      <c r="P92" s="21"/>
      <c r="Q92" s="21"/>
      <c r="R92" s="21"/>
      <c r="S92" s="21"/>
      <c r="T92" s="21"/>
      <c r="U92" s="21"/>
      <c r="V92" s="21"/>
      <c r="W92" s="73"/>
      <c r="X92" s="73"/>
      <c r="Y92" s="73"/>
      <c r="Z92" s="73"/>
      <c r="AA92" s="73"/>
      <c r="AB92" s="73"/>
      <c r="AC92" s="21"/>
      <c r="AD92" s="21"/>
      <c r="AE92" s="21"/>
    </row>
    <row r="93" spans="2:31" ht="15.75">
      <c r="B93" s="136"/>
      <c r="M93" s="61"/>
      <c r="W93" s="61"/>
      <c r="X93" s="61"/>
      <c r="Y93" s="61"/>
      <c r="Z93" s="61"/>
      <c r="AA93" s="61"/>
      <c r="AB93" s="61"/>
      <c r="AC93" s="21"/>
      <c r="AD93" s="21"/>
      <c r="AE93" s="21"/>
    </row>
    <row r="94" spans="2:31" ht="15">
      <c r="B94" s="198"/>
      <c r="E94" s="45"/>
      <c r="F94" s="52"/>
      <c r="I94" s="21"/>
      <c r="J94" s="21"/>
      <c r="L94" s="21"/>
      <c r="M94" s="73"/>
      <c r="N94" s="21"/>
      <c r="O94" s="21"/>
      <c r="W94" s="61"/>
      <c r="X94" s="61"/>
      <c r="Y94" s="61"/>
      <c r="Z94" s="61"/>
      <c r="AA94" s="61"/>
      <c r="AB94" s="61"/>
      <c r="AC94" s="21"/>
      <c r="AD94" s="21"/>
      <c r="AE94" s="21"/>
    </row>
    <row r="95" spans="2:31" ht="15">
      <c r="B95" s="61"/>
      <c r="I95" s="21"/>
      <c r="J95" s="21"/>
      <c r="K95" s="21"/>
      <c r="L95" s="21"/>
      <c r="M95" s="73"/>
      <c r="N95" s="21"/>
      <c r="O95" s="21"/>
      <c r="P95" s="21"/>
      <c r="Q95" s="21"/>
      <c r="R95" s="21"/>
      <c r="S95" s="21"/>
      <c r="T95" s="21"/>
      <c r="U95" s="21"/>
      <c r="V95" s="21"/>
      <c r="W95" s="73"/>
      <c r="X95" s="73"/>
      <c r="Y95" s="73"/>
      <c r="Z95" s="73"/>
      <c r="AA95" s="73"/>
      <c r="AB95" s="73"/>
      <c r="AC95" s="21"/>
      <c r="AD95" s="21"/>
      <c r="AE95" s="21"/>
    </row>
    <row r="96" spans="2:31" ht="15">
      <c r="B96" s="61"/>
      <c r="I96" s="21"/>
      <c r="J96" s="21"/>
      <c r="K96" s="21"/>
      <c r="L96" s="21"/>
      <c r="M96" s="73"/>
      <c r="N96" s="21"/>
      <c r="O96" s="21"/>
      <c r="P96" s="21"/>
      <c r="Q96" s="21"/>
      <c r="R96" s="21"/>
      <c r="S96" s="21"/>
      <c r="T96" s="21"/>
      <c r="U96" s="21"/>
      <c r="V96" s="21"/>
      <c r="W96" s="73"/>
      <c r="X96" s="73"/>
      <c r="Y96" s="73"/>
      <c r="Z96" s="73"/>
      <c r="AA96" s="73"/>
      <c r="AB96" s="73"/>
      <c r="AC96" s="21"/>
      <c r="AD96" s="21"/>
      <c r="AE96" s="21"/>
    </row>
    <row r="97" spans="2:28" ht="15">
      <c r="B97" s="61"/>
      <c r="M97" s="61"/>
      <c r="W97" s="61"/>
      <c r="X97" s="61"/>
      <c r="Y97" s="61"/>
      <c r="Z97" s="61"/>
      <c r="AA97" s="61"/>
      <c r="AB97" s="61"/>
    </row>
    <row r="98" spans="2:28" ht="15.75">
      <c r="B98" s="136"/>
      <c r="M98" s="61"/>
      <c r="W98" s="61"/>
      <c r="X98" s="61"/>
      <c r="Y98" s="61"/>
      <c r="Z98" s="61"/>
      <c r="AA98" s="61"/>
      <c r="AB98" s="61"/>
    </row>
    <row r="99" spans="2:28" ht="15">
      <c r="B99" s="198"/>
      <c r="E99" s="45"/>
      <c r="F99" s="52"/>
      <c r="I99" s="21"/>
      <c r="J99" s="21"/>
      <c r="L99" s="21"/>
      <c r="M99" s="73"/>
      <c r="N99" s="21"/>
      <c r="O99" s="21"/>
      <c r="W99" s="61"/>
      <c r="X99" s="61"/>
      <c r="Y99" s="61"/>
      <c r="Z99" s="61"/>
      <c r="AA99" s="61"/>
      <c r="AB99" s="61"/>
    </row>
    <row r="100" spans="2:28" ht="15">
      <c r="B100" s="61"/>
      <c r="I100" s="21"/>
      <c r="L100" s="21"/>
      <c r="M100" s="73"/>
      <c r="N100" s="21"/>
      <c r="O100" s="21"/>
      <c r="P100" s="21"/>
      <c r="Q100" s="21"/>
      <c r="R100" s="21"/>
      <c r="S100" s="21"/>
      <c r="T100" s="21"/>
      <c r="U100" s="21"/>
      <c r="V100" s="21"/>
      <c r="W100" s="73"/>
      <c r="X100" s="73"/>
      <c r="Y100" s="73"/>
      <c r="Z100" s="73"/>
      <c r="AA100" s="73"/>
      <c r="AB100" s="73"/>
    </row>
    <row r="101" spans="2:28" ht="15">
      <c r="B101" s="61"/>
      <c r="M101" s="61"/>
      <c r="W101" s="61"/>
      <c r="X101" s="61"/>
      <c r="Y101" s="61"/>
      <c r="Z101" s="61"/>
      <c r="AA101" s="61"/>
      <c r="AB101" s="61"/>
    </row>
    <row r="102" spans="2:28" ht="15.75">
      <c r="B102" s="136"/>
      <c r="M102" s="61"/>
      <c r="W102" s="61"/>
      <c r="X102" s="61"/>
      <c r="Y102" s="61"/>
      <c r="Z102" s="61"/>
      <c r="AA102" s="61"/>
      <c r="AB102" s="61"/>
    </row>
    <row r="103" spans="2:28" ht="15">
      <c r="B103" s="198"/>
      <c r="E103" s="45"/>
      <c r="F103" s="52"/>
      <c r="I103" s="21"/>
      <c r="J103" s="21"/>
      <c r="L103" s="21"/>
      <c r="M103" s="73"/>
      <c r="N103" s="21"/>
      <c r="O103" s="21"/>
      <c r="S103" s="21"/>
      <c r="W103" s="61"/>
      <c r="X103" s="61"/>
      <c r="Y103" s="73"/>
      <c r="Z103" s="61"/>
      <c r="AA103" s="61"/>
      <c r="AB103" s="61"/>
    </row>
    <row r="104" spans="2:28" ht="15">
      <c r="B104" s="198"/>
      <c r="E104" s="45"/>
      <c r="F104" s="52"/>
      <c r="I104" s="21"/>
      <c r="J104" s="21"/>
      <c r="L104" s="21"/>
      <c r="M104" s="73"/>
      <c r="N104" s="21"/>
      <c r="O104" s="21"/>
      <c r="S104" s="7"/>
      <c r="T104" s="43"/>
      <c r="W104" s="61"/>
      <c r="X104" s="61"/>
      <c r="Y104" s="73"/>
      <c r="Z104" s="73"/>
      <c r="AA104" s="61"/>
      <c r="AB104" s="61"/>
    </row>
    <row r="105" spans="2:28" ht="15">
      <c r="B105" s="198"/>
      <c r="E105" s="45"/>
      <c r="F105" s="52"/>
      <c r="I105" s="21"/>
      <c r="J105" s="21"/>
      <c r="L105" s="21"/>
      <c r="M105" s="73"/>
      <c r="N105" s="21"/>
      <c r="O105" s="21"/>
      <c r="S105" s="7"/>
      <c r="T105" s="43"/>
      <c r="W105" s="61"/>
      <c r="X105" s="61"/>
      <c r="Y105" s="73"/>
      <c r="Z105" s="73"/>
      <c r="AA105" s="61"/>
      <c r="AB105" s="61"/>
    </row>
    <row r="106" spans="2:28" ht="15">
      <c r="B106" s="61"/>
      <c r="G106" s="21"/>
      <c r="H106" s="21"/>
      <c r="I106" s="21"/>
      <c r="J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73"/>
      <c r="X106" s="73"/>
      <c r="Y106" s="73"/>
      <c r="Z106" s="73"/>
      <c r="AA106" s="73"/>
      <c r="AB106" s="73"/>
    </row>
    <row r="107" spans="2:28" ht="15">
      <c r="B107" s="61"/>
      <c r="W107" s="61"/>
      <c r="X107" s="61"/>
      <c r="Y107" s="61"/>
      <c r="Z107" s="61"/>
      <c r="AA107" s="61"/>
      <c r="AB107" s="61"/>
    </row>
    <row r="108" spans="2:28" ht="15.75">
      <c r="B108" s="136"/>
      <c r="W108" s="61"/>
      <c r="X108" s="61"/>
      <c r="Y108" s="61"/>
      <c r="Z108" s="61"/>
      <c r="AA108" s="61"/>
      <c r="AB108" s="61"/>
    </row>
    <row r="109" spans="2:28" ht="15">
      <c r="B109" s="219"/>
      <c r="E109" s="45"/>
      <c r="F109" s="52"/>
      <c r="I109" s="21"/>
      <c r="J109" s="21"/>
      <c r="L109" s="21"/>
      <c r="M109" s="73"/>
      <c r="N109" s="21"/>
      <c r="O109" s="21"/>
      <c r="R109" s="21"/>
      <c r="W109" s="61"/>
      <c r="X109" s="73"/>
      <c r="Y109" s="61"/>
      <c r="Z109" s="61"/>
      <c r="AA109" s="61"/>
      <c r="AB109" s="61"/>
    </row>
    <row r="110" spans="2:28" ht="15">
      <c r="B110" s="198"/>
      <c r="E110" s="45"/>
      <c r="F110" s="52"/>
      <c r="I110" s="21"/>
      <c r="J110" s="21"/>
      <c r="L110" s="21"/>
      <c r="M110" s="73"/>
      <c r="N110" s="21"/>
      <c r="O110" s="21"/>
      <c r="R110" s="7"/>
      <c r="W110" s="61"/>
      <c r="X110" s="72"/>
      <c r="Y110" s="61"/>
      <c r="Z110" s="61"/>
      <c r="AA110" s="61"/>
      <c r="AB110" s="61"/>
    </row>
    <row r="111" spans="2:28" ht="15">
      <c r="B111" s="198"/>
      <c r="E111" s="45"/>
      <c r="F111" s="52"/>
      <c r="I111" s="21"/>
      <c r="J111" s="21"/>
      <c r="L111" s="21"/>
      <c r="M111" s="73"/>
      <c r="N111" s="21"/>
      <c r="O111" s="21"/>
      <c r="R111" s="7"/>
      <c r="W111" s="61"/>
      <c r="X111" s="72"/>
      <c r="Y111" s="61"/>
      <c r="Z111" s="61"/>
      <c r="AA111" s="61"/>
      <c r="AB111" s="61"/>
    </row>
    <row r="112" spans="2:28" ht="15">
      <c r="B112" s="198"/>
      <c r="E112" s="45"/>
      <c r="F112" s="52"/>
      <c r="I112" s="21"/>
      <c r="J112" s="21"/>
      <c r="L112" s="21"/>
      <c r="M112" s="73"/>
      <c r="N112" s="21"/>
      <c r="O112" s="21"/>
      <c r="Q112" s="21"/>
      <c r="R112" s="7"/>
      <c r="S112" s="21"/>
      <c r="W112" s="73"/>
      <c r="X112" s="72"/>
      <c r="Y112" s="73"/>
      <c r="Z112" s="61"/>
      <c r="AA112" s="61"/>
      <c r="AB112" s="61"/>
    </row>
    <row r="113" spans="2:28" ht="15">
      <c r="B113" s="198"/>
      <c r="E113" s="168"/>
      <c r="F113" s="52"/>
      <c r="I113" s="21"/>
      <c r="J113" s="21"/>
      <c r="L113" s="21"/>
      <c r="M113" s="73"/>
      <c r="N113" s="21"/>
      <c r="O113" s="21"/>
      <c r="Q113" s="21"/>
      <c r="R113" s="7"/>
      <c r="S113" s="21"/>
      <c r="W113" s="73"/>
      <c r="X113" s="72"/>
      <c r="Y113" s="73"/>
      <c r="Z113" s="61"/>
      <c r="AA113" s="61"/>
      <c r="AB113" s="61"/>
    </row>
    <row r="114" spans="2:28" ht="15">
      <c r="B114" s="61"/>
      <c r="L114" s="21"/>
      <c r="M114" s="73"/>
      <c r="N114" s="21"/>
      <c r="O114" s="21"/>
      <c r="Q114" s="73"/>
      <c r="R114" s="73"/>
      <c r="S114" s="73"/>
      <c r="T114" s="21"/>
      <c r="U114" s="21"/>
      <c r="V114" s="21"/>
      <c r="W114" s="73"/>
      <c r="X114" s="73"/>
      <c r="Y114" s="73"/>
      <c r="Z114" s="73"/>
      <c r="AA114" s="73"/>
      <c r="AB114" s="73"/>
    </row>
    <row r="115" spans="2:28" ht="14.25" customHeight="1">
      <c r="B115" s="61"/>
      <c r="M115" s="61"/>
      <c r="W115" s="61"/>
      <c r="X115" s="61"/>
      <c r="Y115" s="61"/>
      <c r="Z115" s="61"/>
      <c r="AA115" s="61"/>
      <c r="AB115" s="61"/>
    </row>
    <row r="116" spans="2:28" ht="14.25" customHeight="1">
      <c r="B116" s="61"/>
      <c r="M116" s="61"/>
      <c r="W116" s="61"/>
      <c r="X116" s="61"/>
      <c r="Y116" s="61"/>
      <c r="Z116" s="61"/>
      <c r="AA116" s="61"/>
      <c r="AB116" s="61"/>
    </row>
    <row r="117" spans="2:28" ht="14.25" customHeight="1">
      <c r="B117" s="136"/>
      <c r="M117" s="61"/>
      <c r="W117" s="61"/>
      <c r="X117" s="61"/>
      <c r="Y117" s="61"/>
      <c r="Z117" s="61"/>
      <c r="AA117" s="61"/>
      <c r="AB117" s="61"/>
    </row>
    <row r="118" spans="2:28" ht="14.25" customHeight="1">
      <c r="B118" s="219"/>
      <c r="E118" s="45"/>
      <c r="F118" s="52"/>
      <c r="I118" s="21"/>
      <c r="J118" s="21"/>
      <c r="L118" s="21"/>
      <c r="M118" s="73"/>
      <c r="N118" s="21"/>
      <c r="O118" s="21"/>
      <c r="Q118" s="21"/>
      <c r="W118" s="73"/>
      <c r="X118" s="61"/>
      <c r="Y118" s="61"/>
      <c r="Z118" s="61"/>
      <c r="AA118" s="61"/>
      <c r="AB118" s="61"/>
    </row>
    <row r="119" spans="2:28" ht="14.25" customHeight="1">
      <c r="B119" s="198"/>
      <c r="E119" s="168"/>
      <c r="F119" s="52"/>
      <c r="I119" s="21"/>
      <c r="J119" s="21"/>
      <c r="L119" s="21"/>
      <c r="M119" s="73"/>
      <c r="N119" s="21"/>
      <c r="O119" s="21"/>
      <c r="Q119" s="21"/>
      <c r="W119" s="73"/>
      <c r="X119" s="61"/>
      <c r="Y119" s="61"/>
      <c r="Z119" s="61"/>
      <c r="AA119" s="61"/>
      <c r="AB119" s="61"/>
    </row>
    <row r="120" spans="2:28" ht="14.25" customHeight="1">
      <c r="B120" s="198"/>
      <c r="E120" s="45"/>
      <c r="F120" s="52"/>
      <c r="I120" s="21"/>
      <c r="J120" s="21"/>
      <c r="L120" s="21"/>
      <c r="M120" s="73"/>
      <c r="N120" s="21"/>
      <c r="O120" s="21"/>
      <c r="Q120" s="21"/>
      <c r="W120" s="73"/>
      <c r="X120" s="61"/>
      <c r="Y120" s="61"/>
      <c r="Z120" s="61"/>
      <c r="AA120" s="61"/>
      <c r="AB120" s="61"/>
    </row>
    <row r="121" spans="2:28" ht="14.25" customHeight="1">
      <c r="B121" s="198"/>
      <c r="E121" s="45"/>
      <c r="F121" s="52"/>
      <c r="I121" s="21"/>
      <c r="J121" s="21"/>
      <c r="L121" s="21"/>
      <c r="M121" s="73"/>
      <c r="N121" s="21"/>
      <c r="O121" s="21"/>
      <c r="Q121" s="21"/>
      <c r="W121" s="73"/>
      <c r="X121" s="61"/>
      <c r="Y121" s="61"/>
      <c r="Z121" s="61"/>
      <c r="AA121" s="61"/>
      <c r="AB121" s="61"/>
    </row>
    <row r="122" spans="2:28" ht="14.25" customHeight="1">
      <c r="B122" s="198"/>
      <c r="E122" s="45"/>
      <c r="F122" s="52"/>
      <c r="I122" s="21"/>
      <c r="J122" s="21"/>
      <c r="L122" s="21"/>
      <c r="M122" s="73"/>
      <c r="N122" s="21"/>
      <c r="O122" s="21"/>
      <c r="Q122" s="21"/>
      <c r="W122" s="73"/>
      <c r="X122" s="61"/>
      <c r="Y122" s="61"/>
      <c r="Z122" s="61"/>
      <c r="AA122" s="61"/>
      <c r="AB122" s="61"/>
    </row>
    <row r="123" spans="2:28" ht="14.25" customHeight="1">
      <c r="B123" s="61"/>
      <c r="L123" s="21"/>
      <c r="M123" s="73"/>
      <c r="N123" s="21"/>
      <c r="O123" s="21"/>
      <c r="Q123" s="73"/>
      <c r="R123" s="21"/>
      <c r="S123" s="21"/>
      <c r="T123" s="21"/>
      <c r="U123" s="21"/>
      <c r="V123" s="21"/>
      <c r="W123" s="21"/>
      <c r="X123" s="73"/>
      <c r="Y123" s="73"/>
      <c r="Z123" s="73"/>
      <c r="AA123" s="73"/>
      <c r="AB123" s="73"/>
    </row>
    <row r="124" spans="2:28" ht="14.25" customHeight="1">
      <c r="B124" s="61"/>
      <c r="M124" s="61"/>
      <c r="W124" s="61"/>
      <c r="X124" s="61"/>
      <c r="Y124" s="61"/>
      <c r="Z124" s="61"/>
      <c r="AA124" s="61"/>
      <c r="AB124" s="61"/>
    </row>
    <row r="125" spans="2:28" ht="14.25" customHeight="1">
      <c r="B125" s="136"/>
      <c r="M125" s="61"/>
      <c r="W125" s="61"/>
      <c r="X125" s="61"/>
      <c r="Y125" s="61"/>
      <c r="Z125" s="61"/>
      <c r="AA125" s="61"/>
      <c r="AB125" s="61"/>
    </row>
    <row r="126" spans="2:28" ht="14.25" customHeight="1">
      <c r="B126" s="219"/>
      <c r="E126" s="45"/>
      <c r="F126" s="52"/>
      <c r="I126" s="21"/>
      <c r="J126" s="21"/>
      <c r="L126" s="21"/>
      <c r="M126" s="73"/>
      <c r="N126" s="21"/>
      <c r="O126" s="21"/>
      <c r="Q126" s="21"/>
      <c r="W126" s="73"/>
      <c r="X126" s="61"/>
      <c r="Y126" s="61"/>
      <c r="Z126" s="61"/>
      <c r="AA126" s="61"/>
      <c r="AB126" s="61"/>
    </row>
    <row r="127" spans="2:28" ht="14.25" customHeight="1">
      <c r="B127" s="198"/>
      <c r="E127" s="168"/>
      <c r="F127" s="52"/>
      <c r="I127" s="21"/>
      <c r="J127" s="21"/>
      <c r="L127" s="21"/>
      <c r="M127" s="73"/>
      <c r="N127" s="21"/>
      <c r="O127" s="21"/>
      <c r="Q127" s="21"/>
      <c r="W127" s="73"/>
      <c r="X127" s="61"/>
      <c r="Y127" s="61"/>
      <c r="Z127" s="61"/>
      <c r="AA127" s="61"/>
      <c r="AB127" s="61"/>
    </row>
    <row r="128" spans="2:28" ht="14.25" customHeight="1">
      <c r="B128" s="198"/>
      <c r="E128" s="45"/>
      <c r="F128" s="52"/>
      <c r="I128" s="21"/>
      <c r="J128" s="21"/>
      <c r="L128" s="21"/>
      <c r="M128" s="73"/>
      <c r="N128" s="21"/>
      <c r="O128" s="21"/>
      <c r="Q128" s="21"/>
      <c r="W128" s="73"/>
      <c r="X128" s="61"/>
      <c r="Y128" s="61"/>
      <c r="Z128" s="61"/>
      <c r="AA128" s="61"/>
      <c r="AB128" s="61"/>
    </row>
    <row r="129" spans="2:28" ht="14.25" customHeight="1">
      <c r="B129" s="198"/>
      <c r="E129" s="45"/>
      <c r="F129" s="52"/>
      <c r="I129" s="21"/>
      <c r="J129" s="21"/>
      <c r="L129" s="21"/>
      <c r="M129" s="73"/>
      <c r="N129" s="21"/>
      <c r="O129" s="21"/>
      <c r="Q129" s="21"/>
      <c r="W129" s="73"/>
      <c r="X129" s="61"/>
      <c r="Y129" s="61"/>
      <c r="Z129" s="61"/>
      <c r="AA129" s="61"/>
      <c r="AB129" s="61"/>
    </row>
    <row r="130" spans="2:28" ht="14.25" customHeight="1">
      <c r="B130" s="198"/>
      <c r="E130" s="45"/>
      <c r="F130" s="52"/>
      <c r="I130" s="21"/>
      <c r="J130" s="21"/>
      <c r="L130" s="21"/>
      <c r="M130" s="73"/>
      <c r="N130" s="21"/>
      <c r="O130" s="21"/>
      <c r="Q130" s="21"/>
      <c r="W130" s="73"/>
      <c r="X130" s="61"/>
      <c r="Y130" s="61"/>
      <c r="Z130" s="61"/>
      <c r="AA130" s="61"/>
      <c r="AB130" s="61"/>
    </row>
    <row r="131" spans="2:28" ht="14.25" customHeight="1">
      <c r="B131" s="198"/>
      <c r="E131" s="45"/>
      <c r="F131" s="52"/>
      <c r="I131" s="21"/>
      <c r="J131" s="21"/>
      <c r="L131" s="21"/>
      <c r="M131" s="73"/>
      <c r="N131" s="21"/>
      <c r="O131" s="21"/>
      <c r="Q131" s="21"/>
      <c r="W131" s="73"/>
      <c r="X131" s="61"/>
      <c r="Y131" s="61"/>
      <c r="Z131" s="61"/>
      <c r="AA131" s="61"/>
      <c r="AB131" s="61"/>
    </row>
    <row r="132" spans="2:28" ht="14.25" customHeight="1">
      <c r="B132" s="198"/>
      <c r="E132" s="45"/>
      <c r="F132" s="52"/>
      <c r="I132" s="21"/>
      <c r="J132" s="21"/>
      <c r="L132" s="21"/>
      <c r="M132" s="73"/>
      <c r="N132" s="21"/>
      <c r="O132" s="21"/>
      <c r="Q132" s="21"/>
      <c r="W132" s="73"/>
      <c r="X132" s="61"/>
      <c r="Y132" s="61"/>
      <c r="Z132" s="61"/>
      <c r="AA132" s="61"/>
      <c r="AB132" s="61"/>
    </row>
    <row r="133" spans="2:28" ht="14.25" customHeight="1">
      <c r="B133" s="198"/>
      <c r="E133" s="45"/>
      <c r="F133" s="52"/>
      <c r="I133" s="21"/>
      <c r="J133" s="21"/>
      <c r="L133" s="21"/>
      <c r="M133" s="73"/>
      <c r="N133" s="21"/>
      <c r="O133" s="21"/>
      <c r="W133" s="61"/>
      <c r="X133" s="61"/>
      <c r="Y133" s="61"/>
      <c r="Z133" s="61"/>
      <c r="AA133" s="61"/>
      <c r="AB133" s="61"/>
    </row>
    <row r="134" spans="2:28" ht="14.25" customHeight="1">
      <c r="B134" s="61"/>
      <c r="L134" s="21"/>
      <c r="M134" s="73"/>
      <c r="N134" s="21"/>
      <c r="O134" s="21"/>
      <c r="Q134" s="73"/>
      <c r="R134" s="21"/>
      <c r="S134" s="21"/>
      <c r="T134" s="21"/>
      <c r="U134" s="21"/>
      <c r="V134" s="21"/>
      <c r="W134" s="21"/>
      <c r="X134" s="73"/>
      <c r="Y134" s="73"/>
      <c r="Z134" s="73"/>
      <c r="AA134" s="73"/>
      <c r="AB134" s="73"/>
    </row>
    <row r="135" spans="2:28" ht="14.25" customHeight="1">
      <c r="B135" s="61"/>
      <c r="M135" s="61"/>
      <c r="W135" s="61"/>
      <c r="X135" s="61"/>
      <c r="Y135" s="61"/>
      <c r="Z135" s="61"/>
      <c r="AA135" s="61"/>
      <c r="AB135" s="61"/>
    </row>
    <row r="136" spans="2:28" ht="14.25" customHeight="1">
      <c r="B136" s="136"/>
      <c r="M136" s="61"/>
      <c r="W136" s="61"/>
      <c r="X136" s="61"/>
      <c r="Y136" s="61"/>
      <c r="Z136" s="61"/>
      <c r="AA136" s="61"/>
      <c r="AB136" s="61"/>
    </row>
    <row r="137" spans="2:28" ht="14.25" customHeight="1">
      <c r="B137" s="198"/>
      <c r="E137" s="45"/>
      <c r="F137" s="52"/>
      <c r="I137" s="21"/>
      <c r="J137" s="21"/>
      <c r="L137" s="21"/>
      <c r="M137" s="73"/>
      <c r="N137" s="21"/>
      <c r="O137" s="21"/>
      <c r="V137" s="21"/>
      <c r="W137" s="61"/>
      <c r="X137" s="61"/>
      <c r="Y137" s="61"/>
      <c r="Z137" s="61"/>
      <c r="AA137" s="61"/>
      <c r="AB137" s="73"/>
    </row>
    <row r="138" spans="2:28" ht="14.25" customHeight="1">
      <c r="B138" s="198"/>
      <c r="E138" s="45"/>
      <c r="F138" s="52"/>
      <c r="I138" s="21"/>
      <c r="J138" s="21"/>
      <c r="L138" s="21"/>
      <c r="M138" s="73"/>
      <c r="N138" s="21"/>
      <c r="O138" s="21"/>
      <c r="V138" s="21"/>
      <c r="W138" s="61"/>
      <c r="X138" s="61"/>
      <c r="Y138" s="61"/>
      <c r="Z138" s="61"/>
      <c r="AA138" s="61"/>
      <c r="AB138" s="73"/>
    </row>
    <row r="139" spans="2:28" ht="14.25" customHeight="1">
      <c r="B139" s="198"/>
      <c r="E139" s="45"/>
      <c r="F139" s="52"/>
      <c r="I139" s="21"/>
      <c r="J139" s="21"/>
      <c r="L139" s="21"/>
      <c r="M139" s="73"/>
      <c r="N139" s="21"/>
      <c r="O139" s="21"/>
      <c r="V139" s="21"/>
      <c r="W139" s="61"/>
      <c r="X139" s="61"/>
      <c r="Y139" s="61"/>
      <c r="Z139" s="61"/>
      <c r="AA139" s="61"/>
      <c r="AB139" s="73"/>
    </row>
    <row r="140" spans="2:28" ht="14.25" customHeight="1">
      <c r="B140" s="198"/>
      <c r="E140" s="45"/>
      <c r="F140" s="52"/>
      <c r="I140" s="21"/>
      <c r="J140" s="21"/>
      <c r="L140" s="21"/>
      <c r="M140" s="73"/>
      <c r="N140" s="21"/>
      <c r="O140" s="21"/>
      <c r="V140" s="21"/>
      <c r="W140" s="61"/>
      <c r="X140" s="61"/>
      <c r="Y140" s="61"/>
      <c r="Z140" s="61"/>
      <c r="AA140" s="61"/>
      <c r="AB140" s="73"/>
    </row>
    <row r="141" spans="2:28" ht="14.25" customHeight="1">
      <c r="B141" s="61"/>
      <c r="J141" s="21"/>
      <c r="L141" s="21"/>
      <c r="M141" s="21"/>
      <c r="N141" s="21"/>
      <c r="O141" s="21"/>
      <c r="V141" s="21"/>
      <c r="W141" s="61"/>
      <c r="X141" s="61"/>
      <c r="Y141" s="61"/>
      <c r="Z141" s="61"/>
      <c r="AA141" s="61"/>
      <c r="AB141" s="73"/>
    </row>
    <row r="142" spans="2:28" ht="14.25" customHeight="1">
      <c r="B142" s="61"/>
      <c r="M142" s="61"/>
      <c r="W142" s="61"/>
      <c r="X142" s="61"/>
      <c r="Y142" s="61"/>
      <c r="Z142" s="61"/>
      <c r="AA142" s="61"/>
      <c r="AB142" s="61"/>
    </row>
    <row r="143" spans="2:28" ht="14.25" customHeight="1">
      <c r="B143" s="136"/>
      <c r="J143" s="21"/>
      <c r="L143" s="21"/>
      <c r="M143" s="21"/>
      <c r="N143" s="21"/>
      <c r="O143" s="21"/>
      <c r="W143" s="61"/>
      <c r="X143" s="61"/>
      <c r="Y143" s="61"/>
      <c r="Z143" s="61"/>
      <c r="AA143" s="61"/>
      <c r="AB143" s="61"/>
    </row>
    <row r="144" spans="2:28" ht="14.25" customHeight="1">
      <c r="B144" s="198"/>
      <c r="E144" s="45"/>
      <c r="F144" s="52"/>
      <c r="I144" s="21"/>
      <c r="J144" s="21"/>
      <c r="L144" s="21"/>
      <c r="M144" s="73"/>
      <c r="N144" s="21"/>
      <c r="O144" s="21"/>
      <c r="S144" s="21"/>
      <c r="W144" s="61"/>
      <c r="X144" s="61"/>
      <c r="Y144" s="73"/>
      <c r="Z144" s="61"/>
      <c r="AA144" s="61"/>
      <c r="AB144" s="61"/>
    </row>
    <row r="145" spans="2:28" ht="14.25" customHeight="1">
      <c r="B145" s="198"/>
      <c r="E145" s="45"/>
      <c r="F145" s="52"/>
      <c r="I145" s="21"/>
      <c r="J145" s="21"/>
      <c r="L145" s="21"/>
      <c r="M145" s="73"/>
      <c r="N145" s="21"/>
      <c r="O145" s="21"/>
      <c r="S145" s="21"/>
      <c r="W145" s="61"/>
      <c r="X145" s="61"/>
      <c r="Y145" s="73"/>
      <c r="Z145" s="61"/>
      <c r="AA145" s="61"/>
      <c r="AB145" s="61"/>
    </row>
    <row r="146" spans="2:28" ht="14.25" customHeight="1">
      <c r="B146" s="198"/>
      <c r="E146" s="45"/>
      <c r="F146" s="52"/>
      <c r="I146" s="21"/>
      <c r="J146" s="21"/>
      <c r="L146" s="21"/>
      <c r="M146" s="73"/>
      <c r="N146" s="21"/>
      <c r="O146" s="21"/>
      <c r="S146" s="21"/>
      <c r="W146" s="61"/>
      <c r="X146" s="61"/>
      <c r="Y146" s="73"/>
      <c r="Z146" s="61"/>
      <c r="AA146" s="61"/>
      <c r="AB146" s="61"/>
    </row>
    <row r="147" spans="2:28" ht="14.25" customHeight="1">
      <c r="B147" s="198"/>
      <c r="E147" s="45"/>
      <c r="F147" s="52"/>
      <c r="I147" s="21"/>
      <c r="J147" s="21"/>
      <c r="L147" s="21"/>
      <c r="M147" s="73"/>
      <c r="N147" s="21"/>
      <c r="O147" s="21"/>
      <c r="S147" s="21"/>
      <c r="W147" s="61"/>
      <c r="X147" s="61"/>
      <c r="Y147" s="73"/>
      <c r="Z147" s="61"/>
      <c r="AA147" s="61"/>
      <c r="AB147" s="61"/>
    </row>
    <row r="148" spans="2:28" ht="14.25" customHeight="1">
      <c r="B148" s="198"/>
      <c r="E148" s="45"/>
      <c r="F148" s="52"/>
      <c r="I148" s="21"/>
      <c r="J148" s="21"/>
      <c r="L148" s="21"/>
      <c r="M148" s="73"/>
      <c r="N148" s="21"/>
      <c r="O148" s="21"/>
      <c r="S148" s="21"/>
      <c r="W148" s="61"/>
      <c r="X148" s="61"/>
      <c r="Y148" s="73"/>
      <c r="Z148" s="61"/>
      <c r="AA148" s="61"/>
      <c r="AB148" s="61"/>
    </row>
    <row r="149" spans="2:28" ht="14.25" customHeight="1">
      <c r="B149" s="198"/>
      <c r="E149" s="45"/>
      <c r="F149" s="52"/>
      <c r="I149" s="21"/>
      <c r="J149" s="21"/>
      <c r="L149" s="21"/>
      <c r="M149" s="73"/>
      <c r="N149" s="21"/>
      <c r="O149" s="21"/>
      <c r="S149" s="21"/>
      <c r="W149" s="61"/>
      <c r="X149" s="61"/>
      <c r="Y149" s="73"/>
      <c r="Z149" s="61"/>
      <c r="AA149" s="61"/>
      <c r="AB149" s="61"/>
    </row>
    <row r="150" spans="2:28" ht="14.25" customHeight="1">
      <c r="B150" s="61"/>
      <c r="J150" s="21"/>
      <c r="L150" s="21"/>
      <c r="M150" s="21"/>
      <c r="N150" s="21"/>
      <c r="O150" s="21"/>
      <c r="S150" s="21"/>
      <c r="W150" s="61"/>
      <c r="X150" s="61"/>
      <c r="Y150" s="73"/>
      <c r="Z150" s="61"/>
      <c r="AA150" s="61"/>
      <c r="AB150" s="61"/>
    </row>
    <row r="151" spans="2:28" ht="14.25" customHeight="1">
      <c r="B151" s="61"/>
      <c r="J151" s="21"/>
      <c r="L151" s="21"/>
      <c r="M151" s="21"/>
      <c r="N151" s="21"/>
      <c r="O151" s="21"/>
      <c r="W151" s="61"/>
      <c r="X151" s="61"/>
      <c r="Y151" s="61"/>
      <c r="Z151" s="61"/>
      <c r="AA151" s="61"/>
      <c r="AB151" s="61"/>
    </row>
    <row r="152" spans="2:28" ht="14.25" customHeight="1">
      <c r="B152" s="136"/>
      <c r="J152" s="21"/>
      <c r="L152" s="21"/>
      <c r="M152" s="21"/>
      <c r="N152" s="21"/>
      <c r="O152" s="21"/>
      <c r="W152" s="61"/>
      <c r="X152" s="61"/>
      <c r="Y152" s="61"/>
      <c r="Z152" s="61"/>
      <c r="AA152" s="61"/>
      <c r="AB152" s="61"/>
    </row>
    <row r="153" spans="2:28" ht="14.25" customHeight="1">
      <c r="B153" s="198"/>
      <c r="E153" s="45"/>
      <c r="F153" s="52"/>
      <c r="I153" s="21"/>
      <c r="J153" s="21"/>
      <c r="L153" s="21"/>
      <c r="M153" s="73"/>
      <c r="N153" s="21"/>
      <c r="O153" s="21"/>
      <c r="Q153" s="21"/>
      <c r="W153" s="73"/>
      <c r="X153" s="61"/>
      <c r="Y153" s="61"/>
      <c r="Z153" s="61"/>
      <c r="AA153" s="61"/>
      <c r="AB153" s="61"/>
    </row>
    <row r="154" spans="2:28" ht="14.25" customHeight="1">
      <c r="B154" s="198"/>
      <c r="E154" s="45"/>
      <c r="F154" s="52"/>
      <c r="I154" s="21"/>
      <c r="J154" s="21"/>
      <c r="L154" s="21"/>
      <c r="M154" s="73"/>
      <c r="N154" s="21"/>
      <c r="O154" s="21"/>
      <c r="Q154" s="21"/>
      <c r="W154" s="73"/>
      <c r="X154" s="61"/>
      <c r="Y154" s="61"/>
      <c r="Z154" s="61"/>
      <c r="AA154" s="61"/>
      <c r="AB154" s="61"/>
    </row>
    <row r="155" spans="2:28" ht="14.25" customHeight="1">
      <c r="B155" s="198"/>
      <c r="E155" s="45"/>
      <c r="F155" s="52"/>
      <c r="I155" s="21"/>
      <c r="J155" s="21"/>
      <c r="L155" s="21"/>
      <c r="M155" s="73"/>
      <c r="N155" s="21"/>
      <c r="O155" s="21"/>
      <c r="Q155" s="21"/>
      <c r="W155" s="73"/>
      <c r="X155" s="61"/>
      <c r="Y155" s="61"/>
      <c r="Z155" s="61"/>
      <c r="AA155" s="61"/>
      <c r="AB155" s="61"/>
    </row>
    <row r="156" spans="2:28" ht="14.25" customHeight="1">
      <c r="B156" s="198"/>
      <c r="E156" s="45"/>
      <c r="F156" s="52"/>
      <c r="I156" s="21"/>
      <c r="J156" s="21"/>
      <c r="L156" s="21"/>
      <c r="M156" s="73"/>
      <c r="N156" s="21"/>
      <c r="O156" s="21"/>
      <c r="Q156" s="21"/>
      <c r="W156" s="73"/>
      <c r="X156" s="61"/>
      <c r="Y156" s="61"/>
      <c r="Z156" s="61"/>
      <c r="AA156" s="61"/>
      <c r="AB156" s="61"/>
    </row>
    <row r="157" spans="2:28" ht="14.25" customHeight="1">
      <c r="B157" s="198"/>
      <c r="E157" s="45"/>
      <c r="F157" s="52"/>
      <c r="I157" s="21"/>
      <c r="J157" s="21"/>
      <c r="L157" s="21"/>
      <c r="M157" s="73"/>
      <c r="N157" s="21"/>
      <c r="O157" s="21"/>
      <c r="Q157" s="21"/>
      <c r="W157" s="73"/>
      <c r="X157" s="61"/>
      <c r="Y157" s="61"/>
      <c r="Z157" s="61"/>
      <c r="AA157" s="61"/>
      <c r="AB157" s="61"/>
    </row>
    <row r="158" spans="2:28" ht="14.25" customHeight="1">
      <c r="B158" s="198"/>
      <c r="E158" s="45"/>
      <c r="F158" s="52"/>
      <c r="I158" s="21"/>
      <c r="J158" s="21"/>
      <c r="L158" s="21"/>
      <c r="M158" s="73"/>
      <c r="N158" s="21"/>
      <c r="O158" s="21"/>
      <c r="Q158" s="21"/>
      <c r="W158" s="73"/>
      <c r="X158" s="61"/>
      <c r="Y158" s="61"/>
      <c r="Z158" s="61"/>
      <c r="AA158" s="61"/>
      <c r="AB158" s="61"/>
    </row>
    <row r="159" spans="2:28" ht="14.25" customHeight="1">
      <c r="B159" s="198"/>
      <c r="E159" s="45"/>
      <c r="F159" s="52"/>
      <c r="I159" s="21"/>
      <c r="J159" s="21"/>
      <c r="L159" s="21"/>
      <c r="M159" s="73"/>
      <c r="N159" s="21"/>
      <c r="O159" s="21"/>
      <c r="Q159" s="21"/>
      <c r="W159" s="73"/>
      <c r="X159" s="61"/>
      <c r="Y159" s="61"/>
      <c r="Z159" s="61"/>
      <c r="AA159" s="61"/>
      <c r="AB159" s="61"/>
    </row>
    <row r="160" spans="2:28" ht="14.25" customHeight="1">
      <c r="B160" s="198"/>
      <c r="E160" s="45"/>
      <c r="F160" s="52"/>
      <c r="I160" s="21"/>
      <c r="J160" s="21"/>
      <c r="L160" s="21"/>
      <c r="M160" s="73"/>
      <c r="N160" s="21"/>
      <c r="O160" s="21"/>
      <c r="Q160" s="21"/>
      <c r="W160" s="73"/>
      <c r="X160" s="61"/>
      <c r="Y160" s="61"/>
      <c r="Z160" s="61"/>
      <c r="AA160" s="61"/>
      <c r="AB160" s="61"/>
    </row>
    <row r="161" spans="2:28" ht="14.25" customHeight="1">
      <c r="B161" s="198"/>
      <c r="E161" s="45"/>
      <c r="F161" s="52"/>
      <c r="I161" s="21"/>
      <c r="J161" s="21"/>
      <c r="L161" s="21"/>
      <c r="M161" s="73"/>
      <c r="N161" s="21"/>
      <c r="O161" s="21"/>
      <c r="Q161" s="21"/>
      <c r="W161" s="73"/>
      <c r="X161" s="61"/>
      <c r="Y161" s="61"/>
      <c r="Z161" s="61"/>
      <c r="AA161" s="61"/>
      <c r="AB161" s="61"/>
    </row>
    <row r="162" spans="2:28" ht="14.25" customHeight="1">
      <c r="B162" s="61"/>
      <c r="J162" s="21"/>
      <c r="L162" s="21"/>
      <c r="M162" s="21"/>
      <c r="N162" s="21"/>
      <c r="O162" s="21"/>
      <c r="Q162" s="21"/>
      <c r="W162" s="73"/>
      <c r="X162" s="61"/>
      <c r="Y162" s="61"/>
      <c r="Z162" s="61"/>
      <c r="AA162" s="61"/>
      <c r="AB162" s="61"/>
    </row>
    <row r="163" spans="2:28" ht="14.25" customHeight="1">
      <c r="B163" s="61"/>
      <c r="J163" s="21"/>
      <c r="L163" s="21"/>
      <c r="M163" s="21"/>
      <c r="N163" s="21"/>
      <c r="O163" s="21"/>
      <c r="W163" s="61"/>
      <c r="X163" s="61"/>
      <c r="Y163" s="61"/>
      <c r="Z163" s="61"/>
      <c r="AA163" s="61"/>
      <c r="AB163" s="61"/>
    </row>
    <row r="164" spans="2:28" ht="14.25" customHeight="1">
      <c r="B164" s="136"/>
      <c r="J164" s="21"/>
      <c r="L164" s="21"/>
      <c r="M164" s="21"/>
      <c r="N164" s="21"/>
      <c r="O164" s="21"/>
      <c r="W164" s="61"/>
      <c r="X164" s="61"/>
      <c r="Y164" s="61"/>
      <c r="Z164" s="61"/>
      <c r="AA164" s="61"/>
      <c r="AB164" s="61"/>
    </row>
    <row r="165" spans="2:28" ht="14.25" customHeight="1">
      <c r="B165" s="198"/>
      <c r="E165" s="45"/>
      <c r="F165" s="52"/>
      <c r="I165" s="21"/>
      <c r="J165" s="21"/>
      <c r="L165" s="21"/>
      <c r="M165" s="73"/>
      <c r="N165" s="21"/>
      <c r="O165" s="21"/>
      <c r="R165" s="21"/>
      <c r="W165" s="61"/>
      <c r="X165" s="73"/>
      <c r="Y165" s="61"/>
      <c r="Z165" s="61"/>
      <c r="AA165" s="61"/>
      <c r="AB165" s="61"/>
    </row>
    <row r="166" spans="2:28" ht="14.25" customHeight="1">
      <c r="B166" s="198"/>
      <c r="E166" s="45"/>
      <c r="F166" s="52"/>
      <c r="I166" s="21"/>
      <c r="J166" s="21"/>
      <c r="L166" s="21"/>
      <c r="M166" s="73"/>
      <c r="N166" s="21"/>
      <c r="O166" s="21"/>
      <c r="R166" s="21"/>
      <c r="W166" s="61"/>
      <c r="X166" s="73"/>
      <c r="Y166" s="61"/>
      <c r="Z166" s="61"/>
      <c r="AA166" s="61"/>
      <c r="AB166" s="61"/>
    </row>
    <row r="167" spans="2:28" ht="14.25" customHeight="1">
      <c r="B167" s="198"/>
      <c r="E167" s="45"/>
      <c r="F167" s="52"/>
      <c r="I167" s="21"/>
      <c r="J167" s="21"/>
      <c r="L167" s="21"/>
      <c r="M167" s="73"/>
      <c r="N167" s="21"/>
      <c r="O167" s="21"/>
      <c r="R167" s="21"/>
      <c r="W167" s="61"/>
      <c r="X167" s="73"/>
      <c r="Y167" s="61"/>
      <c r="Z167" s="61"/>
      <c r="AA167" s="61"/>
      <c r="AB167" s="61"/>
    </row>
    <row r="168" spans="2:28" ht="14.25" customHeight="1">
      <c r="B168" s="198"/>
      <c r="E168" s="45"/>
      <c r="F168" s="52"/>
      <c r="I168" s="21"/>
      <c r="J168" s="21"/>
      <c r="L168" s="21"/>
      <c r="M168" s="73"/>
      <c r="N168" s="21"/>
      <c r="O168" s="21"/>
      <c r="R168" s="21"/>
      <c r="W168" s="61"/>
      <c r="X168" s="73"/>
      <c r="Y168" s="61"/>
      <c r="Z168" s="61"/>
      <c r="AA168" s="61"/>
      <c r="AB168" s="61"/>
    </row>
    <row r="169" spans="2:28" ht="14.25" customHeight="1">
      <c r="B169" s="198"/>
      <c r="E169" s="45"/>
      <c r="F169" s="52"/>
      <c r="I169" s="21"/>
      <c r="J169" s="21"/>
      <c r="L169" s="21"/>
      <c r="M169" s="73"/>
      <c r="N169" s="21"/>
      <c r="O169" s="21"/>
      <c r="R169" s="21"/>
      <c r="W169" s="61"/>
      <c r="X169" s="73"/>
      <c r="Y169" s="61"/>
      <c r="Z169" s="61"/>
      <c r="AA169" s="61"/>
      <c r="AB169" s="61"/>
    </row>
    <row r="170" spans="2:28" ht="14.25" customHeight="1">
      <c r="B170" s="198"/>
      <c r="E170" s="45"/>
      <c r="F170" s="52"/>
      <c r="I170" s="21"/>
      <c r="J170" s="21"/>
      <c r="L170" s="21"/>
      <c r="M170" s="73"/>
      <c r="N170" s="21"/>
      <c r="O170" s="21"/>
      <c r="R170" s="21"/>
      <c r="W170" s="61"/>
      <c r="X170" s="73"/>
      <c r="Y170" s="61"/>
      <c r="Z170" s="61"/>
      <c r="AA170" s="61"/>
      <c r="AB170" s="61"/>
    </row>
    <row r="171" spans="2:28" ht="14.25" customHeight="1">
      <c r="B171" s="198"/>
      <c r="E171" s="45"/>
      <c r="F171" s="52"/>
      <c r="I171" s="21"/>
      <c r="J171" s="21"/>
      <c r="L171" s="21"/>
      <c r="M171" s="73"/>
      <c r="N171" s="21"/>
      <c r="O171" s="21"/>
      <c r="R171" s="21"/>
      <c r="W171" s="61"/>
      <c r="X171" s="73"/>
      <c r="Y171" s="61"/>
      <c r="Z171" s="61"/>
      <c r="AA171" s="61"/>
      <c r="AB171" s="61"/>
    </row>
    <row r="172" spans="2:28" ht="14.25" customHeight="1">
      <c r="B172" s="198"/>
      <c r="E172" s="45"/>
      <c r="F172" s="52"/>
      <c r="I172" s="21"/>
      <c r="J172" s="21"/>
      <c r="L172" s="21"/>
      <c r="M172" s="73"/>
      <c r="N172" s="21"/>
      <c r="O172" s="21"/>
      <c r="R172" s="21"/>
      <c r="W172" s="61"/>
      <c r="X172" s="73"/>
      <c r="Y172" s="61"/>
      <c r="Z172" s="61"/>
      <c r="AA172" s="61"/>
      <c r="AB172" s="61"/>
    </row>
    <row r="173" spans="2:28" ht="14.25" customHeight="1">
      <c r="B173" s="61"/>
      <c r="J173" s="21"/>
      <c r="L173" s="21"/>
      <c r="M173" s="21"/>
      <c r="N173" s="21"/>
      <c r="O173" s="21"/>
      <c r="R173" s="21"/>
      <c r="W173" s="61"/>
      <c r="X173" s="73"/>
      <c r="Y173" s="61"/>
      <c r="Z173" s="61"/>
      <c r="AA173" s="61"/>
      <c r="AB173" s="61"/>
    </row>
    <row r="174" spans="2:28" ht="14.25" customHeight="1">
      <c r="B174" s="61"/>
      <c r="J174" s="21"/>
      <c r="L174" s="21"/>
      <c r="M174" s="21"/>
      <c r="N174" s="21"/>
      <c r="O174" s="21"/>
      <c r="W174" s="61"/>
      <c r="X174" s="61"/>
      <c r="Y174" s="61"/>
      <c r="Z174" s="61"/>
      <c r="AA174" s="61"/>
      <c r="AB174" s="61"/>
    </row>
    <row r="175" spans="2:28" ht="14.25" customHeight="1">
      <c r="B175" s="136"/>
      <c r="J175" s="21"/>
      <c r="L175" s="21"/>
      <c r="M175" s="21"/>
      <c r="N175" s="21"/>
      <c r="O175" s="21"/>
      <c r="W175" s="61"/>
      <c r="X175" s="61"/>
      <c r="Y175" s="61"/>
      <c r="Z175" s="61"/>
      <c r="AA175" s="61"/>
      <c r="AB175" s="61"/>
    </row>
    <row r="176" spans="2:28" ht="14.25" customHeight="1">
      <c r="B176" s="198"/>
      <c r="E176" s="45"/>
      <c r="F176" s="52"/>
      <c r="I176" s="21"/>
      <c r="J176" s="21"/>
      <c r="L176" s="21"/>
      <c r="M176" s="73"/>
      <c r="N176" s="21"/>
      <c r="O176" s="21"/>
      <c r="Q176" s="21"/>
      <c r="W176" s="73"/>
      <c r="X176" s="61"/>
      <c r="Y176" s="61"/>
      <c r="Z176" s="61"/>
      <c r="AA176" s="61"/>
      <c r="AB176" s="61"/>
    </row>
    <row r="177" spans="2:28" ht="14.25" customHeight="1">
      <c r="B177" s="198"/>
      <c r="E177" s="45"/>
      <c r="F177" s="52"/>
      <c r="I177" s="21"/>
      <c r="J177" s="21"/>
      <c r="L177" s="21"/>
      <c r="M177" s="73"/>
      <c r="N177" s="21"/>
      <c r="O177" s="21"/>
      <c r="Q177" s="21"/>
      <c r="W177" s="73"/>
      <c r="X177" s="61"/>
      <c r="Y177" s="61"/>
      <c r="Z177" s="61"/>
      <c r="AA177" s="61"/>
      <c r="AB177" s="61"/>
    </row>
    <row r="178" spans="2:28" ht="14.25" customHeight="1">
      <c r="B178" s="61"/>
      <c r="J178" s="21"/>
      <c r="L178" s="21"/>
      <c r="M178" s="21"/>
      <c r="N178" s="21"/>
      <c r="O178" s="21"/>
      <c r="Q178" s="21"/>
      <c r="W178" s="73"/>
      <c r="X178" s="61"/>
      <c r="Y178" s="61"/>
      <c r="Z178" s="61"/>
      <c r="AA178" s="61"/>
      <c r="AB178" s="61"/>
    </row>
    <row r="179" spans="2:28" ht="14.25" customHeight="1">
      <c r="B179" s="61"/>
      <c r="J179" s="21"/>
      <c r="L179" s="21"/>
      <c r="M179" s="21"/>
      <c r="N179" s="21"/>
      <c r="O179" s="21"/>
      <c r="W179" s="61"/>
      <c r="X179" s="61"/>
      <c r="Y179" s="61"/>
      <c r="Z179" s="61"/>
      <c r="AA179" s="61"/>
      <c r="AB179" s="61"/>
    </row>
    <row r="180" spans="2:28" ht="14.25" customHeight="1">
      <c r="B180" s="136"/>
      <c r="J180" s="21"/>
      <c r="L180" s="21"/>
      <c r="M180" s="21"/>
      <c r="N180" s="21"/>
      <c r="O180" s="21"/>
      <c r="W180" s="61"/>
      <c r="X180" s="61"/>
      <c r="Y180" s="61"/>
      <c r="Z180" s="61"/>
      <c r="AA180" s="61"/>
      <c r="AB180" s="61"/>
    </row>
    <row r="181" spans="2:28" ht="14.25" customHeight="1">
      <c r="B181" s="198"/>
      <c r="E181" s="45"/>
      <c r="F181" s="52"/>
      <c r="I181" s="21"/>
      <c r="J181" s="21"/>
      <c r="L181" s="21"/>
      <c r="M181" s="73"/>
      <c r="N181" s="21"/>
      <c r="O181" s="21"/>
      <c r="Q181" s="21"/>
      <c r="W181" s="73"/>
      <c r="X181" s="61"/>
      <c r="Y181" s="61"/>
      <c r="Z181" s="61"/>
      <c r="AA181" s="61"/>
      <c r="AB181" s="61"/>
    </row>
    <row r="182" spans="2:28" ht="14.25" customHeight="1">
      <c r="B182" s="198"/>
      <c r="E182" s="45"/>
      <c r="F182" s="52"/>
      <c r="I182" s="21"/>
      <c r="J182" s="21"/>
      <c r="L182" s="21"/>
      <c r="M182" s="73"/>
      <c r="N182" s="21"/>
      <c r="O182" s="21"/>
      <c r="Q182" s="21"/>
      <c r="W182" s="73"/>
      <c r="X182" s="61"/>
      <c r="Y182" s="61"/>
      <c r="Z182" s="61"/>
      <c r="AA182" s="61"/>
      <c r="AB182" s="61"/>
    </row>
    <row r="183" spans="2:28" ht="14.25" customHeight="1">
      <c r="B183" s="61"/>
      <c r="J183" s="21"/>
      <c r="L183" s="21"/>
      <c r="M183" s="21"/>
      <c r="N183" s="21"/>
      <c r="O183" s="21"/>
      <c r="Q183" s="21"/>
      <c r="W183" s="73"/>
      <c r="X183" s="61"/>
      <c r="Y183" s="61"/>
      <c r="Z183" s="61"/>
      <c r="AA183" s="61"/>
      <c r="AB183" s="61"/>
    </row>
    <row r="184" spans="2:28" ht="14.25" customHeight="1">
      <c r="B184" s="136"/>
      <c r="J184" s="21"/>
      <c r="L184" s="21"/>
      <c r="M184" s="21"/>
      <c r="N184" s="21"/>
      <c r="O184" s="21"/>
      <c r="W184" s="61"/>
      <c r="X184" s="61"/>
      <c r="Y184" s="61"/>
      <c r="Z184" s="61"/>
      <c r="AA184" s="61"/>
      <c r="AB184" s="61"/>
    </row>
    <row r="185" spans="2:28" ht="14.25" customHeight="1">
      <c r="B185" s="198"/>
      <c r="E185" s="45"/>
      <c r="F185" s="52"/>
      <c r="I185" s="21"/>
      <c r="J185" s="21"/>
      <c r="L185" s="21"/>
      <c r="M185" s="73"/>
      <c r="N185" s="21"/>
      <c r="O185" s="21"/>
      <c r="Q185" s="21"/>
      <c r="W185" s="73"/>
      <c r="X185" s="61"/>
      <c r="Y185" s="61"/>
      <c r="Z185" s="61"/>
      <c r="AA185" s="61"/>
      <c r="AB185" s="61"/>
    </row>
    <row r="186" spans="2:28" ht="14.25" customHeight="1">
      <c r="B186" s="61"/>
      <c r="J186" s="21"/>
      <c r="L186" s="21"/>
      <c r="M186" s="21"/>
      <c r="N186" s="21"/>
      <c r="O186" s="21"/>
      <c r="Q186" s="21"/>
      <c r="W186" s="73"/>
      <c r="X186" s="61"/>
      <c r="Y186" s="61"/>
      <c r="Z186" s="61"/>
      <c r="AA186" s="61"/>
      <c r="AB186" s="61"/>
    </row>
    <row r="187" spans="2:28" ht="14.25" customHeight="1">
      <c r="B187" s="61"/>
      <c r="J187" s="21"/>
      <c r="L187" s="21"/>
      <c r="M187" s="21"/>
      <c r="N187" s="21"/>
      <c r="O187" s="21"/>
      <c r="W187" s="61"/>
      <c r="X187" s="61"/>
      <c r="Y187" s="61"/>
      <c r="Z187" s="61"/>
      <c r="AA187" s="61"/>
      <c r="AB187" s="61"/>
    </row>
    <row r="188" spans="2:28" ht="15.75">
      <c r="B188" s="136"/>
      <c r="M188" s="61"/>
      <c r="W188" s="61"/>
      <c r="X188" s="61"/>
      <c r="Y188" s="61"/>
      <c r="Z188" s="61"/>
      <c r="AA188" s="61"/>
      <c r="AB188" s="61"/>
    </row>
    <row r="189" spans="2:28" ht="15">
      <c r="B189" s="198"/>
      <c r="E189" s="45"/>
      <c r="F189" s="52"/>
      <c r="I189" s="21"/>
      <c r="J189" s="21"/>
      <c r="L189" s="21"/>
      <c r="M189" s="73"/>
      <c r="N189" s="21"/>
      <c r="O189" s="21"/>
      <c r="Q189" s="21"/>
      <c r="V189" s="21"/>
      <c r="W189" s="73"/>
      <c r="X189" s="61"/>
      <c r="Y189" s="61"/>
      <c r="Z189" s="61"/>
      <c r="AA189" s="61"/>
      <c r="AB189" s="73"/>
    </row>
    <row r="190" spans="2:28" ht="15">
      <c r="B190" s="198"/>
      <c r="E190" s="45"/>
      <c r="F190" s="52"/>
      <c r="I190" s="21"/>
      <c r="J190" s="21"/>
      <c r="L190" s="21"/>
      <c r="M190" s="73"/>
      <c r="N190" s="21"/>
      <c r="O190" s="21"/>
      <c r="Q190" s="21"/>
      <c r="V190" s="21"/>
      <c r="W190" s="73"/>
      <c r="X190" s="61"/>
      <c r="Y190" s="61"/>
      <c r="Z190" s="61"/>
      <c r="AA190" s="61"/>
      <c r="AB190" s="73"/>
    </row>
    <row r="191" spans="2:28" ht="15">
      <c r="B191" s="198"/>
      <c r="E191" s="45"/>
      <c r="F191" s="52"/>
      <c r="H191" s="46"/>
      <c r="I191" s="21"/>
      <c r="J191" s="21"/>
      <c r="L191" s="21"/>
      <c r="M191" s="73"/>
      <c r="N191" s="21"/>
      <c r="O191" s="21"/>
      <c r="Q191" s="21"/>
      <c r="W191" s="73"/>
      <c r="X191" s="73"/>
      <c r="Y191" s="73"/>
      <c r="Z191" s="73"/>
      <c r="AA191" s="73"/>
      <c r="AB191" s="73"/>
    </row>
    <row r="192" spans="2:28" ht="15">
      <c r="B192" s="198"/>
      <c r="E192" s="168"/>
      <c r="F192" s="52"/>
      <c r="I192" s="21"/>
      <c r="J192" s="21"/>
      <c r="L192" s="21"/>
      <c r="M192" s="73"/>
      <c r="N192" s="21"/>
      <c r="O192" s="21"/>
      <c r="Q192" s="21"/>
      <c r="S192" s="21"/>
      <c r="W192" s="73"/>
      <c r="X192" s="61"/>
      <c r="Y192" s="73"/>
      <c r="Z192" s="61"/>
      <c r="AA192" s="61"/>
      <c r="AB192" s="61"/>
    </row>
    <row r="193" spans="12:30" ht="15"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73"/>
      <c r="X193" s="73"/>
      <c r="Y193" s="73"/>
      <c r="Z193" s="73"/>
      <c r="AA193" s="73"/>
      <c r="AB193" s="73"/>
      <c r="AC193" s="21"/>
      <c r="AD193" s="21"/>
    </row>
    <row r="194" spans="2:28" ht="18">
      <c r="B194" s="166"/>
      <c r="C194" s="166"/>
      <c r="D194" s="166"/>
      <c r="E194" s="166"/>
      <c r="F194" s="166"/>
      <c r="G194" s="185"/>
      <c r="H194" s="185"/>
      <c r="I194" s="185"/>
      <c r="J194" s="185"/>
      <c r="K194" s="185"/>
      <c r="L194" s="185"/>
      <c r="M194" s="185"/>
      <c r="N194" s="185"/>
      <c r="O194" s="185"/>
      <c r="W194" s="61"/>
      <c r="X194" s="61"/>
      <c r="Y194" s="61"/>
      <c r="Z194" s="61"/>
      <c r="AA194" s="61"/>
      <c r="AB194" s="61"/>
    </row>
    <row r="195" spans="2:28" ht="15.75">
      <c r="B195" s="17"/>
      <c r="W195" s="61"/>
      <c r="X195" s="61"/>
      <c r="Y195" s="61"/>
      <c r="Z195" s="61"/>
      <c r="AA195" s="61"/>
      <c r="AB195" s="61"/>
    </row>
    <row r="196" spans="2:28" ht="15">
      <c r="B196" s="9"/>
      <c r="E196" s="45"/>
      <c r="F196" s="52"/>
      <c r="I196" s="21"/>
      <c r="J196" s="21"/>
      <c r="L196" s="21"/>
      <c r="M196" s="21"/>
      <c r="N196" s="21"/>
      <c r="O196" s="21"/>
      <c r="Q196" s="21"/>
      <c r="W196" s="73"/>
      <c r="X196" s="61"/>
      <c r="Y196" s="61"/>
      <c r="Z196" s="61"/>
      <c r="AA196" s="61"/>
      <c r="AB196" s="61"/>
    </row>
    <row r="197" spans="2:28" ht="15">
      <c r="B197" s="9"/>
      <c r="E197" s="45"/>
      <c r="F197" s="52"/>
      <c r="I197" s="21"/>
      <c r="J197" s="21"/>
      <c r="L197" s="21"/>
      <c r="M197" s="21"/>
      <c r="N197" s="21"/>
      <c r="O197" s="21"/>
      <c r="Q197" s="21"/>
      <c r="W197" s="73"/>
      <c r="X197" s="61"/>
      <c r="Y197" s="61"/>
      <c r="Z197" s="61"/>
      <c r="AA197" s="61"/>
      <c r="AB197" s="61"/>
    </row>
    <row r="198" spans="2:28" ht="15">
      <c r="B198" s="9"/>
      <c r="E198" s="45"/>
      <c r="F198" s="52"/>
      <c r="I198" s="21"/>
      <c r="J198" s="21"/>
      <c r="L198" s="21"/>
      <c r="M198" s="21"/>
      <c r="N198" s="21"/>
      <c r="O198" s="21"/>
      <c r="Q198" s="21"/>
      <c r="W198" s="73"/>
      <c r="X198" s="61"/>
      <c r="Y198" s="61"/>
      <c r="Z198" s="61"/>
      <c r="AA198" s="61"/>
      <c r="AB198" s="61"/>
    </row>
    <row r="199" spans="2:28" ht="15">
      <c r="B199" s="9"/>
      <c r="E199" s="45"/>
      <c r="F199" s="52"/>
      <c r="I199" s="21"/>
      <c r="J199" s="21"/>
      <c r="L199" s="21"/>
      <c r="M199" s="21"/>
      <c r="N199" s="21"/>
      <c r="O199" s="21"/>
      <c r="Q199" s="21"/>
      <c r="W199" s="73"/>
      <c r="X199" s="61"/>
      <c r="Y199" s="61"/>
      <c r="Z199" s="61"/>
      <c r="AA199" s="61"/>
      <c r="AB199" s="61"/>
    </row>
    <row r="200" spans="2:28" ht="15">
      <c r="B200" s="9"/>
      <c r="E200" s="45"/>
      <c r="F200" s="52"/>
      <c r="I200" s="21"/>
      <c r="J200" s="21"/>
      <c r="L200" s="21"/>
      <c r="M200" s="21"/>
      <c r="N200" s="21"/>
      <c r="O200" s="21"/>
      <c r="Q200" s="21"/>
      <c r="W200" s="73"/>
      <c r="X200" s="61"/>
      <c r="Y200" s="61"/>
      <c r="Z200" s="61"/>
      <c r="AA200" s="61"/>
      <c r="AB200" s="61"/>
    </row>
    <row r="201" spans="2:28" ht="15">
      <c r="B201" s="9"/>
      <c r="E201" s="45"/>
      <c r="F201" s="52"/>
      <c r="I201" s="21"/>
      <c r="J201" s="21"/>
      <c r="L201" s="21"/>
      <c r="M201" s="21"/>
      <c r="N201" s="21"/>
      <c r="O201" s="21"/>
      <c r="Q201" s="21"/>
      <c r="W201" s="73"/>
      <c r="X201" s="61"/>
      <c r="Y201" s="61"/>
      <c r="Z201" s="61"/>
      <c r="AA201" s="61"/>
      <c r="AB201" s="61"/>
    </row>
    <row r="202" spans="17:28" ht="15">
      <c r="Q202" s="21"/>
      <c r="W202" s="73"/>
      <c r="X202" s="61"/>
      <c r="Y202" s="61"/>
      <c r="Z202" s="61"/>
      <c r="AA202" s="61"/>
      <c r="AB202" s="61"/>
    </row>
    <row r="203" spans="7:28" ht="15">
      <c r="G203" s="21"/>
      <c r="I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73"/>
      <c r="X203" s="73"/>
      <c r="Y203" s="73"/>
      <c r="Z203" s="73"/>
      <c r="AA203" s="73"/>
      <c r="AB203" s="73"/>
    </row>
    <row r="204" spans="2:28" ht="18">
      <c r="B204" s="166"/>
      <c r="W204" s="61"/>
      <c r="X204" s="61"/>
      <c r="Y204" s="61"/>
      <c r="Z204" s="61"/>
      <c r="AA204" s="61"/>
      <c r="AB204" s="61"/>
    </row>
    <row r="205" spans="23:28" ht="15">
      <c r="W205" s="61"/>
      <c r="X205" s="61"/>
      <c r="Y205" s="61"/>
      <c r="Z205" s="61"/>
      <c r="AA205" s="61"/>
      <c r="AB205" s="61"/>
    </row>
    <row r="206" spans="23:28" ht="15">
      <c r="W206" s="61"/>
      <c r="X206" s="61"/>
      <c r="Y206" s="61"/>
      <c r="Z206" s="61"/>
      <c r="AA206" s="61"/>
      <c r="AB206" s="61"/>
    </row>
    <row r="207" spans="2:28" ht="15">
      <c r="B207" s="9"/>
      <c r="L207" s="21"/>
      <c r="M207" s="21"/>
      <c r="N207" s="21"/>
      <c r="O207" s="21"/>
      <c r="Q207" s="21"/>
      <c r="R207" s="21"/>
      <c r="S207" s="21"/>
      <c r="T207" s="21"/>
      <c r="U207" s="21"/>
      <c r="V207" s="21"/>
      <c r="W207" s="73"/>
      <c r="X207" s="73"/>
      <c r="Y207" s="73"/>
      <c r="Z207" s="73"/>
      <c r="AA207" s="73"/>
      <c r="AB207" s="73"/>
    </row>
    <row r="208" spans="23:28" ht="15">
      <c r="W208" s="61"/>
      <c r="X208" s="61"/>
      <c r="Y208" s="61"/>
      <c r="Z208" s="61"/>
      <c r="AA208" s="61"/>
      <c r="AB208" s="61"/>
    </row>
    <row r="209" spans="12:28" ht="15">
      <c r="L209" s="21"/>
      <c r="M209" s="21"/>
      <c r="N209" s="21"/>
      <c r="O209" s="21"/>
      <c r="Q209" s="21"/>
      <c r="R209" s="21"/>
      <c r="S209" s="21"/>
      <c r="T209" s="21"/>
      <c r="U209" s="21"/>
      <c r="V209" s="21"/>
      <c r="W209" s="73"/>
      <c r="X209" s="73"/>
      <c r="Y209" s="73"/>
      <c r="Z209" s="73"/>
      <c r="AA209" s="73"/>
      <c r="AB209" s="73"/>
    </row>
    <row r="210" spans="7:28" ht="15">
      <c r="G210" s="21"/>
      <c r="L210" s="21"/>
      <c r="M210" s="21"/>
      <c r="N210" s="21"/>
      <c r="O210" s="21"/>
      <c r="Q210" s="21"/>
      <c r="R210" s="21"/>
      <c r="S210" s="21"/>
      <c r="T210" s="21"/>
      <c r="U210" s="21"/>
      <c r="V210" s="21"/>
      <c r="W210" s="73"/>
      <c r="X210" s="73"/>
      <c r="Y210" s="73"/>
      <c r="Z210" s="73"/>
      <c r="AA210" s="73"/>
      <c r="AB210" s="73"/>
    </row>
    <row r="211" spans="9:28" ht="15">
      <c r="I211" s="21"/>
      <c r="L211" s="21"/>
      <c r="M211" s="21"/>
      <c r="N211" s="21"/>
      <c r="O211" s="21"/>
      <c r="Q211" s="21"/>
      <c r="R211" s="21"/>
      <c r="S211" s="21"/>
      <c r="T211" s="21"/>
      <c r="U211" s="21"/>
      <c r="V211" s="21"/>
      <c r="W211" s="73"/>
      <c r="X211" s="73"/>
      <c r="Y211" s="73"/>
      <c r="Z211" s="73"/>
      <c r="AA211" s="73"/>
      <c r="AB211" s="73"/>
    </row>
    <row r="212" spans="12:28" ht="15">
      <c r="L212" s="21"/>
      <c r="M212" s="21"/>
      <c r="N212" s="21"/>
      <c r="O212" s="21"/>
      <c r="Q212" s="21"/>
      <c r="R212" s="21"/>
      <c r="S212" s="21"/>
      <c r="T212" s="21"/>
      <c r="U212" s="21"/>
      <c r="V212" s="21"/>
      <c r="W212" s="73"/>
      <c r="X212" s="73"/>
      <c r="Y212" s="73"/>
      <c r="Z212" s="73"/>
      <c r="AA212" s="73"/>
      <c r="AB212" s="73"/>
    </row>
    <row r="213" spans="12:28" ht="15">
      <c r="L213" s="21"/>
      <c r="M213" s="21"/>
      <c r="N213" s="21"/>
      <c r="O213" s="21"/>
      <c r="Q213" s="21"/>
      <c r="R213" s="21"/>
      <c r="S213" s="21"/>
      <c r="T213" s="21"/>
      <c r="U213" s="21"/>
      <c r="V213" s="21"/>
      <c r="W213" s="73"/>
      <c r="X213" s="73"/>
      <c r="Y213" s="73"/>
      <c r="Z213" s="73"/>
      <c r="AA213" s="73"/>
      <c r="AB213" s="73"/>
    </row>
    <row r="214" spans="12:28" ht="15"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73"/>
      <c r="X214" s="73"/>
      <c r="Y214" s="73"/>
      <c r="Z214" s="73"/>
      <c r="AA214" s="73"/>
      <c r="AB214" s="73"/>
    </row>
    <row r="215" spans="7:28" ht="15">
      <c r="G215" s="21"/>
      <c r="I215" s="21"/>
      <c r="L215" s="21"/>
      <c r="M215" s="21"/>
      <c r="N215" s="21"/>
      <c r="O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</row>
    <row r="216" spans="7:28" ht="15">
      <c r="G216" s="21"/>
      <c r="I216" s="21"/>
      <c r="L216" s="21"/>
      <c r="M216" s="21"/>
      <c r="N216" s="21"/>
      <c r="O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</row>
    <row r="217" spans="7:28" ht="15">
      <c r="G217" s="21"/>
      <c r="I217" s="21"/>
      <c r="L217" s="21"/>
      <c r="M217" s="21"/>
      <c r="N217" s="21"/>
      <c r="O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</row>
    <row r="218" spans="7:28" ht="15">
      <c r="G218" s="21"/>
      <c r="I218" s="21"/>
      <c r="J218" s="21"/>
      <c r="K218" s="21"/>
      <c r="L218" s="21"/>
      <c r="M218" s="21"/>
      <c r="N218" s="21"/>
      <c r="O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</row>
    <row r="219" spans="7:28" ht="15">
      <c r="G219" s="21"/>
      <c r="I219" s="21"/>
      <c r="J219" s="21"/>
      <c r="K219" s="21"/>
      <c r="L219" s="21"/>
      <c r="M219" s="21"/>
      <c r="N219" s="21"/>
      <c r="O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</row>
    <row r="220" spans="7:28" ht="15">
      <c r="G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73"/>
      <c r="X220" s="73"/>
      <c r="Y220" s="73"/>
      <c r="Z220" s="73"/>
      <c r="AA220" s="73"/>
      <c r="AB220" s="73"/>
    </row>
    <row r="221" spans="7:28" ht="15">
      <c r="G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73"/>
      <c r="X221" s="73"/>
      <c r="Y221" s="73"/>
      <c r="Z221" s="73"/>
      <c r="AA221" s="73"/>
      <c r="AB221" s="73"/>
    </row>
    <row r="222" spans="7:28" ht="15">
      <c r="G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73"/>
      <c r="X222" s="73"/>
      <c r="Y222" s="73"/>
      <c r="Z222" s="73"/>
      <c r="AA222" s="73"/>
      <c r="AB222" s="73"/>
    </row>
    <row r="223" spans="7:28" ht="15"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73"/>
      <c r="X223" s="73"/>
      <c r="Y223" s="73"/>
      <c r="Z223" s="73"/>
      <c r="AA223" s="73"/>
      <c r="AB223" s="73"/>
    </row>
    <row r="224" spans="7:28" ht="15"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73"/>
      <c r="X224" s="73"/>
      <c r="Y224" s="73"/>
      <c r="Z224" s="73"/>
      <c r="AA224" s="73"/>
      <c r="AB224" s="73"/>
    </row>
    <row r="225" spans="7:28" ht="15"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73"/>
      <c r="X225" s="73"/>
      <c r="Y225" s="73"/>
      <c r="Z225" s="73"/>
      <c r="AA225" s="73"/>
      <c r="AB225" s="73"/>
    </row>
    <row r="226" spans="7:28" ht="15">
      <c r="G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73"/>
      <c r="X226" s="73"/>
      <c r="Y226" s="73"/>
      <c r="Z226" s="73"/>
      <c r="AA226" s="73"/>
      <c r="AB226" s="73"/>
    </row>
    <row r="227" spans="7:28" ht="15"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73"/>
      <c r="X227" s="73"/>
      <c r="Y227" s="73"/>
      <c r="Z227" s="73"/>
      <c r="AA227" s="73"/>
      <c r="AB227" s="73"/>
    </row>
    <row r="228" spans="7:28" ht="15">
      <c r="G228" s="21"/>
      <c r="I228" s="21"/>
      <c r="J228" s="21"/>
      <c r="K228" s="21"/>
      <c r="L228" s="21"/>
      <c r="M228" s="21"/>
      <c r="N228" s="21"/>
      <c r="O228" s="21"/>
      <c r="Q228" s="21"/>
      <c r="R228" s="21"/>
      <c r="S228" s="21"/>
      <c r="T228" s="21"/>
      <c r="U228" s="21"/>
      <c r="V228" s="21"/>
      <c r="W228" s="73"/>
      <c r="X228" s="73"/>
      <c r="Y228" s="73"/>
      <c r="Z228" s="73"/>
      <c r="AA228" s="73"/>
      <c r="AB228" s="73"/>
    </row>
    <row r="229" spans="23:28" ht="15">
      <c r="W229" s="61"/>
      <c r="X229" s="61"/>
      <c r="Y229" s="61"/>
      <c r="Z229" s="61"/>
      <c r="AA229" s="61"/>
      <c r="AB229" s="61"/>
    </row>
    <row r="230" spans="12:28" ht="15.75">
      <c r="L230" s="21"/>
      <c r="M230" s="57"/>
      <c r="N230" s="21"/>
      <c r="O230" s="57"/>
      <c r="Q230" s="57"/>
      <c r="R230" s="57"/>
      <c r="S230" s="57"/>
      <c r="T230" s="57"/>
      <c r="U230" s="57"/>
      <c r="V230" s="57"/>
      <c r="W230" s="186"/>
      <c r="X230" s="186"/>
      <c r="Y230" s="186"/>
      <c r="Z230" s="186"/>
      <c r="AA230" s="186"/>
      <c r="AB230" s="186"/>
    </row>
    <row r="231" spans="22:28" ht="15">
      <c r="V231" s="21"/>
      <c r="W231" s="61"/>
      <c r="X231" s="61"/>
      <c r="Y231" s="61"/>
      <c r="Z231" s="61"/>
      <c r="AA231" s="61"/>
      <c r="AB231" s="73"/>
    </row>
    <row r="232" spans="12:28" ht="15">
      <c r="L232" s="9"/>
      <c r="V232" s="21"/>
      <c r="W232" s="61"/>
      <c r="X232" s="61"/>
      <c r="Y232" s="234"/>
      <c r="Z232" s="61"/>
      <c r="AA232" s="198"/>
      <c r="AB232" s="73"/>
    </row>
    <row r="233" spans="12:28" ht="15">
      <c r="L233" s="9"/>
      <c r="M233" s="21"/>
      <c r="W233" s="61"/>
      <c r="X233" s="61"/>
      <c r="Y233" s="61"/>
      <c r="Z233" s="61"/>
      <c r="AA233" s="61"/>
      <c r="AB233" s="61"/>
    </row>
    <row r="234" spans="7:28" ht="15">
      <c r="G234" s="21"/>
      <c r="W234" s="61"/>
      <c r="X234" s="61"/>
      <c r="Y234" s="61"/>
      <c r="Z234" s="61"/>
      <c r="AA234" s="61"/>
      <c r="AB234" s="61"/>
    </row>
    <row r="235" spans="23:28" ht="15">
      <c r="W235" s="61"/>
      <c r="X235" s="61"/>
      <c r="Y235" s="61"/>
      <c r="Z235" s="61"/>
      <c r="AA235" s="61"/>
      <c r="AB235" s="61"/>
    </row>
    <row r="236" spans="2:28" ht="18" hidden="1">
      <c r="B236" s="166"/>
      <c r="C236" s="167"/>
      <c r="D236" s="167"/>
      <c r="E236" s="167"/>
      <c r="F236" s="167"/>
      <c r="G236" s="166"/>
      <c r="H236" s="167"/>
      <c r="I236" s="167"/>
      <c r="J236" s="167"/>
      <c r="K236" s="167"/>
      <c r="L236" s="166"/>
      <c r="M236" s="167"/>
      <c r="N236" s="167"/>
      <c r="O236" s="166"/>
      <c r="W236" s="61"/>
      <c r="X236" s="61"/>
      <c r="Y236" s="61"/>
      <c r="Z236" s="61"/>
      <c r="AA236" s="61"/>
      <c r="AB236" s="61"/>
    </row>
    <row r="237" spans="2:28" ht="15" hidden="1">
      <c r="B237" s="9"/>
      <c r="C237" s="9"/>
      <c r="D237" s="9"/>
      <c r="E237" s="168"/>
      <c r="F237" s="223"/>
      <c r="G237" s="9"/>
      <c r="H237" s="9"/>
      <c r="I237" s="187"/>
      <c r="J237" s="187"/>
      <c r="K237" s="9"/>
      <c r="L237" s="9"/>
      <c r="M237" s="187"/>
      <c r="N237" s="187"/>
      <c r="O237" s="9"/>
      <c r="W237" s="61"/>
      <c r="X237" s="61"/>
      <c r="Y237" s="61"/>
      <c r="Z237" s="61"/>
      <c r="AA237" s="61"/>
      <c r="AB237" s="61"/>
    </row>
    <row r="238" spans="2:28" ht="15" hidden="1">
      <c r="B238" s="76"/>
      <c r="C238" s="76"/>
      <c r="D238" s="76"/>
      <c r="E238" s="168"/>
      <c r="F238" s="223"/>
      <c r="G238" s="76"/>
      <c r="H238" s="224"/>
      <c r="I238" s="187"/>
      <c r="J238" s="187"/>
      <c r="K238" s="9"/>
      <c r="L238" s="187"/>
      <c r="M238" s="187"/>
      <c r="N238" s="187"/>
      <c r="O238" s="187"/>
      <c r="Q238" s="21"/>
      <c r="R238" s="21"/>
      <c r="S238" s="21"/>
      <c r="T238" s="21"/>
      <c r="U238" s="21"/>
      <c r="V238" s="21"/>
      <c r="W238" s="61"/>
      <c r="X238" s="61"/>
      <c r="Y238" s="61"/>
      <c r="Z238" s="61"/>
      <c r="AA238" s="61"/>
      <c r="AB238" s="61"/>
    </row>
    <row r="239" spans="2:28" ht="15" hidden="1">
      <c r="B239" s="76"/>
      <c r="C239" s="9"/>
      <c r="D239" s="9"/>
      <c r="E239" s="168"/>
      <c r="F239" s="223"/>
      <c r="G239" s="9"/>
      <c r="H239" s="9"/>
      <c r="I239" s="26"/>
      <c r="J239" s="26"/>
      <c r="K239" s="26"/>
      <c r="L239" s="26"/>
      <c r="M239" s="26"/>
      <c r="N239" s="26"/>
      <c r="O239" s="26"/>
      <c r="W239" s="61"/>
      <c r="X239" s="61"/>
      <c r="Y239" s="61"/>
      <c r="Z239" s="61"/>
      <c r="AA239" s="61"/>
      <c r="AB239" s="61"/>
    </row>
    <row r="240" spans="2:28" ht="15" hidden="1">
      <c r="B240" s="76"/>
      <c r="C240" s="9"/>
      <c r="D240" s="9"/>
      <c r="E240" s="168"/>
      <c r="F240" s="223"/>
      <c r="G240" s="9"/>
      <c r="H240" s="9"/>
      <c r="I240" s="26"/>
      <c r="J240" s="26"/>
      <c r="K240" s="26"/>
      <c r="L240" s="26"/>
      <c r="M240" s="26"/>
      <c r="N240" s="26"/>
      <c r="O240" s="26"/>
      <c r="W240" s="61"/>
      <c r="X240" s="61"/>
      <c r="Y240" s="61"/>
      <c r="Z240" s="61"/>
      <c r="AA240" s="61"/>
      <c r="AB240" s="61"/>
    </row>
    <row r="241" spans="2:28" ht="15" hidden="1">
      <c r="B241" s="76"/>
      <c r="C241" s="9"/>
      <c r="D241" s="9"/>
      <c r="E241" s="168"/>
      <c r="F241" s="223"/>
      <c r="G241" s="86"/>
      <c r="H241" s="225"/>
      <c r="I241" s="26"/>
      <c r="J241" s="26"/>
      <c r="K241" s="26"/>
      <c r="L241" s="26"/>
      <c r="M241" s="207"/>
      <c r="N241" s="26"/>
      <c r="O241" s="207"/>
      <c r="W241" s="61"/>
      <c r="X241" s="61"/>
      <c r="Y241" s="61"/>
      <c r="Z241" s="61"/>
      <c r="AA241" s="61"/>
      <c r="AB241" s="61"/>
    </row>
    <row r="242" spans="2:28" ht="15" hidden="1">
      <c r="B242" s="9"/>
      <c r="C242" s="9"/>
      <c r="D242" s="9"/>
      <c r="E242" s="9"/>
      <c r="F242" s="9"/>
      <c r="G242" s="9"/>
      <c r="H242" s="9"/>
      <c r="I242" s="26"/>
      <c r="J242" s="26"/>
      <c r="K242" s="26"/>
      <c r="L242" s="26"/>
      <c r="M242" s="26"/>
      <c r="N242" s="26"/>
      <c r="O242" s="26"/>
      <c r="W242" s="61"/>
      <c r="X242" s="61"/>
      <c r="Y242" s="61"/>
      <c r="Z242" s="61"/>
      <c r="AA242" s="61"/>
      <c r="AB242" s="61"/>
    </row>
    <row r="243" spans="2:28" ht="15" hidden="1">
      <c r="B243" s="9"/>
      <c r="C243" s="9"/>
      <c r="D243" s="9"/>
      <c r="E243" s="9"/>
      <c r="F243" s="9"/>
      <c r="G243" s="9"/>
      <c r="H243" s="9"/>
      <c r="I243" s="26"/>
      <c r="J243" s="26"/>
      <c r="K243" s="26"/>
      <c r="L243" s="26"/>
      <c r="M243" s="26"/>
      <c r="N243" s="26"/>
      <c r="O243" s="26"/>
      <c r="W243" s="61"/>
      <c r="X243" s="61"/>
      <c r="Y243" s="61"/>
      <c r="Z243" s="61"/>
      <c r="AA243" s="61"/>
      <c r="AB243" s="61"/>
    </row>
    <row r="244" spans="2:28" ht="15" hidden="1">
      <c r="B244" s="9"/>
      <c r="C244" s="9"/>
      <c r="D244" s="9"/>
      <c r="E244" s="9"/>
      <c r="F244" s="9"/>
      <c r="G244" s="9"/>
      <c r="H244" s="9"/>
      <c r="I244" s="26"/>
      <c r="J244" s="26"/>
      <c r="K244" s="26"/>
      <c r="L244" s="26"/>
      <c r="M244" s="26"/>
      <c r="N244" s="26"/>
      <c r="O244" s="26"/>
      <c r="W244" s="61"/>
      <c r="X244" s="61"/>
      <c r="Y244" s="61"/>
      <c r="Z244" s="61"/>
      <c r="AA244" s="61"/>
      <c r="AB244" s="61"/>
    </row>
    <row r="245" spans="2:28" ht="15" hidden="1">
      <c r="B245" s="9"/>
      <c r="C245" s="9"/>
      <c r="D245" s="9"/>
      <c r="E245" s="9"/>
      <c r="F245" s="9"/>
      <c r="G245" s="9"/>
      <c r="H245" s="9"/>
      <c r="I245" s="26"/>
      <c r="J245" s="26"/>
      <c r="K245" s="26"/>
      <c r="L245" s="26"/>
      <c r="M245" s="207"/>
      <c r="N245" s="26"/>
      <c r="O245" s="26"/>
      <c r="W245" s="61"/>
      <c r="X245" s="61"/>
      <c r="Y245" s="61"/>
      <c r="Z245" s="61"/>
      <c r="AA245" s="61"/>
      <c r="AB245" s="61"/>
    </row>
    <row r="246" spans="2:28" ht="16.5" hidden="1" thickBot="1">
      <c r="B246" s="9"/>
      <c r="C246" s="9"/>
      <c r="D246" s="9"/>
      <c r="E246" s="9"/>
      <c r="F246" s="9"/>
      <c r="G246" s="9"/>
      <c r="H246" s="9"/>
      <c r="I246" s="26"/>
      <c r="J246" s="26"/>
      <c r="K246" s="26"/>
      <c r="L246" s="26"/>
      <c r="M246" s="226"/>
      <c r="N246" s="26"/>
      <c r="O246" s="26"/>
      <c r="W246" s="61"/>
      <c r="X246" s="61"/>
      <c r="Y246" s="61"/>
      <c r="Z246" s="61"/>
      <c r="AA246" s="61"/>
      <c r="AB246" s="61"/>
    </row>
    <row r="247" spans="2:28" ht="15.75" hidden="1" thickTop="1">
      <c r="B247" s="9"/>
      <c r="C247" s="9"/>
      <c r="D247" s="9"/>
      <c r="E247" s="9"/>
      <c r="F247" s="9"/>
      <c r="G247" s="9"/>
      <c r="H247" s="9"/>
      <c r="I247" s="26"/>
      <c r="J247" s="26"/>
      <c r="K247" s="26"/>
      <c r="L247" s="26"/>
      <c r="M247" s="26"/>
      <c r="N247" s="26"/>
      <c r="O247" s="26"/>
      <c r="W247" s="61"/>
      <c r="X247" s="61"/>
      <c r="Y247" s="61"/>
      <c r="Z247" s="61"/>
      <c r="AA247" s="61"/>
      <c r="AB247" s="61"/>
    </row>
    <row r="248" spans="2:28" ht="15" hidden="1">
      <c r="B248" s="9"/>
      <c r="C248" s="9"/>
      <c r="D248" s="9"/>
      <c r="E248" s="9"/>
      <c r="F248" s="9"/>
      <c r="G248" s="9"/>
      <c r="H248" s="9"/>
      <c r="I248" s="26"/>
      <c r="J248" s="26"/>
      <c r="K248" s="26"/>
      <c r="L248" s="26"/>
      <c r="M248" s="26"/>
      <c r="N248" s="26"/>
      <c r="O248" s="26"/>
      <c r="W248" s="61"/>
      <c r="X248" s="61"/>
      <c r="Y248" s="61"/>
      <c r="Z248" s="61"/>
      <c r="AA248" s="61"/>
      <c r="AB248" s="61"/>
    </row>
    <row r="249" spans="2:28" ht="15" hidden="1">
      <c r="B249" s="9"/>
      <c r="C249" s="9"/>
      <c r="D249" s="9"/>
      <c r="E249" s="9"/>
      <c r="F249" s="9"/>
      <c r="G249" s="9"/>
      <c r="H249" s="9"/>
      <c r="I249" s="26"/>
      <c r="J249" s="26"/>
      <c r="K249" s="26"/>
      <c r="L249" s="26"/>
      <c r="M249" s="26"/>
      <c r="N249" s="26"/>
      <c r="O249" s="26"/>
      <c r="W249" s="61"/>
      <c r="X249" s="61"/>
      <c r="Y249" s="61"/>
      <c r="Z249" s="61"/>
      <c r="AA249" s="61"/>
      <c r="AB249" s="61"/>
    </row>
    <row r="250" spans="2:28" ht="15" hidden="1">
      <c r="B250" s="9"/>
      <c r="C250" s="9"/>
      <c r="D250" s="9"/>
      <c r="E250" s="9"/>
      <c r="F250" s="9"/>
      <c r="G250" s="9"/>
      <c r="H250" s="9"/>
      <c r="I250" s="26"/>
      <c r="J250" s="26"/>
      <c r="K250" s="26"/>
      <c r="L250" s="26"/>
      <c r="M250" s="26"/>
      <c r="N250" s="26"/>
      <c r="O250" s="26"/>
      <c r="W250" s="61"/>
      <c r="X250" s="61"/>
      <c r="Y250" s="61"/>
      <c r="Z250" s="61"/>
      <c r="AA250" s="61"/>
      <c r="AB250" s="61"/>
    </row>
    <row r="251" spans="2:28" ht="15" hidden="1">
      <c r="B251" s="9"/>
      <c r="C251" s="9"/>
      <c r="D251" s="9"/>
      <c r="E251" s="9"/>
      <c r="F251" s="9"/>
      <c r="G251" s="9"/>
      <c r="H251" s="9"/>
      <c r="I251" s="26"/>
      <c r="J251" s="26"/>
      <c r="K251" s="26"/>
      <c r="L251" s="26"/>
      <c r="M251" s="26"/>
      <c r="N251" s="26"/>
      <c r="O251" s="26"/>
      <c r="W251" s="61"/>
      <c r="X251" s="61"/>
      <c r="Y251" s="61"/>
      <c r="Z251" s="61"/>
      <c r="AA251" s="61"/>
      <c r="AB251" s="61"/>
    </row>
    <row r="252" spans="2:28" ht="15" hidden="1">
      <c r="B252" s="9"/>
      <c r="C252" s="9"/>
      <c r="D252" s="9"/>
      <c r="E252" s="9"/>
      <c r="F252" s="9"/>
      <c r="G252" s="9"/>
      <c r="H252" s="9"/>
      <c r="I252" s="26"/>
      <c r="J252" s="173"/>
      <c r="K252" s="26"/>
      <c r="L252" s="26"/>
      <c r="M252" s="26"/>
      <c r="N252" s="26"/>
      <c r="O252" s="26"/>
      <c r="W252" s="61"/>
      <c r="X252" s="61"/>
      <c r="Y252" s="61"/>
      <c r="Z252" s="61"/>
      <c r="AA252" s="61"/>
      <c r="AB252" s="61"/>
    </row>
    <row r="253" spans="2:28" ht="15" hidden="1">
      <c r="B253" s="9"/>
      <c r="C253" s="9"/>
      <c r="D253" s="9"/>
      <c r="E253" s="9"/>
      <c r="F253" s="9"/>
      <c r="G253" s="9"/>
      <c r="H253" s="9"/>
      <c r="I253" s="26"/>
      <c r="J253" s="26"/>
      <c r="K253" s="26"/>
      <c r="L253" s="26"/>
      <c r="M253" s="26"/>
      <c r="N253" s="26"/>
      <c r="O253" s="26"/>
      <c r="W253" s="61"/>
      <c r="X253" s="61"/>
      <c r="Y253" s="61"/>
      <c r="Z253" s="61"/>
      <c r="AA253" s="61"/>
      <c r="AB253" s="61"/>
    </row>
    <row r="254" spans="2:28" ht="1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W254" s="61"/>
      <c r="X254" s="61"/>
      <c r="Y254" s="61"/>
      <c r="Z254" s="61"/>
      <c r="AA254" s="61"/>
      <c r="AB254" s="61"/>
    </row>
    <row r="255" spans="23:28" ht="15">
      <c r="W255" s="61"/>
      <c r="X255" s="61"/>
      <c r="Y255" s="61"/>
      <c r="Z255" s="61"/>
      <c r="AA255" s="61"/>
      <c r="AB255" s="61"/>
    </row>
    <row r="256" spans="23:28" ht="15">
      <c r="W256" s="61"/>
      <c r="X256" s="61"/>
      <c r="Y256" s="61"/>
      <c r="Z256" s="61"/>
      <c r="AA256" s="61"/>
      <c r="AB256" s="61"/>
    </row>
    <row r="257" spans="23:28" ht="15">
      <c r="W257" s="61"/>
      <c r="X257" s="61"/>
      <c r="Y257" s="61"/>
      <c r="Z257" s="61"/>
      <c r="AA257" s="61"/>
      <c r="AB257" s="61"/>
    </row>
    <row r="258" spans="23:28" ht="15">
      <c r="W258" s="61"/>
      <c r="X258" s="61"/>
      <c r="Y258" s="61"/>
      <c r="Z258" s="61"/>
      <c r="AA258" s="61"/>
      <c r="AB258" s="61"/>
    </row>
    <row r="259" spans="23:28" ht="15">
      <c r="W259" s="61"/>
      <c r="X259" s="61"/>
      <c r="Y259" s="61"/>
      <c r="Z259" s="61"/>
      <c r="AA259" s="61"/>
      <c r="AB259" s="61"/>
    </row>
  </sheetData>
  <sheetProtection/>
  <mergeCells count="2">
    <mergeCell ref="Q13:V13"/>
    <mergeCell ref="W13:AB13"/>
  </mergeCells>
  <printOptions horizontalCentered="1" verticalCentered="1"/>
  <pageMargins left="0.2" right="0.2" top="0.32" bottom="0.2" header="0.23" footer="0.17"/>
  <pageSetup fitToHeight="9" horizontalDpi="600" verticalDpi="600" orientation="landscape" scale="80" r:id="rId3"/>
  <ignoredErrors>
    <ignoredError sqref="Q63 W63 T6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Cole</dc:creator>
  <cp:keywords/>
  <dc:description/>
  <cp:lastModifiedBy>Bob</cp:lastModifiedBy>
  <cp:lastPrinted>2018-12-17T02:44:23Z</cp:lastPrinted>
  <dcterms:created xsi:type="dcterms:W3CDTF">2001-10-23T19:12:10Z</dcterms:created>
  <dcterms:modified xsi:type="dcterms:W3CDTF">2018-12-17T03:27:12Z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West Waste electronic accounting info</vt:lpwstr>
  </property>
  <property fmtid="{D5CDD505-2E9C-101B-9397-08002B2CF9AE}" pid="5" name="EFiling">
    <vt:lpwstr>12353.0000000000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West Waste &amp; Recycling, Inc.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181036</vt:lpwstr>
  </property>
  <property fmtid="{D5CDD505-2E9C-101B-9397-08002B2CF9AE}" pid="13" name="Dat">
    <vt:lpwstr>2018-12-17T00:00:00Z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2018-12-17T00:00:00Z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