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80" yWindow="348" windowWidth="14520" windowHeight="13176" tabRatio="799" firstSheet="2" activeTab="2"/>
  </bookViews>
  <sheets>
    <sheet name="Comp Depr Rates Sept 07" sheetId="3" state="hidden" r:id="rId1"/>
    <sheet name="Depreciation Recon" sheetId="2" state="hidden" r:id="rId2"/>
    <sheet name="Lead E" sheetId="12" r:id="rId3"/>
    <sheet name="Electric" sheetId="9" r:id="rId4"/>
    <sheet name="Elec Study Rpt" sheetId="38" r:id="rId5"/>
    <sheet name="Col 1&amp;2 $18.5M" sheetId="53" r:id="rId6"/>
    <sheet name="Col 3&amp;4 2027" sheetId="54" r:id="rId7"/>
    <sheet name="Common" sheetId="13" r:id="rId8"/>
    <sheet name="Comm Study Rpt" sheetId="50" r:id="rId9"/>
    <sheet name="DFIT Depr Stdy 8.06E" sheetId="46" r:id="rId10"/>
    <sheet name="403.1 Depr" sheetId="25" r:id="rId11"/>
    <sheet name="Elec Accretion" sheetId="22" r:id="rId12"/>
    <sheet name="Depr Oct15-Sep16 Revised" sheetId="47" r:id="rId13"/>
    <sheet name="CC300" sheetId="51" r:id="rId14"/>
    <sheet name="RB&amp;ISbyFERC" sheetId="52" r:id="rId15"/>
  </sheets>
  <externalReferences>
    <externalReference r:id="rId16"/>
    <externalReference r:id="rId17"/>
  </externalReferences>
  <definedNames>
    <definedName name="_xlnm._FilterDatabase" localSheetId="12" hidden="1">'Depr Oct15-Sep16 Revised'!$A$1:$Y$31</definedName>
    <definedName name="_xlnm._FilterDatabase" localSheetId="4" hidden="1">'Elec Study Rpt'!$A$12:$AC$464</definedName>
    <definedName name="_xlnm._FilterDatabase" localSheetId="3" hidden="1">Electric!$A$3:$O$480</definedName>
    <definedName name="_xlnm.Print_Area" localSheetId="7">Common!$A$1:$O$95</definedName>
    <definedName name="_xlnm.Print_Area" localSheetId="3">Electric!$A$4:$J$532</definedName>
    <definedName name="_xlnm.Print_Titles" localSheetId="0">'Comp Depr Rates Sept 07'!$2:$4</definedName>
    <definedName name="_xlnm.Print_Titles" localSheetId="4">'Elec Study Rpt'!$1:$12</definedName>
    <definedName name="_xlnm.Print_Titles" localSheetId="3">Electric!$1:$3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27" i="22" l="1"/>
  <c r="D27" i="22"/>
  <c r="F4" i="13"/>
  <c r="E4" i="13"/>
  <c r="AH33" i="47"/>
  <c r="AG33" i="47"/>
  <c r="AF33" i="47"/>
  <c r="AE33" i="47"/>
  <c r="AD33" i="47"/>
  <c r="AC33" i="47"/>
  <c r="I29" i="25"/>
  <c r="Q428" i="38"/>
  <c r="G78" i="9" l="1"/>
  <c r="G77" i="9"/>
  <c r="G75" i="9"/>
  <c r="G74" i="9"/>
  <c r="G61" i="9"/>
  <c r="G59" i="9"/>
  <c r="G58" i="9"/>
  <c r="G44" i="9"/>
  <c r="G43" i="9"/>
  <c r="G30" i="9"/>
  <c r="G28" i="9"/>
  <c r="G27" i="9"/>
  <c r="G15" i="9"/>
  <c r="G13" i="9"/>
  <c r="G12" i="9"/>
  <c r="I76" i="9"/>
  <c r="I73" i="9"/>
  <c r="I72" i="9"/>
  <c r="I60" i="9"/>
  <c r="I57" i="9"/>
  <c r="I56" i="9"/>
  <c r="I45" i="9"/>
  <c r="I42" i="9"/>
  <c r="I41" i="9"/>
  <c r="I29" i="9"/>
  <c r="I26" i="9"/>
  <c r="I25" i="9"/>
  <c r="I14" i="9"/>
  <c r="I11" i="9"/>
  <c r="I10" i="9"/>
  <c r="Q74" i="38"/>
  <c r="Q56" i="38"/>
  <c r="Q39" i="38"/>
  <c r="Q88" i="38"/>
  <c r="Q58" i="38"/>
  <c r="Q41" i="38"/>
  <c r="U92" i="38"/>
  <c r="Q92" i="38" s="1"/>
  <c r="U91" i="38"/>
  <c r="Q91" i="38" s="1"/>
  <c r="U89" i="38"/>
  <c r="Q89" i="38" s="1"/>
  <c r="U88" i="38"/>
  <c r="U75" i="38"/>
  <c r="Q75" i="38" s="1"/>
  <c r="U73" i="38"/>
  <c r="Q73" i="38" s="1"/>
  <c r="U72" i="38"/>
  <c r="Q72" i="38" s="1"/>
  <c r="U58" i="38"/>
  <c r="U57" i="38"/>
  <c r="Q57" i="38" s="1"/>
  <c r="U44" i="38"/>
  <c r="Q44" i="38" s="1"/>
  <c r="U42" i="38"/>
  <c r="Q42" i="38" s="1"/>
  <c r="U41" i="38"/>
  <c r="U29" i="38"/>
  <c r="Q29" i="38" s="1"/>
  <c r="U27" i="38"/>
  <c r="Q27" i="38" s="1"/>
  <c r="U26" i="38"/>
  <c r="Q26" i="38" s="1"/>
  <c r="Q25" i="38"/>
  <c r="H25" i="53"/>
  <c r="H24" i="53"/>
  <c r="H23" i="53"/>
  <c r="H22" i="53"/>
  <c r="H21" i="53"/>
  <c r="H16" i="53"/>
  <c r="H15" i="53"/>
  <c r="H17" i="53" s="1"/>
  <c r="H14" i="53"/>
  <c r="H13" i="53"/>
  <c r="H12" i="53"/>
  <c r="H7" i="53"/>
  <c r="H6" i="53"/>
  <c r="H5" i="53"/>
  <c r="H4" i="53"/>
  <c r="H3" i="53"/>
  <c r="F25" i="53"/>
  <c r="F24" i="53"/>
  <c r="F23" i="53"/>
  <c r="F22" i="53"/>
  <c r="F21" i="53"/>
  <c r="F16" i="53"/>
  <c r="F15" i="53"/>
  <c r="F14" i="53"/>
  <c r="F13" i="53"/>
  <c r="F12" i="53"/>
  <c r="F7" i="53"/>
  <c r="F6" i="53"/>
  <c r="F5" i="53"/>
  <c r="F4" i="53"/>
  <c r="F3" i="53"/>
  <c r="G25" i="53"/>
  <c r="K25" i="53" s="1"/>
  <c r="L25" i="53" s="1"/>
  <c r="G24" i="53"/>
  <c r="K24" i="53" s="1"/>
  <c r="L24" i="53" s="1"/>
  <c r="G23" i="53"/>
  <c r="G22" i="53"/>
  <c r="G21" i="53"/>
  <c r="K21" i="53" s="1"/>
  <c r="Q28" i="38" s="1"/>
  <c r="G16" i="53"/>
  <c r="G15" i="53"/>
  <c r="K15" i="53" s="1"/>
  <c r="L15" i="53" s="1"/>
  <c r="G14" i="53"/>
  <c r="G13" i="53"/>
  <c r="K13" i="53" s="1"/>
  <c r="G12" i="53"/>
  <c r="K12" i="53" s="1"/>
  <c r="G7" i="53"/>
  <c r="K7" i="53" s="1"/>
  <c r="L7" i="53" s="1"/>
  <c r="G6" i="53"/>
  <c r="K6" i="53" s="1"/>
  <c r="L6" i="53" s="1"/>
  <c r="G5" i="53"/>
  <c r="K5" i="53" s="1"/>
  <c r="L5" i="53" s="1"/>
  <c r="G4" i="53"/>
  <c r="K4" i="53" s="1"/>
  <c r="L4" i="53" s="1"/>
  <c r="G3" i="53"/>
  <c r="K3" i="53" s="1"/>
  <c r="Q24" i="38" s="1"/>
  <c r="J24" i="53"/>
  <c r="K23" i="53"/>
  <c r="L23" i="53" s="1"/>
  <c r="K22" i="53"/>
  <c r="L22" i="53" s="1"/>
  <c r="D20" i="53"/>
  <c r="J16" i="53"/>
  <c r="K16" i="53"/>
  <c r="L16" i="53" s="1"/>
  <c r="K14" i="53"/>
  <c r="L14" i="53" s="1"/>
  <c r="D11" i="53"/>
  <c r="J6" i="53"/>
  <c r="J4" i="53"/>
  <c r="D2" i="53"/>
  <c r="L13" i="53" l="1"/>
  <c r="Q40" i="38"/>
  <c r="Q59" i="38"/>
  <c r="Q86" i="38"/>
  <c r="Q43" i="38"/>
  <c r="Q70" i="38"/>
  <c r="Q87" i="38"/>
  <c r="Q55" i="38"/>
  <c r="Q71" i="38"/>
  <c r="Q90" i="38"/>
  <c r="H26" i="53"/>
  <c r="J13" i="53"/>
  <c r="H8" i="53"/>
  <c r="J23" i="53"/>
  <c r="J14" i="53"/>
  <c r="J22" i="53"/>
  <c r="J7" i="53"/>
  <c r="J3" i="53"/>
  <c r="L12" i="53"/>
  <c r="K17" i="53"/>
  <c r="H30" i="53"/>
  <c r="K26" i="53"/>
  <c r="L21" i="53"/>
  <c r="K8" i="53"/>
  <c r="G8" i="53"/>
  <c r="J12" i="53"/>
  <c r="L3" i="53"/>
  <c r="J5" i="53"/>
  <c r="J15" i="53"/>
  <c r="J21" i="53"/>
  <c r="J25" i="53"/>
  <c r="G26" i="53"/>
  <c r="G17" i="53"/>
  <c r="J26" i="53" l="1"/>
  <c r="J17" i="53"/>
  <c r="J8" i="53"/>
  <c r="J30" i="53" s="1"/>
  <c r="K30" i="53"/>
  <c r="G30" i="53"/>
  <c r="L26" i="53"/>
  <c r="L8" i="53"/>
  <c r="L17" i="53"/>
  <c r="L30" i="53" l="1"/>
  <c r="L35" i="53" l="1"/>
  <c r="M24" i="53"/>
  <c r="M6" i="53"/>
  <c r="M22" i="53"/>
  <c r="M4" i="53"/>
  <c r="M25" i="53"/>
  <c r="M15" i="53"/>
  <c r="M13" i="53"/>
  <c r="M23" i="53"/>
  <c r="M5" i="53"/>
  <c r="M14" i="53"/>
  <c r="M16" i="53"/>
  <c r="M7" i="53"/>
  <c r="M3" i="53"/>
  <c r="M21" i="53"/>
  <c r="M12" i="53"/>
  <c r="F527" i="52" l="1"/>
  <c r="C448" i="52"/>
  <c r="B447" i="52"/>
  <c r="B446" i="52"/>
  <c r="B445" i="52"/>
  <c r="B444" i="52"/>
  <c r="B443" i="52"/>
  <c r="B442" i="52"/>
  <c r="B441" i="52"/>
  <c r="B429" i="52"/>
  <c r="B423" i="52"/>
  <c r="B421" i="52"/>
  <c r="B415" i="52"/>
  <c r="B409" i="52"/>
  <c r="B403" i="52"/>
  <c r="B398" i="52"/>
  <c r="C395" i="52"/>
  <c r="B393" i="52"/>
  <c r="B387" i="52"/>
  <c r="B381" i="52"/>
  <c r="B374" i="52"/>
  <c r="B373" i="52"/>
  <c r="B372" i="52"/>
  <c r="B371" i="52"/>
  <c r="B369" i="52"/>
  <c r="B368" i="52"/>
  <c r="B366" i="52"/>
  <c r="B364" i="52"/>
  <c r="B363" i="52"/>
  <c r="B362" i="52"/>
  <c r="B361" i="52"/>
  <c r="B360" i="52"/>
  <c r="B353" i="52"/>
  <c r="B352" i="52"/>
  <c r="B351" i="52"/>
  <c r="B348" i="52"/>
  <c r="B347" i="52"/>
  <c r="B346" i="52"/>
  <c r="B345" i="52"/>
  <c r="B341" i="52"/>
  <c r="B340" i="52"/>
  <c r="B339" i="52"/>
  <c r="B338" i="52"/>
  <c r="B335" i="52"/>
  <c r="B334" i="52"/>
  <c r="B333" i="52"/>
  <c r="B332" i="52"/>
  <c r="B330" i="52"/>
  <c r="B329" i="52"/>
  <c r="B328" i="52"/>
  <c r="B318" i="52"/>
  <c r="B317" i="52"/>
  <c r="B314" i="52"/>
  <c r="B313" i="52"/>
  <c r="B312" i="52"/>
  <c r="B309" i="52"/>
  <c r="B308" i="52"/>
  <c r="B307" i="52"/>
  <c r="B306" i="52"/>
  <c r="B304" i="52"/>
  <c r="B303" i="52"/>
  <c r="B302" i="52"/>
  <c r="B301" i="52"/>
  <c r="B293" i="52"/>
  <c r="B286" i="52"/>
  <c r="B273" i="52"/>
  <c r="B266" i="52"/>
  <c r="B253" i="52"/>
  <c r="B246" i="52"/>
  <c r="B231" i="52"/>
  <c r="B221" i="52"/>
  <c r="B214" i="52"/>
  <c r="B204" i="52"/>
  <c r="B189" i="52"/>
  <c r="B182" i="52"/>
  <c r="C167" i="52"/>
  <c r="B167" i="52"/>
  <c r="B166" i="52"/>
  <c r="C157" i="52"/>
  <c r="B151" i="52"/>
  <c r="B142" i="52"/>
  <c r="B132" i="52"/>
  <c r="C128" i="52"/>
  <c r="B122" i="52"/>
  <c r="B111" i="52"/>
  <c r="B100" i="52"/>
  <c r="C96" i="52"/>
  <c r="C89" i="52"/>
  <c r="B89" i="52"/>
  <c r="B88" i="52"/>
  <c r="B67" i="52"/>
  <c r="B51" i="52"/>
  <c r="B36" i="52"/>
  <c r="B20" i="52"/>
  <c r="C5" i="52"/>
  <c r="B5" i="52"/>
  <c r="D20" i="52" l="1"/>
  <c r="B21" i="52"/>
  <c r="D36" i="52"/>
  <c r="B37" i="52"/>
  <c r="B52" i="52"/>
  <c r="D51" i="52"/>
  <c r="B68" i="52"/>
  <c r="D68" i="52" s="1"/>
  <c r="D67" i="52"/>
  <c r="D88" i="52"/>
  <c r="D100" i="52"/>
  <c r="D132" i="52"/>
  <c r="B133" i="52"/>
  <c r="D133" i="52" s="1"/>
  <c r="B152" i="52"/>
  <c r="D152" i="52" s="1"/>
  <c r="D151" i="52"/>
  <c r="D166" i="52"/>
  <c r="D167" i="52"/>
  <c r="B168" i="52"/>
  <c r="D168" i="52" s="1"/>
  <c r="B183" i="52"/>
  <c r="D183" i="52" s="1"/>
  <c r="D182" i="52"/>
  <c r="D189" i="52"/>
  <c r="B190" i="52"/>
  <c r="D190" i="52" s="1"/>
  <c r="D204" i="52"/>
  <c r="D214" i="52"/>
  <c r="B222" i="52"/>
  <c r="D221" i="52"/>
  <c r="B232" i="52"/>
  <c r="D232" i="52" s="1"/>
  <c r="D231" i="52"/>
  <c r="B254" i="52"/>
  <c r="D253" i="52"/>
  <c r="D266" i="52"/>
  <c r="B274" i="52"/>
  <c r="D273" i="52"/>
  <c r="D293" i="52"/>
  <c r="B294" i="52"/>
  <c r="D294" i="52" s="1"/>
  <c r="D301" i="52"/>
  <c r="D302" i="52"/>
  <c r="D303" i="52"/>
  <c r="D304" i="52"/>
  <c r="D306" i="52"/>
  <c r="D307" i="52"/>
  <c r="D308" i="52"/>
  <c r="B310" i="52"/>
  <c r="B311" i="52" s="1"/>
  <c r="D311" i="52" s="1"/>
  <c r="D312" i="52"/>
  <c r="D313" i="52"/>
  <c r="D317" i="52"/>
  <c r="D328" i="52"/>
  <c r="D329" i="52"/>
  <c r="D332" i="52"/>
  <c r="D333" i="52"/>
  <c r="D334" i="52"/>
  <c r="B336" i="52"/>
  <c r="B337" i="52" s="1"/>
  <c r="D337" i="52" s="1"/>
  <c r="D338" i="52"/>
  <c r="D339" i="52"/>
  <c r="D340" i="52"/>
  <c r="D341" i="52"/>
  <c r="B342" i="52"/>
  <c r="D345" i="52"/>
  <c r="D346" i="52"/>
  <c r="D347" i="52"/>
  <c r="D348" i="52"/>
  <c r="B349" i="52"/>
  <c r="D349" i="52" s="1"/>
  <c r="D351" i="52"/>
  <c r="D352" i="52"/>
  <c r="D353" i="52"/>
  <c r="D360" i="52"/>
  <c r="D361" i="52"/>
  <c r="D362" i="52"/>
  <c r="D363" i="52"/>
  <c r="D366" i="52"/>
  <c r="D368" i="52"/>
  <c r="B370" i="52"/>
  <c r="D370" i="52" s="1"/>
  <c r="D369" i="52"/>
  <c r="D371" i="52"/>
  <c r="D372" i="52"/>
  <c r="D373" i="52"/>
  <c r="D374" i="52"/>
  <c r="B375" i="52"/>
  <c r="D375" i="52" s="1"/>
  <c r="D381" i="52"/>
  <c r="D387" i="52"/>
  <c r="D398" i="52"/>
  <c r="B399" i="52"/>
  <c r="B410" i="52"/>
  <c r="D409" i="52"/>
  <c r="B416" i="52"/>
  <c r="D416" i="52" s="1"/>
  <c r="D421" i="52"/>
  <c r="B422" i="52"/>
  <c r="D422" i="52" s="1"/>
  <c r="D423" i="52"/>
  <c r="B424" i="52"/>
  <c r="D424" i="52" s="1"/>
  <c r="D441" i="52"/>
  <c r="D442" i="52"/>
  <c r="D443" i="52"/>
  <c r="D444" i="52"/>
  <c r="D445" i="52"/>
  <c r="D446" i="52"/>
  <c r="D447" i="52"/>
  <c r="B448" i="52"/>
  <c r="G537" i="52"/>
  <c r="H537" i="52" s="1"/>
  <c r="B350" i="52" l="1"/>
  <c r="D350" i="52" s="1"/>
  <c r="B184" i="52"/>
  <c r="D184" i="52" s="1"/>
  <c r="B69" i="52"/>
  <c r="B70" i="52" s="1"/>
  <c r="D336" i="52"/>
  <c r="B153" i="52"/>
  <c r="D153" i="52" s="1"/>
  <c r="B233" i="52"/>
  <c r="B234" i="52" s="1"/>
  <c r="D222" i="52"/>
  <c r="B223" i="52"/>
  <c r="D223" i="52" s="1"/>
  <c r="D254" i="52"/>
  <c r="B255" i="52"/>
  <c r="D274" i="52"/>
  <c r="B275" i="52"/>
  <c r="D310" i="52"/>
  <c r="B169" i="52"/>
  <c r="B388" i="52"/>
  <c r="D388" i="52" s="1"/>
  <c r="B367" i="52"/>
  <c r="D367" i="52" s="1"/>
  <c r="D309" i="52"/>
  <c r="B305" i="52"/>
  <c r="D305" i="52" s="1"/>
  <c r="B295" i="52"/>
  <c r="B267" i="52"/>
  <c r="B101" i="52"/>
  <c r="B102" i="52" s="1"/>
  <c r="B417" i="52"/>
  <c r="D417" i="52" s="1"/>
  <c r="D415" i="52"/>
  <c r="B354" i="52"/>
  <c r="D354" i="52" s="1"/>
  <c r="D335" i="52"/>
  <c r="B191" i="52"/>
  <c r="D191" i="52" s="1"/>
  <c r="B134" i="52"/>
  <c r="D134" i="52" s="1"/>
  <c r="D403" i="52"/>
  <c r="B404" i="52"/>
  <c r="D330" i="52"/>
  <c r="B331" i="52"/>
  <c r="D331" i="52" s="1"/>
  <c r="D318" i="52"/>
  <c r="B319" i="52"/>
  <c r="D448" i="52"/>
  <c r="B449" i="52"/>
  <c r="D429" i="52"/>
  <c r="B430" i="52"/>
  <c r="B425" i="52"/>
  <c r="D410" i="52"/>
  <c r="B411" i="52"/>
  <c r="D399" i="52"/>
  <c r="B400" i="52"/>
  <c r="D393" i="52"/>
  <c r="B394" i="52"/>
  <c r="D364" i="52"/>
  <c r="B365" i="52"/>
  <c r="D365" i="52" s="1"/>
  <c r="D342" i="52"/>
  <c r="B343" i="52"/>
  <c r="D286" i="52"/>
  <c r="B287" i="52"/>
  <c r="D246" i="52"/>
  <c r="B247" i="52"/>
  <c r="D314" i="52"/>
  <c r="B315" i="52"/>
  <c r="D142" i="52"/>
  <c r="B143" i="52"/>
  <c r="B382" i="52"/>
  <c r="B376" i="52"/>
  <c r="D89" i="52"/>
  <c r="B90" i="52"/>
  <c r="B215" i="52"/>
  <c r="B205" i="52"/>
  <c r="D52" i="52"/>
  <c r="B53" i="52"/>
  <c r="D21" i="52"/>
  <c r="B22" i="52"/>
  <c r="B112" i="52"/>
  <c r="D111" i="52"/>
  <c r="D122" i="52"/>
  <c r="B123" i="52"/>
  <c r="D37" i="52"/>
  <c r="B38" i="52"/>
  <c r="D5" i="52"/>
  <c r="B6" i="52"/>
  <c r="F393" i="9"/>
  <c r="B135" i="52" l="1"/>
  <c r="B136" i="52" s="1"/>
  <c r="D69" i="52"/>
  <c r="B355" i="52"/>
  <c r="D355" i="52" s="1"/>
  <c r="B192" i="52"/>
  <c r="D192" i="52" s="1"/>
  <c r="D101" i="52"/>
  <c r="B185" i="52"/>
  <c r="B186" i="52" s="1"/>
  <c r="B224" i="52"/>
  <c r="D224" i="52" s="1"/>
  <c r="B154" i="52"/>
  <c r="B155" i="52" s="1"/>
  <c r="B389" i="52"/>
  <c r="D389" i="52" s="1"/>
  <c r="D233" i="52"/>
  <c r="D234" i="52"/>
  <c r="B235" i="52"/>
  <c r="D169" i="52"/>
  <c r="B170" i="52"/>
  <c r="B256" i="52"/>
  <c r="D255" i="52"/>
  <c r="B418" i="52"/>
  <c r="B419" i="52" s="1"/>
  <c r="B268" i="52"/>
  <c r="D267" i="52"/>
  <c r="D295" i="52"/>
  <c r="B296" i="52"/>
  <c r="B276" i="52"/>
  <c r="D275" i="52"/>
  <c r="D6" i="52"/>
  <c r="B7" i="52"/>
  <c r="B216" i="52"/>
  <c r="D215" i="52"/>
  <c r="D90" i="52"/>
  <c r="B91" i="52"/>
  <c r="B144" i="52"/>
  <c r="D143" i="52"/>
  <c r="D315" i="52"/>
  <c r="B316" i="52"/>
  <c r="D316" i="52" s="1"/>
  <c r="B288" i="52"/>
  <c r="D287" i="52"/>
  <c r="D394" i="52"/>
  <c r="B395" i="52"/>
  <c r="D112" i="52"/>
  <c r="B113" i="52"/>
  <c r="B356" i="52"/>
  <c r="B248" i="52"/>
  <c r="D247" i="52"/>
  <c r="D343" i="52"/>
  <c r="B344" i="52"/>
  <c r="D344" i="52" s="1"/>
  <c r="D400" i="52"/>
  <c r="B401" i="52"/>
  <c r="D449" i="52"/>
  <c r="B450" i="52"/>
  <c r="D22" i="52"/>
  <c r="B23" i="52"/>
  <c r="B206" i="52"/>
  <c r="D205" i="52"/>
  <c r="B383" i="52"/>
  <c r="D382" i="52"/>
  <c r="D425" i="52"/>
  <c r="B426" i="52"/>
  <c r="B412" i="52"/>
  <c r="D411" i="52"/>
  <c r="D70" i="52"/>
  <c r="B71" i="52"/>
  <c r="B431" i="52"/>
  <c r="D430" i="52"/>
  <c r="D319" i="52"/>
  <c r="B320" i="52"/>
  <c r="B405" i="52"/>
  <c r="D404" i="52"/>
  <c r="D53" i="52"/>
  <c r="B54" i="52"/>
  <c r="B124" i="52"/>
  <c r="D123" i="52"/>
  <c r="D102" i="52"/>
  <c r="B103" i="52"/>
  <c r="D38" i="52"/>
  <c r="B39" i="52"/>
  <c r="B377" i="52"/>
  <c r="D376" i="52"/>
  <c r="B193" i="52" l="1"/>
  <c r="D154" i="52"/>
  <c r="B390" i="52"/>
  <c r="D390" i="52" s="1"/>
  <c r="D418" i="52"/>
  <c r="D135" i="52"/>
  <c r="B225" i="52"/>
  <c r="B226" i="52" s="1"/>
  <c r="D185" i="52"/>
  <c r="B236" i="52"/>
  <c r="D235" i="52"/>
  <c r="D276" i="52"/>
  <c r="B277" i="52"/>
  <c r="B187" i="52"/>
  <c r="D186" i="52"/>
  <c r="D296" i="52"/>
  <c r="B297" i="52"/>
  <c r="D256" i="52"/>
  <c r="B257" i="52"/>
  <c r="D268" i="52"/>
  <c r="B269" i="52"/>
  <c r="B171" i="52"/>
  <c r="D170" i="52"/>
  <c r="D124" i="52"/>
  <c r="B125" i="52"/>
  <c r="D419" i="52"/>
  <c r="B420" i="52"/>
  <c r="D420" i="52" s="1"/>
  <c r="B104" i="52"/>
  <c r="D103" i="52"/>
  <c r="B427" i="52"/>
  <c r="D426" i="52"/>
  <c r="D401" i="52"/>
  <c r="B402" i="52"/>
  <c r="D402" i="52" s="1"/>
  <c r="B40" i="52"/>
  <c r="D39" i="52"/>
  <c r="B194" i="52"/>
  <c r="D193" i="52"/>
  <c r="D405" i="52"/>
  <c r="B406" i="52"/>
  <c r="D431" i="52"/>
  <c r="B432" i="52"/>
  <c r="D412" i="52"/>
  <c r="B413" i="52"/>
  <c r="D248" i="52"/>
  <c r="B249" i="52"/>
  <c r="D54" i="52"/>
  <c r="B55" i="52"/>
  <c r="B321" i="52"/>
  <c r="D320" i="52"/>
  <c r="B72" i="52"/>
  <c r="D71" i="52"/>
  <c r="B24" i="52"/>
  <c r="D23" i="52"/>
  <c r="D450" i="52"/>
  <c r="B451" i="52"/>
  <c r="D356" i="52"/>
  <c r="B357" i="52"/>
  <c r="D377" i="52"/>
  <c r="B378" i="52"/>
  <c r="D155" i="52"/>
  <c r="B156" i="52"/>
  <c r="D383" i="52"/>
  <c r="B384" i="52"/>
  <c r="D206" i="52"/>
  <c r="B207" i="52"/>
  <c r="B137" i="52"/>
  <c r="D136" i="52"/>
  <c r="D288" i="52"/>
  <c r="B289" i="52"/>
  <c r="B145" i="52"/>
  <c r="D144" i="52"/>
  <c r="D216" i="52"/>
  <c r="B217" i="52"/>
  <c r="B391" i="52"/>
  <c r="D113" i="52"/>
  <c r="B114" i="52"/>
  <c r="B396" i="52"/>
  <c r="D395" i="52"/>
  <c r="B92" i="52"/>
  <c r="D91" i="52"/>
  <c r="B8" i="52"/>
  <c r="D7" i="52"/>
  <c r="D77" i="13"/>
  <c r="D485" i="9"/>
  <c r="D225" i="52" l="1"/>
  <c r="D236" i="52"/>
  <c r="B237" i="52"/>
  <c r="B270" i="52"/>
  <c r="D269" i="52"/>
  <c r="B258" i="52"/>
  <c r="D257" i="52"/>
  <c r="B188" i="52"/>
  <c r="D188" i="52" s="1"/>
  <c r="D187" i="52"/>
  <c r="D297" i="52"/>
  <c r="B298" i="52"/>
  <c r="B278" i="52"/>
  <c r="D277" i="52"/>
  <c r="B172" i="52"/>
  <c r="D171" i="52"/>
  <c r="B414" i="52"/>
  <c r="D414" i="52" s="1"/>
  <c r="D413" i="52"/>
  <c r="B407" i="52"/>
  <c r="D406" i="52"/>
  <c r="D226" i="52"/>
  <c r="B227" i="52"/>
  <c r="B218" i="52"/>
  <c r="D217" i="52"/>
  <c r="B208" i="52"/>
  <c r="D207" i="52"/>
  <c r="D156" i="52"/>
  <c r="B157" i="52"/>
  <c r="D114" i="52"/>
  <c r="B115" i="52"/>
  <c r="D24" i="52"/>
  <c r="B25" i="52"/>
  <c r="D321" i="52"/>
  <c r="B322" i="52"/>
  <c r="D194" i="52"/>
  <c r="B195" i="52"/>
  <c r="D104" i="52"/>
  <c r="B105" i="52"/>
  <c r="B379" i="52"/>
  <c r="D378" i="52"/>
  <c r="B56" i="52"/>
  <c r="D55" i="52"/>
  <c r="D125" i="52"/>
  <c r="B126" i="52"/>
  <c r="D391" i="52"/>
  <c r="B392" i="52"/>
  <c r="D392" i="52" s="1"/>
  <c r="D145" i="52"/>
  <c r="B146" i="52"/>
  <c r="D137" i="52"/>
  <c r="B138" i="52"/>
  <c r="D72" i="52"/>
  <c r="B73" i="52"/>
  <c r="D40" i="52"/>
  <c r="B41" i="52"/>
  <c r="D427" i="52"/>
  <c r="B428" i="52"/>
  <c r="D428" i="52" s="1"/>
  <c r="D92" i="52"/>
  <c r="B93" i="52"/>
  <c r="B385" i="52"/>
  <c r="D384" i="52"/>
  <c r="D8" i="52"/>
  <c r="B9" i="52"/>
  <c r="D396" i="52"/>
  <c r="B397" i="52"/>
  <c r="D397" i="52" s="1"/>
  <c r="B290" i="52"/>
  <c r="D289" i="52"/>
  <c r="D357" i="52"/>
  <c r="B358" i="52"/>
  <c r="B250" i="52"/>
  <c r="D249" i="52"/>
  <c r="D432" i="52"/>
  <c r="B433" i="52"/>
  <c r="D237" i="52" l="1"/>
  <c r="B238" i="52"/>
  <c r="D278" i="52"/>
  <c r="B279" i="52"/>
  <c r="D258" i="52"/>
  <c r="B259" i="52"/>
  <c r="B299" i="52"/>
  <c r="D298" i="52"/>
  <c r="D172" i="52"/>
  <c r="B173" i="52"/>
  <c r="B271" i="52"/>
  <c r="D270" i="52"/>
  <c r="B251" i="52"/>
  <c r="D250" i="52"/>
  <c r="B291" i="52"/>
  <c r="D290" i="52"/>
  <c r="D385" i="52"/>
  <c r="B386" i="52"/>
  <c r="D386" i="52" s="1"/>
  <c r="B116" i="52"/>
  <c r="D115" i="52"/>
  <c r="D433" i="52"/>
  <c r="B434" i="52"/>
  <c r="D358" i="52"/>
  <c r="B359" i="52"/>
  <c r="D359" i="52" s="1"/>
  <c r="D41" i="52"/>
  <c r="B42" i="52"/>
  <c r="D105" i="52"/>
  <c r="B106" i="52"/>
  <c r="D322" i="52"/>
  <c r="B323" i="52"/>
  <c r="D208" i="52"/>
  <c r="B209" i="52"/>
  <c r="D407" i="52"/>
  <c r="B408" i="52"/>
  <c r="D408" i="52" s="1"/>
  <c r="D379" i="52"/>
  <c r="B380" i="52"/>
  <c r="D380" i="52" s="1"/>
  <c r="D9" i="52"/>
  <c r="B10" i="52"/>
  <c r="D93" i="52"/>
  <c r="B94" i="52"/>
  <c r="D138" i="52"/>
  <c r="B139" i="52"/>
  <c r="D56" i="52"/>
  <c r="B57" i="52"/>
  <c r="D157" i="52"/>
  <c r="B158" i="52"/>
  <c r="B228" i="52"/>
  <c r="D227" i="52"/>
  <c r="D73" i="52"/>
  <c r="B74" i="52"/>
  <c r="D146" i="52"/>
  <c r="B147" i="52"/>
  <c r="D126" i="52"/>
  <c r="B127" i="52"/>
  <c r="D195" i="52"/>
  <c r="B196" i="52"/>
  <c r="D25" i="52"/>
  <c r="B26" i="52"/>
  <c r="B219" i="52"/>
  <c r="D218" i="52"/>
  <c r="U19" i="47"/>
  <c r="D238" i="52" l="1"/>
  <c r="B239" i="52"/>
  <c r="B272" i="52"/>
  <c r="D272" i="52" s="1"/>
  <c r="D271" i="52"/>
  <c r="D299" i="52"/>
  <c r="B300" i="52"/>
  <c r="D300" i="52" s="1"/>
  <c r="D173" i="52"/>
  <c r="B174" i="52"/>
  <c r="B260" i="52"/>
  <c r="D259" i="52"/>
  <c r="B280" i="52"/>
  <c r="D279" i="52"/>
  <c r="B229" i="52"/>
  <c r="D228" i="52"/>
  <c r="D57" i="52"/>
  <c r="B58" i="52"/>
  <c r="D106" i="52"/>
  <c r="B107" i="52"/>
  <c r="D26" i="52"/>
  <c r="B27" i="52"/>
  <c r="B128" i="52"/>
  <c r="D127" i="52"/>
  <c r="D74" i="52"/>
  <c r="B75" i="52"/>
  <c r="D158" i="52"/>
  <c r="B159" i="52"/>
  <c r="B140" i="52"/>
  <c r="D139" i="52"/>
  <c r="D116" i="52"/>
  <c r="B117" i="52"/>
  <c r="B292" i="52"/>
  <c r="D292" i="52" s="1"/>
  <c r="D291" i="52"/>
  <c r="D10" i="52"/>
  <c r="B11" i="52"/>
  <c r="B210" i="52"/>
  <c r="D209" i="52"/>
  <c r="D323" i="52"/>
  <c r="B324" i="52"/>
  <c r="D42" i="52"/>
  <c r="B43" i="52"/>
  <c r="D434" i="52"/>
  <c r="B435" i="52"/>
  <c r="B220" i="52"/>
  <c r="D220" i="52" s="1"/>
  <c r="D219" i="52"/>
  <c r="B197" i="52"/>
  <c r="D196" i="52"/>
  <c r="B148" i="52"/>
  <c r="D147" i="52"/>
  <c r="D94" i="52"/>
  <c r="B95" i="52"/>
  <c r="B252" i="52"/>
  <c r="D252" i="52" s="1"/>
  <c r="D251" i="52"/>
  <c r="AF16" i="47"/>
  <c r="AG27" i="47"/>
  <c r="AH27" i="47" s="1"/>
  <c r="AF27" i="47"/>
  <c r="D74" i="22" s="1"/>
  <c r="AF26" i="47"/>
  <c r="AF25" i="47"/>
  <c r="D60" i="22" s="1"/>
  <c r="AF24" i="47"/>
  <c r="AF15" i="47"/>
  <c r="D30" i="22" s="1"/>
  <c r="AF14" i="47"/>
  <c r="AF13" i="47"/>
  <c r="AF12" i="47"/>
  <c r="AF11" i="47"/>
  <c r="D29" i="22" s="1"/>
  <c r="AG10" i="47"/>
  <c r="AF9" i="47"/>
  <c r="D12" i="22" s="1"/>
  <c r="AF8" i="47"/>
  <c r="D22" i="22" s="1"/>
  <c r="AF7" i="47"/>
  <c r="D46" i="22" s="1"/>
  <c r="AF6" i="47"/>
  <c r="AF5" i="47"/>
  <c r="D10" i="22" s="1"/>
  <c r="AA29" i="47"/>
  <c r="AA19" i="47"/>
  <c r="AJ26" i="47"/>
  <c r="AJ25" i="47"/>
  <c r="AJ24" i="47"/>
  <c r="AG29" i="47"/>
  <c r="AH26" i="47"/>
  <c r="AH25" i="47"/>
  <c r="AH12" i="47"/>
  <c r="AH16" i="47"/>
  <c r="AH15" i="47"/>
  <c r="AH11" i="47"/>
  <c r="AH10" i="47"/>
  <c r="AH7" i="47"/>
  <c r="B240" i="52" l="1"/>
  <c r="D239" i="52"/>
  <c r="D260" i="52"/>
  <c r="B261" i="52"/>
  <c r="B175" i="52"/>
  <c r="D174" i="52"/>
  <c r="D280" i="52"/>
  <c r="B281" i="52"/>
  <c r="B44" i="52"/>
  <c r="D43" i="52"/>
  <c r="D58" i="52"/>
  <c r="B59" i="52"/>
  <c r="D210" i="52"/>
  <c r="B211" i="52"/>
  <c r="B76" i="52"/>
  <c r="D75" i="52"/>
  <c r="B28" i="52"/>
  <c r="D27" i="52"/>
  <c r="D128" i="52"/>
  <c r="B129" i="52"/>
  <c r="B96" i="52"/>
  <c r="D95" i="52"/>
  <c r="D148" i="52"/>
  <c r="B149" i="52"/>
  <c r="B12" i="52"/>
  <c r="D11" i="52"/>
  <c r="D117" i="52"/>
  <c r="B118" i="52"/>
  <c r="D435" i="52"/>
  <c r="B436" i="52"/>
  <c r="B325" i="52"/>
  <c r="D324" i="52"/>
  <c r="D140" i="52"/>
  <c r="B141" i="52"/>
  <c r="D141" i="52" s="1"/>
  <c r="B198" i="52"/>
  <c r="D197" i="52"/>
  <c r="D159" i="52"/>
  <c r="B160" i="52"/>
  <c r="B108" i="52"/>
  <c r="D107" i="52"/>
  <c r="B230" i="52"/>
  <c r="D230" i="52" s="1"/>
  <c r="D229" i="52"/>
  <c r="D59" i="22"/>
  <c r="AH8" i="47"/>
  <c r="AH6" i="47"/>
  <c r="D11" i="22"/>
  <c r="AH14" i="47"/>
  <c r="D39" i="22"/>
  <c r="D68" i="22"/>
  <c r="AH13" i="47"/>
  <c r="D28" i="22"/>
  <c r="AH9" i="47"/>
  <c r="AA31" i="47"/>
  <c r="AH24" i="47"/>
  <c r="AF29" i="47"/>
  <c r="AG19" i="47"/>
  <c r="AG31" i="47" s="1"/>
  <c r="AF19" i="47"/>
  <c r="AJ16" i="47"/>
  <c r="AJ15" i="47"/>
  <c r="AJ14" i="47"/>
  <c r="AJ13" i="47"/>
  <c r="AJ12" i="47"/>
  <c r="AJ11" i="47"/>
  <c r="AI10" i="47"/>
  <c r="AJ9" i="47"/>
  <c r="AJ8" i="47"/>
  <c r="AJ7" i="47"/>
  <c r="AJ6" i="47"/>
  <c r="AJ5" i="47"/>
  <c r="AH5" i="47"/>
  <c r="D240" i="52" l="1"/>
  <c r="B241" i="52"/>
  <c r="D175" i="52"/>
  <c r="B176" i="52"/>
  <c r="B282" i="52"/>
  <c r="D281" i="52"/>
  <c r="B262" i="52"/>
  <c r="D261" i="52"/>
  <c r="D118" i="52"/>
  <c r="B119" i="52"/>
  <c r="B150" i="52"/>
  <c r="D150" i="52" s="1"/>
  <c r="D149" i="52"/>
  <c r="D129" i="52"/>
  <c r="B130" i="52"/>
  <c r="B60" i="52"/>
  <c r="D59" i="52"/>
  <c r="D325" i="52"/>
  <c r="B326" i="52"/>
  <c r="D76" i="52"/>
  <c r="B77" i="52"/>
  <c r="D108" i="52"/>
  <c r="B109" i="52"/>
  <c r="D436" i="52"/>
  <c r="B437" i="52"/>
  <c r="D211" i="52"/>
  <c r="B212" i="52"/>
  <c r="B161" i="52"/>
  <c r="D160" i="52"/>
  <c r="D198" i="52"/>
  <c r="B199" i="52"/>
  <c r="D12" i="52"/>
  <c r="B13" i="52"/>
  <c r="D96" i="52"/>
  <c r="B97" i="52"/>
  <c r="D28" i="52"/>
  <c r="B29" i="52"/>
  <c r="D44" i="52"/>
  <c r="B45" i="52"/>
  <c r="AH19" i="47"/>
  <c r="AF31" i="47"/>
  <c r="AH29" i="47"/>
  <c r="AH31" i="47" s="1"/>
  <c r="D241" i="52" l="1"/>
  <c r="B242" i="52"/>
  <c r="D262" i="52"/>
  <c r="B263" i="52"/>
  <c r="D282" i="52"/>
  <c r="B283" i="52"/>
  <c r="D176" i="52"/>
  <c r="B177" i="52"/>
  <c r="D161" i="52"/>
  <c r="B162" i="52"/>
  <c r="D29" i="52"/>
  <c r="B30" i="52"/>
  <c r="B200" i="52"/>
  <c r="D199" i="52"/>
  <c r="D212" i="52"/>
  <c r="B213" i="52"/>
  <c r="D213" i="52" s="1"/>
  <c r="D437" i="52"/>
  <c r="B438" i="52"/>
  <c r="D77" i="52"/>
  <c r="B78" i="52"/>
  <c r="D60" i="52"/>
  <c r="B61" i="52"/>
  <c r="D45" i="52"/>
  <c r="B46" i="52"/>
  <c r="D97" i="52"/>
  <c r="B98" i="52"/>
  <c r="D13" i="52"/>
  <c r="B14" i="52"/>
  <c r="B110" i="52"/>
  <c r="D110" i="52" s="1"/>
  <c r="D109" i="52"/>
  <c r="D326" i="52"/>
  <c r="B327" i="52"/>
  <c r="D327" i="52" s="1"/>
  <c r="B131" i="52"/>
  <c r="D131" i="52" s="1"/>
  <c r="D130" i="52"/>
  <c r="B120" i="52"/>
  <c r="D119" i="52"/>
  <c r="G30" i="51"/>
  <c r="E30" i="51"/>
  <c r="D242" i="52" l="1"/>
  <c r="B243" i="52"/>
  <c r="D177" i="52"/>
  <c r="B178" i="52"/>
  <c r="D263" i="52"/>
  <c r="B264" i="52"/>
  <c r="D283" i="52"/>
  <c r="B284" i="52"/>
  <c r="D120" i="52"/>
  <c r="B121" i="52"/>
  <c r="D121" i="52" s="1"/>
  <c r="D98" i="52"/>
  <c r="B99" i="52"/>
  <c r="D99" i="52" s="1"/>
  <c r="D438" i="52"/>
  <c r="B439" i="52"/>
  <c r="B163" i="52"/>
  <c r="D162" i="52"/>
  <c r="D14" i="52"/>
  <c r="B15" i="52"/>
  <c r="D46" i="52"/>
  <c r="B47" i="52"/>
  <c r="D78" i="52"/>
  <c r="B79" i="52"/>
  <c r="D30" i="52"/>
  <c r="B31" i="52"/>
  <c r="D61" i="52"/>
  <c r="B62" i="52"/>
  <c r="D200" i="52"/>
  <c r="B201" i="52"/>
  <c r="C23" i="51"/>
  <c r="G19" i="51"/>
  <c r="F19" i="51"/>
  <c r="E19" i="51"/>
  <c r="C19" i="51"/>
  <c r="I19" i="51" s="1"/>
  <c r="I18" i="51"/>
  <c r="I17" i="51"/>
  <c r="E14" i="51"/>
  <c r="E20" i="51" s="1"/>
  <c r="F12" i="51"/>
  <c r="I12" i="51" s="1"/>
  <c r="G8" i="51"/>
  <c r="I8" i="51" s="1"/>
  <c r="C7" i="51"/>
  <c r="I7" i="51" s="1"/>
  <c r="F5" i="51"/>
  <c r="F14" i="51" s="1"/>
  <c r="F20" i="51" s="1"/>
  <c r="E5" i="51"/>
  <c r="G4" i="51"/>
  <c r="G3" i="51"/>
  <c r="C3" i="51"/>
  <c r="C5" i="51" s="1"/>
  <c r="C14" i="51" s="1"/>
  <c r="C2" i="51"/>
  <c r="B244" i="52" l="1"/>
  <c r="D243" i="52"/>
  <c r="B265" i="52"/>
  <c r="D265" i="52" s="1"/>
  <c r="D264" i="52"/>
  <c r="D284" i="52"/>
  <c r="B285" i="52"/>
  <c r="D285" i="52" s="1"/>
  <c r="D178" i="52"/>
  <c r="B179" i="52"/>
  <c r="D163" i="52"/>
  <c r="B164" i="52"/>
  <c r="D62" i="52"/>
  <c r="B63" i="52"/>
  <c r="B32" i="52"/>
  <c r="D31" i="52"/>
  <c r="B48" i="52"/>
  <c r="D47" i="52"/>
  <c r="B16" i="52"/>
  <c r="D15" i="52"/>
  <c r="D439" i="52"/>
  <c r="B440" i="52"/>
  <c r="D201" i="52"/>
  <c r="B202" i="52"/>
  <c r="B80" i="52"/>
  <c r="D79" i="52"/>
  <c r="C20" i="51"/>
  <c r="I4" i="51"/>
  <c r="G5" i="51"/>
  <c r="G14" i="51" s="1"/>
  <c r="B245" i="52" l="1"/>
  <c r="D245" i="52" s="1"/>
  <c r="D244" i="52"/>
  <c r="D179" i="52"/>
  <c r="B180" i="52"/>
  <c r="D16" i="52"/>
  <c r="B17" i="52"/>
  <c r="D440" i="52"/>
  <c r="B64" i="52"/>
  <c r="D63" i="52"/>
  <c r="D48" i="52"/>
  <c r="B49" i="52"/>
  <c r="D202" i="52"/>
  <c r="B203" i="52"/>
  <c r="D203" i="52" s="1"/>
  <c r="D164" i="52"/>
  <c r="B165" i="52"/>
  <c r="D165" i="52" s="1"/>
  <c r="D80" i="52"/>
  <c r="B81" i="52"/>
  <c r="D32" i="52"/>
  <c r="B33" i="52"/>
  <c r="G20" i="51"/>
  <c r="I20" i="51" s="1"/>
  <c r="I14" i="51"/>
  <c r="B181" i="52" l="1"/>
  <c r="D181" i="52" s="1"/>
  <c r="D180" i="52"/>
  <c r="D64" i="52"/>
  <c r="B65" i="52"/>
  <c r="D17" i="52"/>
  <c r="B18" i="52"/>
  <c r="D33" i="52"/>
  <c r="B34" i="52"/>
  <c r="B50" i="52"/>
  <c r="D50" i="52" s="1"/>
  <c r="D49" i="52"/>
  <c r="B82" i="52"/>
  <c r="D81" i="52"/>
  <c r="G74" i="22"/>
  <c r="D34" i="52" l="1"/>
  <c r="B35" i="52"/>
  <c r="D35" i="52" s="1"/>
  <c r="B66" i="52"/>
  <c r="D66" i="52" s="1"/>
  <c r="D65" i="52"/>
  <c r="D82" i="52"/>
  <c r="B83" i="52"/>
  <c r="D18" i="52"/>
  <c r="B19" i="52"/>
  <c r="D19" i="52" s="1"/>
  <c r="G73" i="25"/>
  <c r="B84" i="52" l="1"/>
  <c r="D83" i="52"/>
  <c r="I38" i="13"/>
  <c r="D84" i="52" l="1"/>
  <c r="B85" i="52"/>
  <c r="K53" i="13"/>
  <c r="K54" i="13"/>
  <c r="K55" i="13"/>
  <c r="K56" i="13"/>
  <c r="K57" i="13"/>
  <c r="K52" i="13"/>
  <c r="B86" i="52" l="1"/>
  <c r="D85" i="52"/>
  <c r="C70" i="13"/>
  <c r="C69" i="13"/>
  <c r="C65" i="13"/>
  <c r="C66" i="13"/>
  <c r="C67" i="13"/>
  <c r="C64" i="13"/>
  <c r="C41" i="13"/>
  <c r="C38" i="13"/>
  <c r="C37" i="13"/>
  <c r="C34" i="13"/>
  <c r="C30" i="13"/>
  <c r="C26" i="13"/>
  <c r="C22" i="13"/>
  <c r="C20" i="13"/>
  <c r="C15" i="13"/>
  <c r="C11" i="13"/>
  <c r="C12" i="13"/>
  <c r="C10" i="13"/>
  <c r="C7" i="13"/>
  <c r="I41" i="13"/>
  <c r="I37" i="13"/>
  <c r="I34" i="13"/>
  <c r="I30" i="13"/>
  <c r="I26" i="13"/>
  <c r="I22" i="13"/>
  <c r="I20" i="13"/>
  <c r="I15" i="13"/>
  <c r="I7" i="13"/>
  <c r="J11" i="13"/>
  <c r="K11" i="13"/>
  <c r="I11" i="13"/>
  <c r="I12" i="13"/>
  <c r="J12" i="13" s="1"/>
  <c r="I10" i="13"/>
  <c r="J10" i="13" s="1"/>
  <c r="V41" i="50"/>
  <c r="V39" i="50"/>
  <c r="V37" i="50"/>
  <c r="V33" i="50"/>
  <c r="V32" i="50"/>
  <c r="V31" i="50"/>
  <c r="V30" i="50"/>
  <c r="V28" i="50"/>
  <c r="V26" i="50"/>
  <c r="V24" i="50"/>
  <c r="V17" i="50"/>
  <c r="V21" i="50"/>
  <c r="V22" i="50"/>
  <c r="V20" i="50"/>
  <c r="H12" i="13"/>
  <c r="H11" i="13"/>
  <c r="H10" i="13"/>
  <c r="M70" i="50"/>
  <c r="K70" i="50"/>
  <c r="M58" i="50"/>
  <c r="M55" i="50"/>
  <c r="Q53" i="50"/>
  <c r="Q52" i="50"/>
  <c r="Q51" i="50"/>
  <c r="Q55" i="50" s="1"/>
  <c r="Q50" i="50"/>
  <c r="Q49" i="50"/>
  <c r="Q48" i="50"/>
  <c r="Q39" i="50"/>
  <c r="O39" i="50"/>
  <c r="U39" i="50" s="1"/>
  <c r="M39" i="50"/>
  <c r="K39" i="50"/>
  <c r="S39" i="50" s="1"/>
  <c r="Q24" i="50"/>
  <c r="Q43" i="50" s="1"/>
  <c r="O24" i="50"/>
  <c r="M24" i="50"/>
  <c r="M43" i="50" s="1"/>
  <c r="M73" i="50" s="1"/>
  <c r="K24" i="50"/>
  <c r="S24" i="50" s="1"/>
  <c r="D86" i="52" l="1"/>
  <c r="B87" i="52"/>
  <c r="K12" i="13"/>
  <c r="O12" i="13" s="1"/>
  <c r="O11" i="13"/>
  <c r="K10" i="13"/>
  <c r="D13" i="13"/>
  <c r="Q58" i="50"/>
  <c r="Q73" i="50"/>
  <c r="O43" i="50"/>
  <c r="O58" i="50" s="1"/>
  <c r="K43" i="50"/>
  <c r="K58" i="50" s="1"/>
  <c r="U24" i="50"/>
  <c r="D87" i="52" l="1"/>
  <c r="K13" i="13"/>
  <c r="O10" i="13"/>
  <c r="O73" i="50"/>
  <c r="K73" i="50"/>
  <c r="S43" i="50"/>
  <c r="M466" i="38" l="1"/>
  <c r="K466" i="38"/>
  <c r="M430" i="38"/>
  <c r="Q427" i="38"/>
  <c r="Q426" i="38"/>
  <c r="Q425" i="38"/>
  <c r="Q424" i="38"/>
  <c r="Q423" i="38"/>
  <c r="Q422" i="38"/>
  <c r="W411" i="38"/>
  <c r="Q410" i="38"/>
  <c r="O410" i="38"/>
  <c r="M410" i="38"/>
  <c r="K410" i="38"/>
  <c r="W409" i="38"/>
  <c r="V408" i="38"/>
  <c r="W408" i="38" s="1"/>
  <c r="V407" i="38"/>
  <c r="W407" i="38" s="1"/>
  <c r="W406" i="38"/>
  <c r="W405" i="38"/>
  <c r="Q404" i="38"/>
  <c r="V404" i="38" s="1"/>
  <c r="W404" i="38" s="1"/>
  <c r="O404" i="38"/>
  <c r="M404" i="38"/>
  <c r="K404" i="38"/>
  <c r="W403" i="38"/>
  <c r="V402" i="38"/>
  <c r="W402" i="38" s="1"/>
  <c r="V401" i="38"/>
  <c r="W401" i="38" s="1"/>
  <c r="W400" i="38"/>
  <c r="W399" i="38"/>
  <c r="V398" i="38"/>
  <c r="W398" i="38" s="1"/>
  <c r="W397" i="38"/>
  <c r="Q396" i="38"/>
  <c r="V396" i="38" s="1"/>
  <c r="W396" i="38" s="1"/>
  <c r="O396" i="38"/>
  <c r="M396" i="38"/>
  <c r="K396" i="38"/>
  <c r="W395" i="38"/>
  <c r="V394" i="38"/>
  <c r="W394" i="38" s="1"/>
  <c r="V393" i="38"/>
  <c r="W393" i="38" s="1"/>
  <c r="W392" i="38"/>
  <c r="W391" i="38"/>
  <c r="Q390" i="38"/>
  <c r="V390" i="38" s="1"/>
  <c r="W390" i="38" s="1"/>
  <c r="O390" i="38"/>
  <c r="M390" i="38"/>
  <c r="K390" i="38"/>
  <c r="W389" i="38"/>
  <c r="V388" i="38"/>
  <c r="W388" i="38" s="1"/>
  <c r="V387" i="38"/>
  <c r="W387" i="38" s="1"/>
  <c r="W386" i="38"/>
  <c r="W385" i="38"/>
  <c r="Q384" i="38"/>
  <c r="O384" i="38"/>
  <c r="M384" i="38"/>
  <c r="K384" i="38"/>
  <c r="W383" i="38"/>
  <c r="V382" i="38"/>
  <c r="W382" i="38" s="1"/>
  <c r="V381" i="38"/>
  <c r="W381" i="38" s="1"/>
  <c r="W380" i="38"/>
  <c r="W379" i="38"/>
  <c r="V378" i="38"/>
  <c r="W378" i="38" s="1"/>
  <c r="W377" i="38"/>
  <c r="V376" i="38"/>
  <c r="W376" i="38" s="1"/>
  <c r="W375" i="38"/>
  <c r="Q374" i="38"/>
  <c r="O374" i="38"/>
  <c r="O412" i="38" s="1"/>
  <c r="M374" i="38"/>
  <c r="K374" i="38"/>
  <c r="W373" i="38"/>
  <c r="V372" i="38"/>
  <c r="W372" i="38" s="1"/>
  <c r="V371" i="38"/>
  <c r="W371" i="38" s="1"/>
  <c r="W370" i="38"/>
  <c r="W369" i="38"/>
  <c r="Q368" i="38"/>
  <c r="O368" i="38"/>
  <c r="M368" i="38"/>
  <c r="K368" i="38"/>
  <c r="W367" i="38"/>
  <c r="V366" i="38"/>
  <c r="W366" i="38" s="1"/>
  <c r="W365" i="38"/>
  <c r="V365" i="38"/>
  <c r="W364" i="38"/>
  <c r="W363" i="38"/>
  <c r="W362" i="38"/>
  <c r="W361" i="38"/>
  <c r="W360" i="38"/>
  <c r="Q353" i="38"/>
  <c r="O353" i="38"/>
  <c r="M353" i="38"/>
  <c r="K353" i="38"/>
  <c r="W352" i="38"/>
  <c r="V351" i="38"/>
  <c r="W351" i="38" s="1"/>
  <c r="V350" i="38"/>
  <c r="W350" i="38" s="1"/>
  <c r="V349" i="38"/>
  <c r="W349" i="38" s="1"/>
  <c r="V348" i="38"/>
  <c r="W348" i="38" s="1"/>
  <c r="V347" i="38"/>
  <c r="W347" i="38" s="1"/>
  <c r="V346" i="38"/>
  <c r="W346" i="38" s="1"/>
  <c r="V345" i="38"/>
  <c r="W345" i="38" s="1"/>
  <c r="V344" i="38"/>
  <c r="W344" i="38" s="1"/>
  <c r="V343" i="38"/>
  <c r="W343" i="38" s="1"/>
  <c r="V342" i="38"/>
  <c r="W342" i="38" s="1"/>
  <c r="V341" i="38"/>
  <c r="W341" i="38" s="1"/>
  <c r="V340" i="38"/>
  <c r="W340" i="38" s="1"/>
  <c r="W339" i="38"/>
  <c r="W338" i="38"/>
  <c r="W337" i="38"/>
  <c r="W336" i="38"/>
  <c r="Q332" i="38"/>
  <c r="S332" i="38" s="1"/>
  <c r="O332" i="38"/>
  <c r="M332" i="38"/>
  <c r="K332" i="38"/>
  <c r="W331" i="38"/>
  <c r="V330" i="38"/>
  <c r="W330" i="38" s="1"/>
  <c r="V329" i="38"/>
  <c r="W329" i="38" s="1"/>
  <c r="V328" i="38"/>
  <c r="W328" i="38" s="1"/>
  <c r="V327" i="38"/>
  <c r="W327" i="38" s="1"/>
  <c r="V326" i="38"/>
  <c r="W326" i="38" s="1"/>
  <c r="V325" i="38"/>
  <c r="W325" i="38" s="1"/>
  <c r="V324" i="38"/>
  <c r="W324" i="38" s="1"/>
  <c r="V323" i="38"/>
  <c r="W323" i="38" s="1"/>
  <c r="V322" i="38"/>
  <c r="W322" i="38" s="1"/>
  <c r="V321" i="38"/>
  <c r="W321" i="38" s="1"/>
  <c r="V320" i="38"/>
  <c r="W320" i="38" s="1"/>
  <c r="V319" i="38"/>
  <c r="W319" i="38" s="1"/>
  <c r="V318" i="38"/>
  <c r="W318" i="38" s="1"/>
  <c r="V317" i="38"/>
  <c r="W317" i="38" s="1"/>
  <c r="V316" i="38"/>
  <c r="W316" i="38" s="1"/>
  <c r="V315" i="38"/>
  <c r="W315" i="38" s="1"/>
  <c r="V314" i="38"/>
  <c r="W314" i="38" s="1"/>
  <c r="V313" i="38"/>
  <c r="W313" i="38" s="1"/>
  <c r="V312" i="38"/>
  <c r="W312" i="38" s="1"/>
  <c r="V311" i="38"/>
  <c r="W311" i="38" s="1"/>
  <c r="V310" i="38"/>
  <c r="W310" i="38" s="1"/>
  <c r="V309" i="38"/>
  <c r="W309" i="38" s="1"/>
  <c r="V308" i="38"/>
  <c r="W308" i="38" s="1"/>
  <c r="W307" i="38"/>
  <c r="V307" i="38"/>
  <c r="V306" i="38"/>
  <c r="W306" i="38" s="1"/>
  <c r="V305" i="38"/>
  <c r="W305" i="38" s="1"/>
  <c r="V304" i="38"/>
  <c r="W304" i="38" s="1"/>
  <c r="V303" i="38"/>
  <c r="W303" i="38" s="1"/>
  <c r="V302" i="38"/>
  <c r="W302" i="38" s="1"/>
  <c r="V301" i="38"/>
  <c r="W301" i="38" s="1"/>
  <c r="V300" i="38"/>
  <c r="W300" i="38" s="1"/>
  <c r="W299" i="38"/>
  <c r="W298" i="38"/>
  <c r="W297" i="38"/>
  <c r="W296" i="38"/>
  <c r="W294" i="38"/>
  <c r="V293" i="38"/>
  <c r="W293" i="38" s="1"/>
  <c r="W292" i="38"/>
  <c r="Q291" i="38"/>
  <c r="O291" i="38"/>
  <c r="M291" i="38"/>
  <c r="K291" i="38"/>
  <c r="W290" i="38"/>
  <c r="V289" i="38"/>
  <c r="W289" i="38" s="1"/>
  <c r="V288" i="38"/>
  <c r="W288" i="38" s="1"/>
  <c r="V287" i="38"/>
  <c r="W287" i="38" s="1"/>
  <c r="W286" i="38"/>
  <c r="W285" i="38"/>
  <c r="Q284" i="38"/>
  <c r="O284" i="38"/>
  <c r="M284" i="38"/>
  <c r="K284" i="38"/>
  <c r="W283" i="38"/>
  <c r="V282" i="38"/>
  <c r="W282" i="38" s="1"/>
  <c r="W281" i="38"/>
  <c r="V281" i="38"/>
  <c r="V280" i="38"/>
  <c r="W280" i="38" s="1"/>
  <c r="V279" i="38"/>
  <c r="W279" i="38" s="1"/>
  <c r="V278" i="38"/>
  <c r="W278" i="38" s="1"/>
  <c r="V277" i="38"/>
  <c r="W277" i="38" s="1"/>
  <c r="V276" i="38"/>
  <c r="W276" i="38" s="1"/>
  <c r="V275" i="38"/>
  <c r="W275" i="38" s="1"/>
  <c r="V274" i="38"/>
  <c r="W274" i="38" s="1"/>
  <c r="W273" i="38"/>
  <c r="W272" i="38"/>
  <c r="Q271" i="38"/>
  <c r="O271" i="38"/>
  <c r="M271" i="38"/>
  <c r="K271" i="38"/>
  <c r="W270" i="38"/>
  <c r="V269" i="38"/>
  <c r="W269" i="38" s="1"/>
  <c r="V268" i="38"/>
  <c r="W268" i="38" s="1"/>
  <c r="V267" i="38"/>
  <c r="W267" i="38" s="1"/>
  <c r="W266" i="38"/>
  <c r="W265" i="38"/>
  <c r="Q264" i="38"/>
  <c r="O264" i="38"/>
  <c r="U264" i="38" s="1"/>
  <c r="M264" i="38"/>
  <c r="K264" i="38"/>
  <c r="W263" i="38"/>
  <c r="W262" i="38"/>
  <c r="V262" i="38"/>
  <c r="V261" i="38"/>
  <c r="W261" i="38" s="1"/>
  <c r="V260" i="38"/>
  <c r="W260" i="38" s="1"/>
  <c r="V259" i="38"/>
  <c r="W259" i="38" s="1"/>
  <c r="V258" i="38"/>
  <c r="W258" i="38" s="1"/>
  <c r="V257" i="38"/>
  <c r="W257" i="38" s="1"/>
  <c r="V256" i="38"/>
  <c r="W256" i="38" s="1"/>
  <c r="V255" i="38"/>
  <c r="W255" i="38" s="1"/>
  <c r="W254" i="38"/>
  <c r="W253" i="38"/>
  <c r="Q252" i="38"/>
  <c r="O252" i="38"/>
  <c r="M252" i="38"/>
  <c r="K252" i="38"/>
  <c r="W251" i="38"/>
  <c r="V250" i="38"/>
  <c r="W250" i="38" s="1"/>
  <c r="V249" i="38"/>
  <c r="W249" i="38" s="1"/>
  <c r="V248" i="38"/>
  <c r="W248" i="38" s="1"/>
  <c r="W247" i="38"/>
  <c r="W246" i="38"/>
  <c r="Q245" i="38"/>
  <c r="O245" i="38"/>
  <c r="U245" i="38" s="1"/>
  <c r="M245" i="38"/>
  <c r="K245" i="38"/>
  <c r="W244" i="38"/>
  <c r="W243" i="38"/>
  <c r="V243" i="38"/>
  <c r="V242" i="38"/>
  <c r="W242" i="38" s="1"/>
  <c r="V241" i="38"/>
  <c r="W241" i="38" s="1"/>
  <c r="V240" i="38"/>
  <c r="W240" i="38" s="1"/>
  <c r="V239" i="38"/>
  <c r="W239" i="38" s="1"/>
  <c r="V238" i="38"/>
  <c r="W238" i="38" s="1"/>
  <c r="V237" i="38"/>
  <c r="W237" i="38" s="1"/>
  <c r="V236" i="38"/>
  <c r="W236" i="38" s="1"/>
  <c r="V235" i="38"/>
  <c r="W235" i="38" s="1"/>
  <c r="V234" i="38"/>
  <c r="W234" i="38" s="1"/>
  <c r="W232" i="38"/>
  <c r="Q231" i="38"/>
  <c r="O231" i="38"/>
  <c r="U231" i="38" s="1"/>
  <c r="M231" i="38"/>
  <c r="K231" i="38"/>
  <c r="W230" i="38"/>
  <c r="V229" i="38"/>
  <c r="W229" i="38" s="1"/>
  <c r="V228" i="38"/>
  <c r="W228" i="38" s="1"/>
  <c r="V227" i="38"/>
  <c r="W227" i="38" s="1"/>
  <c r="V226" i="38"/>
  <c r="W226" i="38" s="1"/>
  <c r="V225" i="38"/>
  <c r="W225" i="38" s="1"/>
  <c r="V224" i="38"/>
  <c r="W224" i="38" s="1"/>
  <c r="W223" i="38"/>
  <c r="W222" i="38"/>
  <c r="Q221" i="38"/>
  <c r="O221" i="38"/>
  <c r="M221" i="38"/>
  <c r="K221" i="38"/>
  <c r="W220" i="38"/>
  <c r="V219" i="38"/>
  <c r="W219" i="38" s="1"/>
  <c r="V218" i="38"/>
  <c r="W218" i="38" s="1"/>
  <c r="V217" i="38"/>
  <c r="W217" i="38" s="1"/>
  <c r="W216" i="38"/>
  <c r="W215" i="38"/>
  <c r="Q214" i="38"/>
  <c r="O214" i="38"/>
  <c r="U214" i="38" s="1"/>
  <c r="M214" i="38"/>
  <c r="K214" i="38"/>
  <c r="W213" i="38"/>
  <c r="V212" i="38"/>
  <c r="W212" i="38" s="1"/>
  <c r="V211" i="38"/>
  <c r="W211" i="38" s="1"/>
  <c r="V210" i="38"/>
  <c r="W210" i="38" s="1"/>
  <c r="V209" i="38"/>
  <c r="W209" i="38" s="1"/>
  <c r="W207" i="38"/>
  <c r="Q206" i="38"/>
  <c r="S206" i="38" s="1"/>
  <c r="O206" i="38"/>
  <c r="M206" i="38"/>
  <c r="K206" i="38"/>
  <c r="W205" i="38"/>
  <c r="V204" i="38"/>
  <c r="W204" i="38" s="1"/>
  <c r="V203" i="38"/>
  <c r="W203" i="38" s="1"/>
  <c r="V202" i="38"/>
  <c r="W202" i="38" s="1"/>
  <c r="V201" i="38"/>
  <c r="W201" i="38" s="1"/>
  <c r="V200" i="38"/>
  <c r="W200" i="38" s="1"/>
  <c r="V199" i="38"/>
  <c r="W199" i="38" s="1"/>
  <c r="V198" i="38"/>
  <c r="W198" i="38" s="1"/>
  <c r="V197" i="38"/>
  <c r="W197" i="38" s="1"/>
  <c r="W196" i="38"/>
  <c r="V196" i="38"/>
  <c r="V195" i="38"/>
  <c r="W195" i="38" s="1"/>
  <c r="W194" i="38"/>
  <c r="W193" i="38"/>
  <c r="Q192" i="38"/>
  <c r="O192" i="38"/>
  <c r="U192" i="38" s="1"/>
  <c r="M192" i="38"/>
  <c r="K192" i="38"/>
  <c r="W191" i="38"/>
  <c r="W190" i="38"/>
  <c r="V190" i="38"/>
  <c r="V189" i="38"/>
  <c r="W189" i="38" s="1"/>
  <c r="V188" i="38"/>
  <c r="W188" i="38" s="1"/>
  <c r="W187" i="38"/>
  <c r="W186" i="38"/>
  <c r="Q185" i="38"/>
  <c r="S185" i="38" s="1"/>
  <c r="O185" i="38"/>
  <c r="M185" i="38"/>
  <c r="K185" i="38"/>
  <c r="W184" i="38"/>
  <c r="V183" i="38"/>
  <c r="W183" i="38" s="1"/>
  <c r="V182" i="38"/>
  <c r="W182" i="38" s="1"/>
  <c r="V181" i="38"/>
  <c r="W181" i="38" s="1"/>
  <c r="V180" i="38"/>
  <c r="W180" i="38" s="1"/>
  <c r="V179" i="38"/>
  <c r="W179" i="38" s="1"/>
  <c r="V178" i="38"/>
  <c r="W178" i="38" s="1"/>
  <c r="V177" i="38"/>
  <c r="W177" i="38" s="1"/>
  <c r="V176" i="38"/>
  <c r="W176" i="38" s="1"/>
  <c r="W175" i="38"/>
  <c r="V175" i="38"/>
  <c r="V174" i="38"/>
  <c r="W174" i="38" s="1"/>
  <c r="W173" i="38"/>
  <c r="V172" i="38"/>
  <c r="W172" i="38" s="1"/>
  <c r="W171" i="38"/>
  <c r="W170" i="38"/>
  <c r="W169" i="38"/>
  <c r="W168" i="38"/>
  <c r="W162" i="38"/>
  <c r="Q161" i="38"/>
  <c r="S161" i="38" s="1"/>
  <c r="O161" i="38"/>
  <c r="M161" i="38"/>
  <c r="K161" i="38"/>
  <c r="W160" i="38"/>
  <c r="V159" i="38"/>
  <c r="W159" i="38" s="1"/>
  <c r="V158" i="38"/>
  <c r="W158" i="38" s="1"/>
  <c r="V157" i="38"/>
  <c r="W157" i="38" s="1"/>
  <c r="V156" i="38"/>
  <c r="W156" i="38" s="1"/>
  <c r="W155" i="38"/>
  <c r="W154" i="38"/>
  <c r="Q153" i="38"/>
  <c r="O153" i="38"/>
  <c r="U153" i="38" s="1"/>
  <c r="M153" i="38"/>
  <c r="K153" i="38"/>
  <c r="W152" i="38"/>
  <c r="V151" i="38"/>
  <c r="W151" i="38" s="1"/>
  <c r="V150" i="38"/>
  <c r="W150" i="38" s="1"/>
  <c r="V149" i="38"/>
  <c r="W149" i="38" s="1"/>
  <c r="V148" i="38"/>
  <c r="W148" i="38" s="1"/>
  <c r="W147" i="38"/>
  <c r="W146" i="38"/>
  <c r="Q145" i="38"/>
  <c r="O145" i="38"/>
  <c r="U145" i="38" s="1"/>
  <c r="M145" i="38"/>
  <c r="K145" i="38"/>
  <c r="W144" i="38"/>
  <c r="V143" i="38"/>
  <c r="W143" i="38" s="1"/>
  <c r="V142" i="38"/>
  <c r="W142" i="38" s="1"/>
  <c r="V141" i="38"/>
  <c r="W141" i="38" s="1"/>
  <c r="V140" i="38"/>
  <c r="W140" i="38" s="1"/>
  <c r="W139" i="38"/>
  <c r="W138" i="38"/>
  <c r="Q137" i="38"/>
  <c r="O137" i="38"/>
  <c r="U137" i="38" s="1"/>
  <c r="M137" i="38"/>
  <c r="K137" i="38"/>
  <c r="W136" i="38"/>
  <c r="V135" i="38"/>
  <c r="W135" i="38" s="1"/>
  <c r="V134" i="38"/>
  <c r="W134" i="38" s="1"/>
  <c r="V133" i="38"/>
  <c r="W133" i="38" s="1"/>
  <c r="V132" i="38"/>
  <c r="W132" i="38" s="1"/>
  <c r="W131" i="38"/>
  <c r="W130" i="38"/>
  <c r="Q129" i="38"/>
  <c r="O129" i="38"/>
  <c r="M129" i="38"/>
  <c r="K129" i="38"/>
  <c r="W128" i="38"/>
  <c r="V127" i="38"/>
  <c r="W127" i="38" s="1"/>
  <c r="V126" i="38"/>
  <c r="W126" i="38" s="1"/>
  <c r="V125" i="38"/>
  <c r="W125" i="38" s="1"/>
  <c r="W124" i="38"/>
  <c r="V124" i="38"/>
  <c r="W123" i="38"/>
  <c r="W122" i="38"/>
  <c r="Q121" i="38"/>
  <c r="O121" i="38"/>
  <c r="M121" i="38"/>
  <c r="K121" i="38"/>
  <c r="W120" i="38"/>
  <c r="V119" i="38"/>
  <c r="W119" i="38" s="1"/>
  <c r="V118" i="38"/>
  <c r="W118" i="38" s="1"/>
  <c r="V117" i="38"/>
  <c r="W117" i="38" s="1"/>
  <c r="W116" i="38"/>
  <c r="V116" i="38"/>
  <c r="W115" i="38"/>
  <c r="W114" i="38"/>
  <c r="Q113" i="38"/>
  <c r="O113" i="38"/>
  <c r="M113" i="38"/>
  <c r="K113" i="38"/>
  <c r="W112" i="38"/>
  <c r="V111" i="38"/>
  <c r="W111" i="38" s="1"/>
  <c r="V110" i="38"/>
  <c r="W110" i="38" s="1"/>
  <c r="V109" i="38"/>
  <c r="W109" i="38" s="1"/>
  <c r="V108" i="38"/>
  <c r="W108" i="38" s="1"/>
  <c r="W107" i="38"/>
  <c r="V106" i="38"/>
  <c r="W106" i="38" s="1"/>
  <c r="W105" i="38"/>
  <c r="W104" i="38"/>
  <c r="W103" i="38"/>
  <c r="W102" i="38"/>
  <c r="W100" i="38"/>
  <c r="M99" i="38"/>
  <c r="K99" i="38"/>
  <c r="W98" i="38"/>
  <c r="V97" i="38"/>
  <c r="W97" i="38" s="1"/>
  <c r="V96" i="38"/>
  <c r="W96" i="38" s="1"/>
  <c r="W95" i="38"/>
  <c r="V95" i="38"/>
  <c r="V94" i="38"/>
  <c r="W94" i="38" s="1"/>
  <c r="V93" i="38"/>
  <c r="W93" i="38" s="1"/>
  <c r="V92" i="38"/>
  <c r="W92" i="38" s="1"/>
  <c r="V91" i="38"/>
  <c r="W91" i="38" s="1"/>
  <c r="Z90" i="38"/>
  <c r="AA90" i="38" s="1"/>
  <c r="O90" i="38"/>
  <c r="V89" i="38"/>
  <c r="W89" i="38" s="1"/>
  <c r="V88" i="38"/>
  <c r="W88" i="38" s="1"/>
  <c r="Z87" i="38"/>
  <c r="AA87" i="38" s="1"/>
  <c r="O87" i="38"/>
  <c r="S87" i="38" s="1"/>
  <c r="Z86" i="38"/>
  <c r="AA86" i="38" s="1"/>
  <c r="O86" i="38"/>
  <c r="V86" i="38" s="1"/>
  <c r="W85" i="38"/>
  <c r="W84" i="38"/>
  <c r="M83" i="38"/>
  <c r="K83" i="38"/>
  <c r="W82" i="38"/>
  <c r="V81" i="38"/>
  <c r="W81" i="38" s="1"/>
  <c r="V80" i="38"/>
  <c r="W80" i="38" s="1"/>
  <c r="V79" i="38"/>
  <c r="W79" i="38" s="1"/>
  <c r="V78" i="38"/>
  <c r="W78" i="38" s="1"/>
  <c r="V77" i="38"/>
  <c r="W77" i="38" s="1"/>
  <c r="W76" i="38"/>
  <c r="V76" i="38"/>
  <c r="V75" i="38"/>
  <c r="W75" i="38" s="1"/>
  <c r="Z74" i="38"/>
  <c r="AA74" i="38" s="1"/>
  <c r="O74" i="38"/>
  <c r="V73" i="38"/>
  <c r="W73" i="38" s="1"/>
  <c r="V72" i="38"/>
  <c r="W72" i="38" s="1"/>
  <c r="Z71" i="38"/>
  <c r="AA71" i="38" s="1"/>
  <c r="O71" i="38"/>
  <c r="S71" i="38" s="1"/>
  <c r="Z70" i="38"/>
  <c r="AA70" i="38" s="1"/>
  <c r="O70" i="38"/>
  <c r="W69" i="38"/>
  <c r="W68" i="38"/>
  <c r="M67" i="38"/>
  <c r="K67" i="38"/>
  <c r="W66" i="38"/>
  <c r="V65" i="38"/>
  <c r="W65" i="38" s="1"/>
  <c r="V64" i="38"/>
  <c r="W64" i="38" s="1"/>
  <c r="V63" i="38"/>
  <c r="W63" i="38" s="1"/>
  <c r="V62" i="38"/>
  <c r="W62" i="38" s="1"/>
  <c r="V61" i="38"/>
  <c r="W61" i="38" s="1"/>
  <c r="V60" i="38"/>
  <c r="W60" i="38" s="1"/>
  <c r="Z59" i="38"/>
  <c r="AA59" i="38" s="1"/>
  <c r="O59" i="38"/>
  <c r="S59" i="38" s="1"/>
  <c r="V58" i="38"/>
  <c r="W58" i="38" s="1"/>
  <c r="V57" i="38"/>
  <c r="W57" i="38" s="1"/>
  <c r="Z56" i="38"/>
  <c r="AA56" i="38" s="1"/>
  <c r="O56" i="38"/>
  <c r="Z55" i="38"/>
  <c r="AA55" i="38" s="1"/>
  <c r="O55" i="38"/>
  <c r="W54" i="38"/>
  <c r="W53" i="38"/>
  <c r="M52" i="38"/>
  <c r="K52" i="38"/>
  <c r="W51" i="38"/>
  <c r="V50" i="38"/>
  <c r="W50" i="38" s="1"/>
  <c r="V49" i="38"/>
  <c r="W49" i="38" s="1"/>
  <c r="V48" i="38"/>
  <c r="W48" i="38" s="1"/>
  <c r="V47" i="38"/>
  <c r="W47" i="38" s="1"/>
  <c r="V46" i="38"/>
  <c r="W46" i="38" s="1"/>
  <c r="V45" i="38"/>
  <c r="W45" i="38" s="1"/>
  <c r="V44" i="38"/>
  <c r="W44" i="38" s="1"/>
  <c r="Z43" i="38"/>
  <c r="AA43" i="38" s="1"/>
  <c r="O43" i="38"/>
  <c r="O52" i="38" s="1"/>
  <c r="V42" i="38"/>
  <c r="W42" i="38" s="1"/>
  <c r="V41" i="38"/>
  <c r="W41" i="38" s="1"/>
  <c r="Z40" i="38"/>
  <c r="AA40" i="38" s="1"/>
  <c r="O40" i="38"/>
  <c r="V40" i="38" s="1"/>
  <c r="Z39" i="38"/>
  <c r="AA39" i="38" s="1"/>
  <c r="O39" i="38"/>
  <c r="W38" i="38"/>
  <c r="W37" i="38"/>
  <c r="M36" i="38"/>
  <c r="K36" i="38"/>
  <c r="W35" i="38"/>
  <c r="V34" i="38"/>
  <c r="W34" i="38" s="1"/>
  <c r="V33" i="38"/>
  <c r="W33" i="38" s="1"/>
  <c r="V32" i="38"/>
  <c r="W32" i="38" s="1"/>
  <c r="V31" i="38"/>
  <c r="W31" i="38" s="1"/>
  <c r="V30" i="38"/>
  <c r="W30" i="38" s="1"/>
  <c r="V29" i="38"/>
  <c r="W29" i="38" s="1"/>
  <c r="Z28" i="38"/>
  <c r="AA28" i="38" s="1"/>
  <c r="O28" i="38"/>
  <c r="S28" i="38" s="1"/>
  <c r="V27" i="38"/>
  <c r="W27" i="38" s="1"/>
  <c r="V26" i="38"/>
  <c r="W26" i="38" s="1"/>
  <c r="Z25" i="38"/>
  <c r="AA25" i="38" s="1"/>
  <c r="O25" i="38"/>
  <c r="V25" i="38" s="1"/>
  <c r="Z24" i="38"/>
  <c r="AA24" i="38" s="1"/>
  <c r="O24" i="38"/>
  <c r="M163" i="38" l="1"/>
  <c r="S192" i="38"/>
  <c r="S245" i="38"/>
  <c r="S271" i="38"/>
  <c r="U284" i="38"/>
  <c r="S353" i="38"/>
  <c r="V145" i="38"/>
  <c r="V153" i="38"/>
  <c r="U206" i="38"/>
  <c r="V214" i="38"/>
  <c r="S231" i="38"/>
  <c r="S252" i="38"/>
  <c r="S264" i="38"/>
  <c r="U291" i="38"/>
  <c r="Q430" i="38"/>
  <c r="K295" i="38"/>
  <c r="M412" i="38"/>
  <c r="U271" i="38"/>
  <c r="S86" i="38"/>
  <c r="W86" i="38" s="1"/>
  <c r="V129" i="38"/>
  <c r="W129" i="38" s="1"/>
  <c r="S137" i="38"/>
  <c r="V185" i="38"/>
  <c r="W185" i="38" s="1"/>
  <c r="V206" i="38"/>
  <c r="V245" i="38"/>
  <c r="W245" i="38" s="1"/>
  <c r="V252" i="38"/>
  <c r="V264" i="38"/>
  <c r="V271" i="38"/>
  <c r="W271" i="38"/>
  <c r="S121" i="38"/>
  <c r="U252" i="38"/>
  <c r="V332" i="38"/>
  <c r="W332" i="38" s="1"/>
  <c r="V353" i="38"/>
  <c r="W353" i="38" s="1"/>
  <c r="V28" i="38"/>
  <c r="O67" i="38"/>
  <c r="O83" i="38"/>
  <c r="U121" i="38"/>
  <c r="S145" i="38"/>
  <c r="W145" i="38" s="1"/>
  <c r="S153" i="38"/>
  <c r="V192" i="38"/>
  <c r="W192" i="38" s="1"/>
  <c r="S284" i="38"/>
  <c r="V384" i="38"/>
  <c r="W384" i="38" s="1"/>
  <c r="V410" i="38"/>
  <c r="W410" i="38" s="1"/>
  <c r="S25" i="38"/>
  <c r="W25" i="38" s="1"/>
  <c r="V56" i="38"/>
  <c r="S56" i="38"/>
  <c r="V24" i="38"/>
  <c r="S24" i="38"/>
  <c r="W24" i="38" s="1"/>
  <c r="W28" i="38"/>
  <c r="Q36" i="38"/>
  <c r="S40" i="38"/>
  <c r="W40" i="38" s="1"/>
  <c r="V74" i="38"/>
  <c r="S74" i="38"/>
  <c r="S39" i="38"/>
  <c r="V39" i="38"/>
  <c r="K101" i="38"/>
  <c r="K433" i="38" s="1"/>
  <c r="Q52" i="38"/>
  <c r="V59" i="38"/>
  <c r="W59" i="38" s="1"/>
  <c r="V71" i="38"/>
  <c r="W71" i="38" s="1"/>
  <c r="Q99" i="38"/>
  <c r="M101" i="38"/>
  <c r="Q163" i="38"/>
  <c r="S113" i="38"/>
  <c r="V221" i="38"/>
  <c r="S221" i="38"/>
  <c r="W221" i="38" s="1"/>
  <c r="O36" i="38"/>
  <c r="O101" i="38"/>
  <c r="K163" i="38"/>
  <c r="V113" i="38"/>
  <c r="V137" i="38"/>
  <c r="U161" i="38"/>
  <c r="M295" i="38"/>
  <c r="W206" i="38"/>
  <c r="V231" i="38"/>
  <c r="W231" i="38" s="1"/>
  <c r="V284" i="38"/>
  <c r="W284" i="38" s="1"/>
  <c r="V291" i="38"/>
  <c r="S291" i="38"/>
  <c r="K412" i="38"/>
  <c r="V368" i="38"/>
  <c r="W368" i="38" s="1"/>
  <c r="V90" i="38"/>
  <c r="S90" i="38"/>
  <c r="O295" i="38"/>
  <c r="U185" i="38"/>
  <c r="Q295" i="38"/>
  <c r="Q412" i="38"/>
  <c r="V374" i="38"/>
  <c r="W374" i="38" s="1"/>
  <c r="V87" i="38"/>
  <c r="W87" i="38" s="1"/>
  <c r="O99" i="38"/>
  <c r="U113" i="38"/>
  <c r="V121" i="38"/>
  <c r="W121" i="38" s="1"/>
  <c r="V161" i="38"/>
  <c r="W161" i="38" s="1"/>
  <c r="O163" i="38"/>
  <c r="S214" i="38"/>
  <c r="W214" i="38" s="1"/>
  <c r="U221" i="38"/>
  <c r="W153" i="38" l="1"/>
  <c r="W291" i="38"/>
  <c r="M433" i="38"/>
  <c r="M469" i="38" s="1"/>
  <c r="W264" i="38"/>
  <c r="W252" i="38"/>
  <c r="W90" i="38"/>
  <c r="U36" i="38"/>
  <c r="W39" i="38"/>
  <c r="W137" i="38"/>
  <c r="W74" i="38"/>
  <c r="K469" i="38"/>
  <c r="Q83" i="38"/>
  <c r="V70" i="38"/>
  <c r="S70" i="38"/>
  <c r="V55" i="38"/>
  <c r="S55" i="38"/>
  <c r="Q67" i="38"/>
  <c r="V52" i="38"/>
  <c r="S52" i="38"/>
  <c r="S99" i="38"/>
  <c r="V99" i="38"/>
  <c r="V43" i="38"/>
  <c r="S43" i="38"/>
  <c r="U52" i="38"/>
  <c r="U99" i="38"/>
  <c r="V412" i="38"/>
  <c r="S412" i="38"/>
  <c r="W412" i="38" s="1"/>
  <c r="W113" i="38"/>
  <c r="S36" i="38"/>
  <c r="V36" i="38"/>
  <c r="V295" i="38"/>
  <c r="S295" i="38"/>
  <c r="O433" i="38"/>
  <c r="O469" i="38" s="1"/>
  <c r="S163" i="38"/>
  <c r="V163" i="38"/>
  <c r="W56" i="38"/>
  <c r="W70" i="38" l="1"/>
  <c r="W52" i="38"/>
  <c r="W163" i="38"/>
  <c r="W36" i="38"/>
  <c r="W99" i="38"/>
  <c r="S67" i="38"/>
  <c r="W67" i="38" s="1"/>
  <c r="U67" i="38"/>
  <c r="Q433" i="38"/>
  <c r="W295" i="38"/>
  <c r="W43" i="38"/>
  <c r="Q101" i="38"/>
  <c r="W55" i="38"/>
  <c r="V83" i="38"/>
  <c r="S83" i="38"/>
  <c r="U83" i="38"/>
  <c r="W83" i="38" l="1"/>
  <c r="S101" i="38"/>
  <c r="V101" i="38"/>
  <c r="Q469" i="38"/>
  <c r="W101" i="38" l="1"/>
  <c r="D43" i="13" l="1"/>
  <c r="H37" i="13"/>
  <c r="J37" i="13" s="1"/>
  <c r="G28" i="51" l="1"/>
  <c r="D47" i="13"/>
  <c r="D24" i="13"/>
  <c r="D32" i="13"/>
  <c r="D39" i="13"/>
  <c r="K37" i="13"/>
  <c r="D28" i="13"/>
  <c r="D17" i="13"/>
  <c r="D46" i="13" l="1"/>
  <c r="G27" i="51"/>
  <c r="G29" i="51" s="1"/>
  <c r="G31" i="51" s="1"/>
  <c r="G32" i="51" s="1"/>
  <c r="D45" i="13"/>
  <c r="D49" i="13" s="1"/>
  <c r="H7" i="13"/>
  <c r="E93" i="13" l="1"/>
  <c r="L93" i="13"/>
  <c r="G434" i="9"/>
  <c r="G435" i="9" s="1"/>
  <c r="G428" i="9"/>
  <c r="G420" i="9"/>
  <c r="G421" i="9" s="1"/>
  <c r="G414" i="9"/>
  <c r="G415" i="9" s="1"/>
  <c r="G408" i="9"/>
  <c r="G409" i="9" s="1"/>
  <c r="D400" i="9"/>
  <c r="G392" i="9"/>
  <c r="E28" i="51" l="1"/>
  <c r="D499" i="9"/>
  <c r="D444" i="9"/>
  <c r="D423" i="9"/>
  <c r="D431" i="9"/>
  <c r="D437" i="9"/>
  <c r="H428" i="9"/>
  <c r="I428" i="9" s="1"/>
  <c r="J428" i="9" s="1"/>
  <c r="C424" i="52" s="1"/>
  <c r="H420" i="9"/>
  <c r="I420" i="9" s="1"/>
  <c r="K420" i="9" s="1"/>
  <c r="H414" i="9"/>
  <c r="I414" i="9" s="1"/>
  <c r="K414" i="9" s="1"/>
  <c r="H415" i="9"/>
  <c r="I415" i="9" s="1"/>
  <c r="J415" i="9" s="1"/>
  <c r="C411" i="52" s="1"/>
  <c r="H421" i="9"/>
  <c r="I421" i="9" s="1"/>
  <c r="J421" i="9" s="1"/>
  <c r="C417" i="52" s="1"/>
  <c r="D405" i="9"/>
  <c r="D411" i="9"/>
  <c r="D417" i="9"/>
  <c r="D395" i="9"/>
  <c r="G393" i="9"/>
  <c r="H393" i="9" s="1"/>
  <c r="E27" i="51" l="1"/>
  <c r="E29" i="51" s="1"/>
  <c r="E31" i="51" s="1"/>
  <c r="E32" i="51" s="1"/>
  <c r="D501" i="9" s="1"/>
  <c r="D497" i="9"/>
  <c r="D500" i="9" s="1"/>
  <c r="D443" i="9"/>
  <c r="K428" i="9"/>
  <c r="I417" i="9"/>
  <c r="K421" i="9"/>
  <c r="K415" i="9"/>
  <c r="J414" i="9"/>
  <c r="C410" i="52" s="1"/>
  <c r="J420" i="9"/>
  <c r="C416" i="52" s="1"/>
  <c r="I423" i="9"/>
  <c r="I393" i="9"/>
  <c r="J393" i="9" s="1"/>
  <c r="C389" i="52" s="1"/>
  <c r="I501" i="9" l="1"/>
  <c r="E499" i="9"/>
  <c r="E497" i="9"/>
  <c r="D502" i="9"/>
  <c r="J417" i="9"/>
  <c r="J423" i="9"/>
  <c r="K393" i="9"/>
  <c r="S5" i="47" l="1"/>
  <c r="T5" i="47" s="1"/>
  <c r="S6" i="47"/>
  <c r="T6" i="47" s="1"/>
  <c r="S7" i="47"/>
  <c r="T7" i="47" s="1"/>
  <c r="S8" i="47"/>
  <c r="T8" i="47" s="1"/>
  <c r="V8" i="47"/>
  <c r="E88" i="25" s="1"/>
  <c r="S9" i="47"/>
  <c r="T9" i="47" s="1"/>
  <c r="S10" i="47"/>
  <c r="T10" i="47" s="1"/>
  <c r="AD10" i="47" s="1"/>
  <c r="AJ10" i="47" s="1"/>
  <c r="AJ19" i="47" s="1"/>
  <c r="S11" i="47"/>
  <c r="T11" i="47" s="1"/>
  <c r="V11" i="47"/>
  <c r="S12" i="47"/>
  <c r="T12" i="47" s="1"/>
  <c r="V12" i="47"/>
  <c r="S13" i="47"/>
  <c r="T13" i="47" s="1"/>
  <c r="V13" i="47"/>
  <c r="S14" i="47"/>
  <c r="T14" i="47" s="1"/>
  <c r="S15" i="47"/>
  <c r="T15" i="47" s="1"/>
  <c r="V15" i="47"/>
  <c r="T16" i="47"/>
  <c r="AC16" i="47" s="1"/>
  <c r="Y16" i="47"/>
  <c r="Y17" i="47"/>
  <c r="E19" i="47"/>
  <c r="F19" i="47"/>
  <c r="G19" i="47"/>
  <c r="H19" i="47"/>
  <c r="I19" i="47"/>
  <c r="J19" i="47"/>
  <c r="K19" i="47"/>
  <c r="L19" i="47"/>
  <c r="M19" i="47"/>
  <c r="N19" i="47"/>
  <c r="O19" i="47"/>
  <c r="P19" i="47"/>
  <c r="Q19" i="47"/>
  <c r="R19" i="47"/>
  <c r="S24" i="47"/>
  <c r="T24" i="47" s="1"/>
  <c r="S25" i="47"/>
  <c r="T25" i="47" s="1"/>
  <c r="S26" i="47"/>
  <c r="T26" i="47" s="1"/>
  <c r="V26" i="47"/>
  <c r="D87" i="25" s="1"/>
  <c r="S27" i="47"/>
  <c r="T27" i="47" s="1"/>
  <c r="V27" i="47"/>
  <c r="E29" i="47"/>
  <c r="E31" i="47" s="1"/>
  <c r="F29" i="47"/>
  <c r="F31" i="47" s="1"/>
  <c r="G29" i="47"/>
  <c r="H29" i="47"/>
  <c r="I29" i="47"/>
  <c r="I31" i="47" s="1"/>
  <c r="J29" i="47"/>
  <c r="J31" i="47" s="1"/>
  <c r="K29" i="47"/>
  <c r="L29" i="47"/>
  <c r="M29" i="47"/>
  <c r="M31" i="47" s="1"/>
  <c r="N29" i="47"/>
  <c r="N31" i="47" s="1"/>
  <c r="O29" i="47"/>
  <c r="P29" i="47"/>
  <c r="P31" i="47" s="1"/>
  <c r="Q29" i="47"/>
  <c r="Q31" i="47" s="1"/>
  <c r="R29" i="47"/>
  <c r="R31" i="47" s="1"/>
  <c r="U29" i="47"/>
  <c r="V29" i="47"/>
  <c r="W29" i="47"/>
  <c r="X29" i="47"/>
  <c r="Y29" i="47"/>
  <c r="H31" i="47"/>
  <c r="L31" i="47"/>
  <c r="M40" i="47"/>
  <c r="L45" i="47" s="1"/>
  <c r="M45" i="47" s="1"/>
  <c r="K46" i="47" s="1"/>
  <c r="E41" i="47"/>
  <c r="L42" i="47"/>
  <c r="M42" i="47" s="1"/>
  <c r="K43" i="47" s="1"/>
  <c r="D43" i="47"/>
  <c r="E43" i="47" s="1"/>
  <c r="C44" i="47" s="1"/>
  <c r="D46" i="47"/>
  <c r="E46" i="47" s="1"/>
  <c r="C47" i="47" s="1"/>
  <c r="C55" i="47"/>
  <c r="C86" i="47"/>
  <c r="C87" i="47"/>
  <c r="H96" i="47"/>
  <c r="C99" i="47"/>
  <c r="C100" i="47"/>
  <c r="H109" i="47"/>
  <c r="C122" i="47"/>
  <c r="C126" i="47"/>
  <c r="D67" i="25" l="1"/>
  <c r="AC26" i="47"/>
  <c r="AI26" i="47" s="1"/>
  <c r="AC13" i="47"/>
  <c r="D28" i="25"/>
  <c r="AC11" i="47"/>
  <c r="D29" i="25"/>
  <c r="AC8" i="47"/>
  <c r="AI8" i="47" s="1"/>
  <c r="D22" i="25"/>
  <c r="AC25" i="47"/>
  <c r="AI25" i="47" s="1"/>
  <c r="D59" i="25"/>
  <c r="AC15" i="47"/>
  <c r="D30" i="25"/>
  <c r="D46" i="25"/>
  <c r="AC7" i="47"/>
  <c r="AI7" i="47" s="1"/>
  <c r="AC27" i="47"/>
  <c r="AI27" i="47" s="1"/>
  <c r="AD27" i="47"/>
  <c r="AJ27" i="47" s="1"/>
  <c r="AJ29" i="47" s="1"/>
  <c r="AJ31" i="47" s="1"/>
  <c r="D58" i="25"/>
  <c r="AC24" i="47"/>
  <c r="AI24" i="47" s="1"/>
  <c r="D39" i="25"/>
  <c r="AC14" i="47"/>
  <c r="D27" i="25"/>
  <c r="AC12" i="47"/>
  <c r="W9" i="47"/>
  <c r="X9" i="47" s="1"/>
  <c r="Y9" i="47" s="1"/>
  <c r="D12" i="25"/>
  <c r="AC9" i="47"/>
  <c r="AI9" i="47" s="1"/>
  <c r="AC6" i="47"/>
  <c r="AI6" i="47" s="1"/>
  <c r="D11" i="25"/>
  <c r="AI16" i="47"/>
  <c r="AE16" i="47"/>
  <c r="AK16" i="47" s="1"/>
  <c r="D10" i="25"/>
  <c r="AC5" i="47"/>
  <c r="AI5" i="47" s="1"/>
  <c r="U31" i="47"/>
  <c r="AH32" i="47" s="1"/>
  <c r="AE6" i="47"/>
  <c r="AK6" i="47" s="1"/>
  <c r="W6" i="47"/>
  <c r="X6" i="47" s="1"/>
  <c r="Y6" i="47" s="1"/>
  <c r="W10" i="47"/>
  <c r="X10" i="47" s="1"/>
  <c r="Y10" i="47" s="1"/>
  <c r="W15" i="47"/>
  <c r="X15" i="47" s="1"/>
  <c r="Y15" i="47" s="1"/>
  <c r="AE25" i="47"/>
  <c r="AK25" i="47" s="1"/>
  <c r="W14" i="47"/>
  <c r="X14" i="47" s="1"/>
  <c r="Y14" i="47" s="1"/>
  <c r="W13" i="47"/>
  <c r="X13" i="47" s="1"/>
  <c r="Y13" i="47" s="1"/>
  <c r="E89" i="25"/>
  <c r="W8" i="47"/>
  <c r="X8" i="47" s="1"/>
  <c r="Y8" i="47" s="1"/>
  <c r="O31" i="47"/>
  <c r="K31" i="47"/>
  <c r="G31" i="47"/>
  <c r="AD29" i="47"/>
  <c r="W12" i="47"/>
  <c r="X12" i="47" s="1"/>
  <c r="Y12" i="47" s="1"/>
  <c r="W11" i="47"/>
  <c r="X11" i="47" s="1"/>
  <c r="Y11" i="47" s="1"/>
  <c r="E87" i="25"/>
  <c r="W7" i="47"/>
  <c r="X7" i="47" s="1"/>
  <c r="Y7" i="47" s="1"/>
  <c r="D55" i="47"/>
  <c r="E55" i="47" s="1"/>
  <c r="C56" i="47" s="1"/>
  <c r="D86" i="25"/>
  <c r="E86" i="25"/>
  <c r="T19" i="47"/>
  <c r="L43" i="47"/>
  <c r="T29" i="47"/>
  <c r="W5" i="47"/>
  <c r="D47" i="47"/>
  <c r="E47" i="47" s="1"/>
  <c r="C48" i="47" s="1"/>
  <c r="D44" i="47"/>
  <c r="E44" i="47" s="1"/>
  <c r="C45" i="47" s="1"/>
  <c r="L46" i="47"/>
  <c r="M46" i="47" s="1"/>
  <c r="K47" i="47" s="1"/>
  <c r="S19" i="47"/>
  <c r="S29" i="47"/>
  <c r="V19" i="47"/>
  <c r="V31" i="47" s="1"/>
  <c r="AE15" i="47" l="1"/>
  <c r="AK15" i="47" s="1"/>
  <c r="AI15" i="47"/>
  <c r="AI13" i="47"/>
  <c r="AE13" i="47"/>
  <c r="AK13" i="47" s="1"/>
  <c r="AE9" i="47"/>
  <c r="AK9" i="47" s="1"/>
  <c r="AE14" i="47"/>
  <c r="AK14" i="47" s="1"/>
  <c r="AI14" i="47"/>
  <c r="AE7" i="47"/>
  <c r="AK7" i="47" s="1"/>
  <c r="AE26" i="47"/>
  <c r="AK26" i="47" s="1"/>
  <c r="AI12" i="47"/>
  <c r="AE12" i="47"/>
  <c r="AK12" i="47" s="1"/>
  <c r="AI29" i="47"/>
  <c r="AE27" i="47"/>
  <c r="AK27" i="47" s="1"/>
  <c r="AE8" i="47"/>
  <c r="AK8" i="47" s="1"/>
  <c r="AI19" i="47"/>
  <c r="AI31" i="47" s="1"/>
  <c r="AI11" i="47"/>
  <c r="AE11" i="47"/>
  <c r="AK11" i="47" s="1"/>
  <c r="S31" i="47"/>
  <c r="AC29" i="47"/>
  <c r="AE24" i="47"/>
  <c r="AC19" i="47"/>
  <c r="AE5" i="47"/>
  <c r="AD19" i="47"/>
  <c r="AD31" i="47" s="1"/>
  <c r="AE10" i="47"/>
  <c r="AK10" i="47" s="1"/>
  <c r="L47" i="47"/>
  <c r="M47" i="47" s="1"/>
  <c r="K48" i="47" s="1"/>
  <c r="D45" i="47"/>
  <c r="E45" i="47" s="1"/>
  <c r="D48" i="47"/>
  <c r="E48" i="47" s="1"/>
  <c r="C49" i="47" s="1"/>
  <c r="M43" i="47"/>
  <c r="K44" i="47" s="1"/>
  <c r="W19" i="47"/>
  <c r="W31" i="47" s="1"/>
  <c r="X5" i="47"/>
  <c r="D56" i="47"/>
  <c r="E56" i="47" s="1"/>
  <c r="T31" i="47"/>
  <c r="T32" i="47" l="1"/>
  <c r="AC31" i="47"/>
  <c r="AE29" i="47"/>
  <c r="AK24" i="47"/>
  <c r="AK29" i="47" s="1"/>
  <c r="AE19" i="47"/>
  <c r="AK5" i="47"/>
  <c r="AK19" i="47" s="1"/>
  <c r="Y5" i="47"/>
  <c r="Y19" i="47" s="1"/>
  <c r="Y31" i="47" s="1"/>
  <c r="X19" i="47"/>
  <c r="X31" i="47" s="1"/>
  <c r="D49" i="47"/>
  <c r="E49" i="47" s="1"/>
  <c r="C50" i="47" s="1"/>
  <c r="L48" i="47"/>
  <c r="M48" i="47" s="1"/>
  <c r="K49" i="47" s="1"/>
  <c r="L44" i="47"/>
  <c r="M44" i="47" s="1"/>
  <c r="AK31" i="47" l="1"/>
  <c r="AE31" i="47"/>
  <c r="AE32" i="47" s="1"/>
  <c r="L49" i="47"/>
  <c r="M49" i="47" s="1"/>
  <c r="K50" i="47" s="1"/>
  <c r="D50" i="47"/>
  <c r="E50" i="47" s="1"/>
  <c r="C51" i="47" s="1"/>
  <c r="L50" i="47" l="1"/>
  <c r="D51" i="47"/>
  <c r="E51" i="47" s="1"/>
  <c r="C52" i="47" s="1"/>
  <c r="M50" i="47" l="1"/>
  <c r="K51" i="47" s="1"/>
  <c r="D52" i="47"/>
  <c r="E52" i="47" s="1"/>
  <c r="C53" i="47" s="1"/>
  <c r="L51" i="47" l="1"/>
  <c r="M51" i="47" s="1"/>
  <c r="K52" i="47" s="1"/>
  <c r="D53" i="47"/>
  <c r="E53" i="47" s="1"/>
  <c r="C54" i="47" s="1"/>
  <c r="L52" i="47" l="1"/>
  <c r="M52" i="47" s="1"/>
  <c r="K53" i="47" s="1"/>
  <c r="D54" i="47"/>
  <c r="D57" i="47" s="1"/>
  <c r="E54" i="47" l="1"/>
  <c r="L53" i="47"/>
  <c r="L54" i="47" s="1"/>
  <c r="M53" i="47" l="1"/>
  <c r="S15" i="46" l="1"/>
  <c r="I16" i="46"/>
  <c r="N16" i="46"/>
  <c r="C17" i="46"/>
  <c r="I17" i="46" s="1"/>
  <c r="C18" i="46"/>
  <c r="C19" i="46" s="1"/>
  <c r="C20" i="46" s="1"/>
  <c r="C21" i="46" s="1"/>
  <c r="C22" i="46" s="1"/>
  <c r="C23" i="46" s="1"/>
  <c r="C24" i="46" s="1"/>
  <c r="C25" i="46" s="1"/>
  <c r="C26" i="46" s="1"/>
  <c r="C27" i="46" s="1"/>
  <c r="N17" i="46" l="1"/>
  <c r="I18" i="46"/>
  <c r="N18" i="46" l="1"/>
  <c r="I19" i="46"/>
  <c r="N19" i="46" l="1"/>
  <c r="I20" i="46"/>
  <c r="N20" i="46" l="1"/>
  <c r="I21" i="46"/>
  <c r="N21" i="46" l="1"/>
  <c r="I22" i="46"/>
  <c r="N22" i="46" l="1"/>
  <c r="I23" i="46"/>
  <c r="N23" i="46" l="1"/>
  <c r="I24" i="46"/>
  <c r="N24" i="46" l="1"/>
  <c r="I25" i="46"/>
  <c r="N25" i="46" l="1"/>
  <c r="I26" i="46"/>
  <c r="N26" i="46" l="1"/>
  <c r="I27" i="46"/>
  <c r="N27" i="46" s="1"/>
  <c r="G389" i="9" l="1"/>
  <c r="F389" i="9"/>
  <c r="F151" i="9"/>
  <c r="F150" i="9"/>
  <c r="F149" i="9"/>
  <c r="F148" i="9"/>
  <c r="F147" i="9"/>
  <c r="F142" i="9"/>
  <c r="F141" i="9"/>
  <c r="F140" i="9"/>
  <c r="F139" i="9"/>
  <c r="F138" i="9"/>
  <c r="F137" i="9"/>
  <c r="H389" i="9" l="1"/>
  <c r="K68" i="13"/>
  <c r="K71" i="13" l="1"/>
  <c r="K74" i="13" s="1"/>
  <c r="D74" i="13"/>
  <c r="C58" i="13"/>
  <c r="C43" i="13"/>
  <c r="C39" i="13"/>
  <c r="C13" i="13" l="1"/>
  <c r="C45" i="13" s="1"/>
  <c r="C49" i="13" s="1"/>
  <c r="G68" i="22"/>
  <c r="G60" i="22"/>
  <c r="G59" i="22"/>
  <c r="G46" i="22"/>
  <c r="G39" i="22"/>
  <c r="G30" i="22"/>
  <c r="G29" i="22"/>
  <c r="G28" i="22"/>
  <c r="G27" i="22"/>
  <c r="G22" i="22"/>
  <c r="G21" i="22"/>
  <c r="G12" i="22"/>
  <c r="G11" i="22"/>
  <c r="G10" i="22"/>
  <c r="G67" i="25"/>
  <c r="G59" i="25"/>
  <c r="G58" i="25"/>
  <c r="G46" i="25"/>
  <c r="G39" i="25"/>
  <c r="G30" i="25"/>
  <c r="G29" i="25"/>
  <c r="G28" i="25"/>
  <c r="G27" i="25"/>
  <c r="G22" i="25"/>
  <c r="G21" i="25"/>
  <c r="G12" i="25"/>
  <c r="H12" i="25" s="1"/>
  <c r="G11" i="25"/>
  <c r="G10" i="25"/>
  <c r="C60" i="13" l="1"/>
  <c r="G373" i="9"/>
  <c r="G334" i="9"/>
  <c r="G333" i="9"/>
  <c r="G321" i="9"/>
  <c r="G313" i="9"/>
  <c r="G312" i="9"/>
  <c r="G311" i="9"/>
  <c r="D487" i="9" l="1"/>
  <c r="I451" i="9"/>
  <c r="I452" i="9"/>
  <c r="I453" i="9"/>
  <c r="I454" i="9"/>
  <c r="I455" i="9"/>
  <c r="I456" i="9"/>
  <c r="I450" i="9"/>
  <c r="I389" i="9" l="1"/>
  <c r="J389" i="9" s="1"/>
  <c r="C385" i="52" s="1"/>
  <c r="C527" i="52" s="1"/>
  <c r="D439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63" i="9"/>
  <c r="C435" i="9"/>
  <c r="C434" i="9"/>
  <c r="C437" i="9" l="1"/>
  <c r="C487" i="9"/>
  <c r="C429" i="9"/>
  <c r="C428" i="9"/>
  <c r="C425" i="9"/>
  <c r="C421" i="9"/>
  <c r="C420" i="9"/>
  <c r="C415" i="9"/>
  <c r="C414" i="9"/>
  <c r="C409" i="9"/>
  <c r="C408" i="9"/>
  <c r="C402" i="9"/>
  <c r="C405" i="9" s="1"/>
  <c r="C397" i="9"/>
  <c r="C400" i="9" s="1"/>
  <c r="C393" i="9"/>
  <c r="C392" i="9"/>
  <c r="C387" i="9"/>
  <c r="C386" i="9"/>
  <c r="C376" i="9"/>
  <c r="C377" i="9"/>
  <c r="C378" i="9"/>
  <c r="C375" i="9"/>
  <c r="C373" i="9"/>
  <c r="C372" i="9"/>
  <c r="C370" i="9"/>
  <c r="C365" i="9"/>
  <c r="C366" i="9"/>
  <c r="C367" i="9"/>
  <c r="C368" i="9"/>
  <c r="C364" i="9"/>
  <c r="C417" i="9" l="1"/>
  <c r="C380" i="9"/>
  <c r="C411" i="9"/>
  <c r="C389" i="9"/>
  <c r="C356" i="9"/>
  <c r="C357" i="9"/>
  <c r="C355" i="9"/>
  <c r="C350" i="9"/>
  <c r="C351" i="9"/>
  <c r="C352" i="9"/>
  <c r="C349" i="9"/>
  <c r="C343" i="9"/>
  <c r="C344" i="9"/>
  <c r="C345" i="9"/>
  <c r="C342" i="9"/>
  <c r="C337" i="9"/>
  <c r="C338" i="9"/>
  <c r="C339" i="9"/>
  <c r="C336" i="9"/>
  <c r="C333" i="9"/>
  <c r="C334" i="9"/>
  <c r="C332" i="9"/>
  <c r="C322" i="9"/>
  <c r="C321" i="9"/>
  <c r="C317" i="9"/>
  <c r="C318" i="9"/>
  <c r="C316" i="9"/>
  <c r="C311" i="9"/>
  <c r="C312" i="9"/>
  <c r="C313" i="9"/>
  <c r="C310" i="9"/>
  <c r="C306" i="9"/>
  <c r="C307" i="9"/>
  <c r="C308" i="9"/>
  <c r="C305" i="9"/>
  <c r="C297" i="9"/>
  <c r="C292" i="9"/>
  <c r="C293" i="9"/>
  <c r="C291" i="9"/>
  <c r="C279" i="9"/>
  <c r="C280" i="9"/>
  <c r="C281" i="9"/>
  <c r="C282" i="9"/>
  <c r="C283" i="9"/>
  <c r="C284" i="9"/>
  <c r="C285" i="9"/>
  <c r="C286" i="9"/>
  <c r="C278" i="9"/>
  <c r="C272" i="9"/>
  <c r="C273" i="9"/>
  <c r="C271" i="9"/>
  <c r="C265" i="9"/>
  <c r="C266" i="9"/>
  <c r="C264" i="9"/>
  <c r="C259" i="9"/>
  <c r="C260" i="9"/>
  <c r="C261" i="9"/>
  <c r="C262" i="9"/>
  <c r="C258" i="9"/>
  <c r="C252" i="9"/>
  <c r="C253" i="9"/>
  <c r="C251" i="9"/>
  <c r="C245" i="9"/>
  <c r="C246" i="9"/>
  <c r="C244" i="9"/>
  <c r="C237" i="9"/>
  <c r="C238" i="9"/>
  <c r="C239" i="9"/>
  <c r="C240" i="9"/>
  <c r="C241" i="9"/>
  <c r="C242" i="9"/>
  <c r="C236" i="9"/>
  <c r="C227" i="9"/>
  <c r="C228" i="9"/>
  <c r="C229" i="9"/>
  <c r="C230" i="9"/>
  <c r="C231" i="9"/>
  <c r="C226" i="9"/>
  <c r="C220" i="9"/>
  <c r="C221" i="9"/>
  <c r="C219" i="9"/>
  <c r="C213" i="9"/>
  <c r="C212" i="9"/>
  <c r="C210" i="9"/>
  <c r="C209" i="9"/>
  <c r="C203" i="9"/>
  <c r="C204" i="9"/>
  <c r="C202" i="9"/>
  <c r="C195" i="9"/>
  <c r="C196" i="9"/>
  <c r="C197" i="9"/>
  <c r="C198" i="9"/>
  <c r="C199" i="9"/>
  <c r="C200" i="9"/>
  <c r="C194" i="9"/>
  <c r="C188" i="9"/>
  <c r="C189" i="9"/>
  <c r="C187" i="9"/>
  <c r="C181" i="9"/>
  <c r="C182" i="9"/>
  <c r="C180" i="9"/>
  <c r="C173" i="9"/>
  <c r="C174" i="9"/>
  <c r="C175" i="9"/>
  <c r="C176" i="9"/>
  <c r="C177" i="9"/>
  <c r="C178" i="9"/>
  <c r="C172" i="9"/>
  <c r="C170" i="9"/>
  <c r="C159" i="9"/>
  <c r="C160" i="9"/>
  <c r="C158" i="9"/>
  <c r="C156" i="9"/>
  <c r="C150" i="9"/>
  <c r="C151" i="9"/>
  <c r="C149" i="9"/>
  <c r="C147" i="9"/>
  <c r="C140" i="9"/>
  <c r="C141" i="9"/>
  <c r="C139" i="9"/>
  <c r="C137" i="9"/>
  <c r="C130" i="9"/>
  <c r="C131" i="9"/>
  <c r="C129" i="9"/>
  <c r="C127" i="9"/>
  <c r="C121" i="9"/>
  <c r="C119" i="9"/>
  <c r="C118" i="9"/>
  <c r="C116" i="9"/>
  <c r="C110" i="9"/>
  <c r="C108" i="9"/>
  <c r="C107" i="9"/>
  <c r="C105" i="9"/>
  <c r="C99" i="9"/>
  <c r="C97" i="9"/>
  <c r="C96" i="9"/>
  <c r="C94" i="9"/>
  <c r="C92" i="9"/>
  <c r="C73" i="9"/>
  <c r="C74" i="9"/>
  <c r="C75" i="9"/>
  <c r="C76" i="9"/>
  <c r="C77" i="9"/>
  <c r="C78" i="9"/>
  <c r="C79" i="9"/>
  <c r="C80" i="9"/>
  <c r="C81" i="9"/>
  <c r="C82" i="9"/>
  <c r="C83" i="9"/>
  <c r="C72" i="9"/>
  <c r="C57" i="9"/>
  <c r="C58" i="9"/>
  <c r="C59" i="9"/>
  <c r="C60" i="9"/>
  <c r="C61" i="9"/>
  <c r="C62" i="9"/>
  <c r="C63" i="9"/>
  <c r="C64" i="9"/>
  <c r="C65" i="9"/>
  <c r="C66" i="9"/>
  <c r="C67" i="9"/>
  <c r="C56" i="9"/>
  <c r="C42" i="9"/>
  <c r="C43" i="9"/>
  <c r="C44" i="9"/>
  <c r="C45" i="9"/>
  <c r="C46" i="9"/>
  <c r="C47" i="9"/>
  <c r="C48" i="9"/>
  <c r="C49" i="9"/>
  <c r="C50" i="9"/>
  <c r="C51" i="9"/>
  <c r="C41" i="9"/>
  <c r="C26" i="9"/>
  <c r="C27" i="9"/>
  <c r="C28" i="9"/>
  <c r="C29" i="9"/>
  <c r="C30" i="9"/>
  <c r="C31" i="9"/>
  <c r="C32" i="9"/>
  <c r="C33" i="9"/>
  <c r="C34" i="9"/>
  <c r="C35" i="9"/>
  <c r="C36" i="9"/>
  <c r="C25" i="9"/>
  <c r="C102" i="9" l="1"/>
  <c r="C359" i="9"/>
  <c r="G318" i="9"/>
  <c r="H318" i="9" s="1"/>
  <c r="C11" i="9"/>
  <c r="C12" i="9"/>
  <c r="C13" i="9"/>
  <c r="C14" i="9"/>
  <c r="C15" i="9"/>
  <c r="C16" i="9"/>
  <c r="C17" i="9"/>
  <c r="C18" i="9"/>
  <c r="C19" i="9"/>
  <c r="C20" i="9"/>
  <c r="C10" i="9"/>
  <c r="G130" i="9"/>
  <c r="D53" i="9" l="1"/>
  <c r="G319" i="9"/>
  <c r="I318" i="9"/>
  <c r="J318" i="9" s="1"/>
  <c r="C314" i="52" s="1"/>
  <c r="I42" i="13" l="1"/>
  <c r="J42" i="13" s="1"/>
  <c r="K42" i="13" s="1"/>
  <c r="I31" i="13"/>
  <c r="J31" i="13" s="1"/>
  <c r="K31" i="13" s="1"/>
  <c r="I27" i="13"/>
  <c r="J27" i="13" s="1"/>
  <c r="K27" i="13" s="1"/>
  <c r="I23" i="13"/>
  <c r="J23" i="13" s="1"/>
  <c r="K23" i="13" s="1"/>
  <c r="I16" i="13"/>
  <c r="J16" i="13" s="1"/>
  <c r="K16" i="13" s="1"/>
  <c r="G429" i="9" l="1"/>
  <c r="G425" i="9"/>
  <c r="G402" i="9"/>
  <c r="G397" i="9"/>
  <c r="G403" i="9" l="1"/>
  <c r="H403" i="9" s="1"/>
  <c r="G398" i="9"/>
  <c r="H398" i="9" s="1"/>
  <c r="G377" i="9"/>
  <c r="G378" i="9"/>
  <c r="G376" i="9"/>
  <c r="G375" i="9"/>
  <c r="G372" i="9"/>
  <c r="G370" i="9"/>
  <c r="G371" i="9" s="1"/>
  <c r="G365" i="9"/>
  <c r="G366" i="9"/>
  <c r="G367" i="9"/>
  <c r="G368" i="9"/>
  <c r="G364" i="9"/>
  <c r="G356" i="9"/>
  <c r="G357" i="9"/>
  <c r="G355" i="9"/>
  <c r="G350" i="9"/>
  <c r="G351" i="9"/>
  <c r="G352" i="9"/>
  <c r="G349" i="9"/>
  <c r="G343" i="9"/>
  <c r="G344" i="9"/>
  <c r="G345" i="9"/>
  <c r="G342" i="9"/>
  <c r="G337" i="9"/>
  <c r="G338" i="9"/>
  <c r="G339" i="9"/>
  <c r="G336" i="9"/>
  <c r="G332" i="9"/>
  <c r="G322" i="9"/>
  <c r="G317" i="9"/>
  <c r="G316" i="9"/>
  <c r="G310" i="9"/>
  <c r="G306" i="9"/>
  <c r="G307" i="9"/>
  <c r="G308" i="9"/>
  <c r="I403" i="9" l="1"/>
  <c r="J403" i="9" s="1"/>
  <c r="I398" i="9"/>
  <c r="J398" i="9" s="1"/>
  <c r="C394" i="52" s="1"/>
  <c r="G305" i="9"/>
  <c r="G297" i="9"/>
  <c r="G292" i="9"/>
  <c r="G293" i="9"/>
  <c r="G291" i="9"/>
  <c r="K403" i="9" l="1"/>
  <c r="K398" i="9"/>
  <c r="G279" i="9"/>
  <c r="G280" i="9"/>
  <c r="G281" i="9"/>
  <c r="G282" i="9"/>
  <c r="G283" i="9"/>
  <c r="G284" i="9"/>
  <c r="G285" i="9"/>
  <c r="G286" i="9"/>
  <c r="G278" i="9"/>
  <c r="G272" i="9"/>
  <c r="G273" i="9"/>
  <c r="G271" i="9"/>
  <c r="G265" i="9"/>
  <c r="G266" i="9"/>
  <c r="G264" i="9"/>
  <c r="G259" i="9"/>
  <c r="G260" i="9"/>
  <c r="G261" i="9"/>
  <c r="G262" i="9"/>
  <c r="G258" i="9"/>
  <c r="G252" i="9"/>
  <c r="G253" i="9"/>
  <c r="G251" i="9"/>
  <c r="G245" i="9"/>
  <c r="G246" i="9"/>
  <c r="G244" i="9"/>
  <c r="G237" i="9"/>
  <c r="G238" i="9"/>
  <c r="G239" i="9"/>
  <c r="G240" i="9"/>
  <c r="G241" i="9"/>
  <c r="G242" i="9"/>
  <c r="G236" i="9"/>
  <c r="G227" i="9"/>
  <c r="G228" i="9"/>
  <c r="G229" i="9"/>
  <c r="G230" i="9"/>
  <c r="G231" i="9"/>
  <c r="G226" i="9"/>
  <c r="G220" i="9"/>
  <c r="G221" i="9"/>
  <c r="G219" i="9"/>
  <c r="G213" i="9"/>
  <c r="G212" i="9"/>
  <c r="G210" i="9"/>
  <c r="G209" i="9"/>
  <c r="G203" i="9"/>
  <c r="G204" i="9"/>
  <c r="G202" i="9"/>
  <c r="G195" i="9"/>
  <c r="G196" i="9"/>
  <c r="G197" i="9"/>
  <c r="G198" i="9"/>
  <c r="G199" i="9"/>
  <c r="G200" i="9"/>
  <c r="G194" i="9"/>
  <c r="G189" i="9"/>
  <c r="G188" i="9"/>
  <c r="G187" i="9"/>
  <c r="G181" i="9"/>
  <c r="G182" i="9"/>
  <c r="G180" i="9"/>
  <c r="G173" i="9"/>
  <c r="G174" i="9"/>
  <c r="G175" i="9"/>
  <c r="G176" i="9"/>
  <c r="G177" i="9"/>
  <c r="G178" i="9"/>
  <c r="G172" i="9"/>
  <c r="G170" i="9" l="1"/>
  <c r="G160" i="9"/>
  <c r="H160" i="9" s="1"/>
  <c r="G159" i="9"/>
  <c r="H159" i="9" s="1"/>
  <c r="I159" i="9" s="1"/>
  <c r="G158" i="9"/>
  <c r="G156" i="9"/>
  <c r="G149" i="9"/>
  <c r="G150" i="9"/>
  <c r="G151" i="9"/>
  <c r="G147" i="9"/>
  <c r="G141" i="9"/>
  <c r="G140" i="9"/>
  <c r="G139" i="9"/>
  <c r="G137" i="9"/>
  <c r="G131" i="9"/>
  <c r="G129" i="9"/>
  <c r="G127" i="9"/>
  <c r="G121" i="9"/>
  <c r="G119" i="9"/>
  <c r="G118" i="9"/>
  <c r="G116" i="9"/>
  <c r="G110" i="9"/>
  <c r="G108" i="9"/>
  <c r="G107" i="9"/>
  <c r="G105" i="9"/>
  <c r="G99" i="9"/>
  <c r="G97" i="9"/>
  <c r="G98" i="9" s="1"/>
  <c r="G96" i="9"/>
  <c r="G94" i="9"/>
  <c r="G95" i="9" s="1"/>
  <c r="G92" i="9"/>
  <c r="G83" i="9"/>
  <c r="G82" i="9"/>
  <c r="G81" i="9"/>
  <c r="G80" i="9"/>
  <c r="G79" i="9"/>
  <c r="G76" i="9"/>
  <c r="G73" i="9"/>
  <c r="G72" i="9"/>
  <c r="H147" i="9" l="1"/>
  <c r="G148" i="9"/>
  <c r="H148" i="9" s="1"/>
  <c r="G67" i="9"/>
  <c r="G66" i="9"/>
  <c r="G65" i="9"/>
  <c r="G64" i="9"/>
  <c r="G63" i="9"/>
  <c r="G62" i="9"/>
  <c r="G60" i="9"/>
  <c r="G57" i="9"/>
  <c r="G56" i="9"/>
  <c r="G42" i="9"/>
  <c r="G45" i="9"/>
  <c r="G46" i="9"/>
  <c r="G47" i="9"/>
  <c r="G48" i="9"/>
  <c r="G49" i="9"/>
  <c r="G50" i="9"/>
  <c r="G51" i="9"/>
  <c r="G41" i="9"/>
  <c r="G36" i="9"/>
  <c r="G26" i="9"/>
  <c r="G29" i="9"/>
  <c r="G31" i="9"/>
  <c r="G32" i="9"/>
  <c r="G33" i="9"/>
  <c r="G34" i="9"/>
  <c r="G35" i="9"/>
  <c r="G25" i="9"/>
  <c r="G11" i="9"/>
  <c r="G14" i="9"/>
  <c r="G16" i="9"/>
  <c r="G17" i="9"/>
  <c r="G18" i="9"/>
  <c r="G19" i="9"/>
  <c r="G20" i="9"/>
  <c r="G10" i="9"/>
  <c r="I148" i="9" l="1"/>
  <c r="J148" i="9" s="1"/>
  <c r="C144" i="52" s="1"/>
  <c r="G106" i="9"/>
  <c r="K70" i="13" l="1"/>
  <c r="D73" i="13" l="1"/>
  <c r="F350" i="9" l="1"/>
  <c r="F353" i="9"/>
  <c r="F297" i="9" l="1"/>
  <c r="H297" i="9" s="1"/>
  <c r="I297" i="9" s="1"/>
  <c r="D184" i="9" l="1"/>
  <c r="D153" i="9"/>
  <c r="D216" i="9"/>
  <c r="D134" i="9"/>
  <c r="D268" i="9"/>
  <c r="D163" i="9"/>
  <c r="D191" i="9"/>
  <c r="D206" i="9"/>
  <c r="D69" i="9"/>
  <c r="D85" i="9"/>
  <c r="D102" i="9" l="1"/>
  <c r="F102" i="9" s="1"/>
  <c r="D113" i="9"/>
  <c r="D144" i="9"/>
  <c r="D223" i="9"/>
  <c r="D359" i="9"/>
  <c r="D295" i="9"/>
  <c r="D288" i="9"/>
  <c r="D275" i="9"/>
  <c r="D255" i="9"/>
  <c r="D248" i="9"/>
  <c r="D233" i="9"/>
  <c r="D38" i="9"/>
  <c r="D22" i="9"/>
  <c r="D300" i="9" l="1"/>
  <c r="D87" i="9"/>
  <c r="F367" i="9"/>
  <c r="H367" i="9" s="1"/>
  <c r="I367" i="9" s="1"/>
  <c r="J367" i="9" s="1"/>
  <c r="C363" i="52" s="1"/>
  <c r="C517" i="52" s="1"/>
  <c r="G517" i="52" s="1"/>
  <c r="H517" i="52" s="1"/>
  <c r="D380" i="9" l="1"/>
  <c r="J297" i="9"/>
  <c r="C293" i="52" s="1"/>
  <c r="C482" i="52" s="1"/>
  <c r="G482" i="52" s="1"/>
  <c r="H482" i="52" s="1"/>
  <c r="C531" i="9" l="1"/>
  <c r="G531" i="9" s="1"/>
  <c r="H531" i="9" s="1"/>
  <c r="I458" i="9"/>
  <c r="G353" i="9"/>
  <c r="H353" i="9" s="1"/>
  <c r="I353" i="9" s="1"/>
  <c r="J353" i="9" s="1"/>
  <c r="C349" i="52" s="1"/>
  <c r="H350" i="9"/>
  <c r="I350" i="9" s="1"/>
  <c r="J350" i="9" s="1"/>
  <c r="C346" i="52" s="1"/>
  <c r="C508" i="52" s="1"/>
  <c r="G508" i="52" s="1"/>
  <c r="H508" i="52" s="1"/>
  <c r="G263" i="9"/>
  <c r="G243" i="9"/>
  <c r="G138" i="9"/>
  <c r="J158" i="9" l="1"/>
  <c r="C154" i="52" s="1"/>
  <c r="F374" i="9" l="1"/>
  <c r="F371" i="9"/>
  <c r="F369" i="9" l="1"/>
  <c r="F354" i="9"/>
  <c r="F348" i="9"/>
  <c r="F347" i="9"/>
  <c r="F346" i="9"/>
  <c r="F341" i="9"/>
  <c r="F340" i="9"/>
  <c r="F335" i="9"/>
  <c r="F331" i="9"/>
  <c r="F330" i="9"/>
  <c r="F329" i="9"/>
  <c r="F328" i="9"/>
  <c r="F327" i="9"/>
  <c r="F326" i="9"/>
  <c r="F325" i="9"/>
  <c r="F324" i="9"/>
  <c r="F323" i="9"/>
  <c r="F315" i="9"/>
  <c r="F314" i="9"/>
  <c r="F309" i="9"/>
  <c r="F263" i="9"/>
  <c r="F243" i="9"/>
  <c r="F214" i="9"/>
  <c r="F211" i="9"/>
  <c r="F201" i="9"/>
  <c r="F179" i="9"/>
  <c r="H263" i="9" l="1"/>
  <c r="I263" i="9" s="1"/>
  <c r="J263" i="9" s="1"/>
  <c r="C259" i="52" s="1"/>
  <c r="H243" i="9"/>
  <c r="I243" i="9" s="1"/>
  <c r="J243" i="9" s="1"/>
  <c r="C239" i="52" s="1"/>
  <c r="J159" i="9" l="1"/>
  <c r="C155" i="52" s="1"/>
  <c r="C163" i="9"/>
  <c r="H156" i="9"/>
  <c r="I156" i="9" s="1"/>
  <c r="H140" i="9"/>
  <c r="I140" i="9" s="1"/>
  <c r="H150" i="9"/>
  <c r="H139" i="9"/>
  <c r="H149" i="9"/>
  <c r="H151" i="9"/>
  <c r="H141" i="9"/>
  <c r="C144" i="9"/>
  <c r="E144" i="9" s="1"/>
  <c r="H138" i="9"/>
  <c r="I138" i="9" s="1"/>
  <c r="H137" i="9"/>
  <c r="I137" i="9" s="1"/>
  <c r="H130" i="9"/>
  <c r="I130" i="9" s="1"/>
  <c r="C134" i="9"/>
  <c r="J138" i="9" l="1"/>
  <c r="C134" i="52" s="1"/>
  <c r="I149" i="9"/>
  <c r="J137" i="9" l="1"/>
  <c r="C133" i="52" s="1"/>
  <c r="C124" i="9"/>
  <c r="H119" i="9"/>
  <c r="G111" i="9" l="1"/>
  <c r="G109" i="9"/>
  <c r="C113" i="9"/>
  <c r="F113" i="9" s="1"/>
  <c r="H111" i="9" l="1"/>
  <c r="I111" i="9" s="1"/>
  <c r="J111" i="9" s="1"/>
  <c r="C107" i="52" s="1"/>
  <c r="H109" i="9"/>
  <c r="I109" i="9" s="1"/>
  <c r="J109" i="9" s="1"/>
  <c r="C105" i="52" s="1"/>
  <c r="H98" i="9" l="1"/>
  <c r="I98" i="9" s="1"/>
  <c r="J98" i="9" s="1"/>
  <c r="C94" i="52" s="1"/>
  <c r="I484" i="9" l="1"/>
  <c r="J484" i="9" s="1"/>
  <c r="K72" i="13" l="1"/>
  <c r="K69" i="13"/>
  <c r="K67" i="13"/>
  <c r="K66" i="13"/>
  <c r="C73" i="13"/>
  <c r="K58" i="13"/>
  <c r="D58" i="13"/>
  <c r="H41" i="13"/>
  <c r="J41" i="13" s="1"/>
  <c r="J38" i="13"/>
  <c r="K38" i="13" s="1"/>
  <c r="K39" i="13" s="1"/>
  <c r="H34" i="13"/>
  <c r="J34" i="13" s="1"/>
  <c r="K34" i="13" s="1"/>
  <c r="K47" i="13" s="1"/>
  <c r="H30" i="13"/>
  <c r="J30" i="13" s="1"/>
  <c r="K30" i="13" s="1"/>
  <c r="K32" i="13" s="1"/>
  <c r="H26" i="13"/>
  <c r="J26" i="13" s="1"/>
  <c r="K26" i="13" s="1"/>
  <c r="K28" i="13" s="1"/>
  <c r="H22" i="13"/>
  <c r="H20" i="13"/>
  <c r="J20" i="13" s="1"/>
  <c r="K20" i="13" s="1"/>
  <c r="H15" i="13"/>
  <c r="J15" i="13" s="1"/>
  <c r="K15" i="13" s="1"/>
  <c r="K17" i="13" s="1"/>
  <c r="O38" i="13" l="1"/>
  <c r="J7" i="13"/>
  <c r="C75" i="13"/>
  <c r="J22" i="13"/>
  <c r="K22" i="13" s="1"/>
  <c r="K24" i="13" s="1"/>
  <c r="K46" i="13" s="1"/>
  <c r="O30" i="13"/>
  <c r="O15" i="13"/>
  <c r="O26" i="13"/>
  <c r="O34" i="13"/>
  <c r="K41" i="13"/>
  <c r="K64" i="13"/>
  <c r="K65" i="13"/>
  <c r="O41" i="13" l="1"/>
  <c r="K43" i="13"/>
  <c r="O20" i="13"/>
  <c r="K7" i="13"/>
  <c r="K73" i="13"/>
  <c r="D75" i="13"/>
  <c r="K45" i="13" l="1"/>
  <c r="K49" i="13" s="1"/>
  <c r="K60" i="13" s="1"/>
  <c r="D60" i="13"/>
  <c r="O7" i="13"/>
  <c r="O22" i="13"/>
  <c r="K75" i="13"/>
  <c r="D82" i="13" l="1"/>
  <c r="K77" i="13"/>
  <c r="K82" i="13" l="1"/>
  <c r="D84" i="13" l="1"/>
  <c r="H73" i="25" l="1"/>
  <c r="H67" i="25"/>
  <c r="F67" i="25"/>
  <c r="D69" i="25"/>
  <c r="H59" i="25"/>
  <c r="J59" i="25" s="1"/>
  <c r="F59" i="25"/>
  <c r="H58" i="25"/>
  <c r="F58" i="25"/>
  <c r="H46" i="25"/>
  <c r="F46" i="25"/>
  <c r="F39" i="25"/>
  <c r="D41" i="25"/>
  <c r="F30" i="25"/>
  <c r="H30" i="25" s="1"/>
  <c r="I30" i="25" s="1"/>
  <c r="J30" i="25" s="1"/>
  <c r="H29" i="25"/>
  <c r="J29" i="25" s="1"/>
  <c r="F29" i="25"/>
  <c r="H28" i="25"/>
  <c r="I28" i="25" s="1"/>
  <c r="J28" i="25" s="1"/>
  <c r="F28" i="25"/>
  <c r="H27" i="25"/>
  <c r="F27" i="25"/>
  <c r="D32" i="25"/>
  <c r="F22" i="25"/>
  <c r="H22" i="25" s="1"/>
  <c r="F21" i="25"/>
  <c r="H21" i="25" s="1"/>
  <c r="F12" i="25"/>
  <c r="H11" i="25"/>
  <c r="I11" i="25" s="1"/>
  <c r="J11" i="25" s="1"/>
  <c r="F11" i="25"/>
  <c r="H10" i="25"/>
  <c r="F10" i="25"/>
  <c r="H39" i="25" l="1"/>
  <c r="I39" i="25" s="1"/>
  <c r="I12" i="25"/>
  <c r="J12" i="25" s="1"/>
  <c r="I22" i="25"/>
  <c r="J22" i="25" s="1"/>
  <c r="I10" i="25"/>
  <c r="D14" i="25"/>
  <c r="I21" i="25"/>
  <c r="D24" i="25"/>
  <c r="D34" i="25" s="1"/>
  <c r="D61" i="25"/>
  <c r="D63" i="25" s="1"/>
  <c r="I27" i="25"/>
  <c r="F28" i="22"/>
  <c r="D48" i="22"/>
  <c r="D41" i="22"/>
  <c r="D16" i="25" l="1"/>
  <c r="I32" i="25"/>
  <c r="J27" i="25"/>
  <c r="J32" i="25" s="1"/>
  <c r="E471" i="52" s="1"/>
  <c r="I24" i="25"/>
  <c r="J21" i="25"/>
  <c r="I14" i="25"/>
  <c r="I16" i="25" s="1"/>
  <c r="J10" i="25"/>
  <c r="I41" i="25"/>
  <c r="J39" i="25"/>
  <c r="E499" i="52" s="1"/>
  <c r="I69" i="25"/>
  <c r="J67" i="25"/>
  <c r="J69" i="25" s="1"/>
  <c r="I61" i="25"/>
  <c r="I63" i="25" s="1"/>
  <c r="J58" i="25"/>
  <c r="H28" i="22"/>
  <c r="I28" i="22" s="1"/>
  <c r="J28" i="22" s="1"/>
  <c r="D32" i="22"/>
  <c r="F12" i="22"/>
  <c r="D520" i="9" l="1"/>
  <c r="J41" i="25"/>
  <c r="I34" i="25"/>
  <c r="J14" i="25"/>
  <c r="E456" i="52" s="1"/>
  <c r="J61" i="25"/>
  <c r="J63" i="25" s="1"/>
  <c r="J24" i="25"/>
  <c r="D24" i="22"/>
  <c r="D34" i="22" s="1"/>
  <c r="D14" i="22"/>
  <c r="D16" i="22" s="1"/>
  <c r="H12" i="22"/>
  <c r="I12" i="22" s="1"/>
  <c r="J12" i="22" s="1"/>
  <c r="H74" i="22"/>
  <c r="F68" i="22"/>
  <c r="H68" i="22" s="1"/>
  <c r="F60" i="22"/>
  <c r="F59" i="22"/>
  <c r="D519" i="9" l="1"/>
  <c r="E470" i="52"/>
  <c r="D505" i="9"/>
  <c r="J16" i="25"/>
  <c r="J34" i="25"/>
  <c r="D50" i="22"/>
  <c r="D51" i="22" s="1"/>
  <c r="H59" i="22"/>
  <c r="H60" i="22"/>
  <c r="C25" i="12" l="1"/>
  <c r="D70" i="22"/>
  <c r="J68" i="22"/>
  <c r="J70" i="22" s="1"/>
  <c r="D62" i="22"/>
  <c r="D64" i="22" s="1"/>
  <c r="J59" i="22"/>
  <c r="F46" i="22"/>
  <c r="F39" i="22"/>
  <c r="F30" i="22"/>
  <c r="F29" i="22"/>
  <c r="F27" i="22"/>
  <c r="F22" i="22"/>
  <c r="F21" i="22"/>
  <c r="F11" i="22"/>
  <c r="F10" i="22"/>
  <c r="I62" i="22" l="1"/>
  <c r="I64" i="22" s="1"/>
  <c r="I70" i="22"/>
  <c r="J60" i="22"/>
  <c r="J62" i="22" s="1"/>
  <c r="H46" i="22"/>
  <c r="H39" i="22"/>
  <c r="H29" i="22"/>
  <c r="I29" i="22" s="1"/>
  <c r="J29" i="22" s="1"/>
  <c r="H11" i="22"/>
  <c r="I11" i="22" s="1"/>
  <c r="J11" i="22" s="1"/>
  <c r="H21" i="22"/>
  <c r="I21" i="22" s="1"/>
  <c r="H22" i="22"/>
  <c r="I22" i="22" s="1"/>
  <c r="J22" i="22" s="1"/>
  <c r="H27" i="22"/>
  <c r="H30" i="22"/>
  <c r="I30" i="22" s="1"/>
  <c r="J30" i="22" s="1"/>
  <c r="H10" i="22"/>
  <c r="I10" i="22" s="1"/>
  <c r="J10" i="22" s="1"/>
  <c r="J64" i="22" l="1"/>
  <c r="I14" i="22"/>
  <c r="I46" i="22"/>
  <c r="J46" i="22" s="1"/>
  <c r="F518" i="52" s="1"/>
  <c r="I39" i="22"/>
  <c r="I41" i="22" s="1"/>
  <c r="I32" i="22"/>
  <c r="I24" i="22"/>
  <c r="J21" i="22"/>
  <c r="J24" i="22" s="1"/>
  <c r="F470" i="52" s="1"/>
  <c r="J27" i="22"/>
  <c r="F519" i="9" l="1"/>
  <c r="J48" i="22"/>
  <c r="I48" i="22"/>
  <c r="I34" i="22"/>
  <c r="J39" i="22"/>
  <c r="F499" i="52" s="1"/>
  <c r="J32" i="22"/>
  <c r="J14" i="22"/>
  <c r="F520" i="9" l="1"/>
  <c r="F471" i="52"/>
  <c r="F505" i="9"/>
  <c r="F456" i="52"/>
  <c r="J16" i="22"/>
  <c r="J34" i="22"/>
  <c r="J41" i="22"/>
  <c r="F539" i="52" l="1"/>
  <c r="J50" i="22"/>
  <c r="I466" i="9"/>
  <c r="I469" i="9"/>
  <c r="I470" i="9"/>
  <c r="I471" i="9"/>
  <c r="I473" i="9"/>
  <c r="I474" i="9"/>
  <c r="I475" i="9"/>
  <c r="I477" i="9"/>
  <c r="I479" i="9"/>
  <c r="I482" i="9"/>
  <c r="J482" i="9" s="1"/>
  <c r="I486" i="9"/>
  <c r="I483" i="9" l="1"/>
  <c r="J483" i="9" s="1"/>
  <c r="I478" i="9"/>
  <c r="J478" i="9" s="1"/>
  <c r="I476" i="9"/>
  <c r="J476" i="9" s="1"/>
  <c r="I472" i="9"/>
  <c r="J472" i="9" s="1"/>
  <c r="I468" i="9"/>
  <c r="J468" i="9" s="1"/>
  <c r="I480" i="9" l="1"/>
  <c r="J480" i="9" s="1"/>
  <c r="I465" i="9"/>
  <c r="J465" i="9" s="1"/>
  <c r="I467" i="9"/>
  <c r="J467" i="9" s="1"/>
  <c r="I75" i="25"/>
  <c r="I77" i="25" s="1"/>
  <c r="D19" i="12" s="1"/>
  <c r="D76" i="22"/>
  <c r="I464" i="9"/>
  <c r="J464" i="9" s="1"/>
  <c r="D78" i="22" l="1"/>
  <c r="D79" i="22" s="1"/>
  <c r="J487" i="9"/>
  <c r="I485" i="9"/>
  <c r="J485" i="9" s="1"/>
  <c r="J74" i="22"/>
  <c r="I76" i="22"/>
  <c r="I78" i="22" s="1"/>
  <c r="D26" i="12" s="1"/>
  <c r="C26" i="12" l="1"/>
  <c r="D81" i="22"/>
  <c r="AF32" i="47" s="1"/>
  <c r="I487" i="9"/>
  <c r="J76" i="22"/>
  <c r="J78" i="22" s="1"/>
  <c r="J81" i="22" s="1"/>
  <c r="F540" i="52" s="1"/>
  <c r="E26" i="12" l="1"/>
  <c r="F397" i="9" l="1"/>
  <c r="H397" i="9" s="1"/>
  <c r="I397" i="9" s="1"/>
  <c r="I400" i="9" s="1"/>
  <c r="F392" i="9"/>
  <c r="H392" i="9" s="1"/>
  <c r="F378" i="9"/>
  <c r="F377" i="9"/>
  <c r="F376" i="9"/>
  <c r="F375" i="9"/>
  <c r="F373" i="9"/>
  <c r="F372" i="9"/>
  <c r="F370" i="9"/>
  <c r="F368" i="9"/>
  <c r="F366" i="9"/>
  <c r="F365" i="9"/>
  <c r="F364" i="9"/>
  <c r="F357" i="9"/>
  <c r="F356" i="9"/>
  <c r="F355" i="9"/>
  <c r="F352" i="9"/>
  <c r="F351" i="9"/>
  <c r="F349" i="9"/>
  <c r="F345" i="9"/>
  <c r="F344" i="9"/>
  <c r="F343" i="9"/>
  <c r="F342" i="9"/>
  <c r="F339" i="9"/>
  <c r="F338" i="9"/>
  <c r="F337" i="9"/>
  <c r="F336" i="9"/>
  <c r="F334" i="9"/>
  <c r="F333" i="9"/>
  <c r="F332" i="9"/>
  <c r="F322" i="9"/>
  <c r="F321" i="9"/>
  <c r="F317" i="9"/>
  <c r="F316" i="9"/>
  <c r="H316" i="9" s="1"/>
  <c r="I316" i="9" s="1"/>
  <c r="F313" i="9"/>
  <c r="F312" i="9"/>
  <c r="F311" i="9"/>
  <c r="F310" i="9"/>
  <c r="F308" i="9"/>
  <c r="F307" i="9"/>
  <c r="F306" i="9"/>
  <c r="F305" i="9"/>
  <c r="F293" i="9"/>
  <c r="F292" i="9"/>
  <c r="F291" i="9"/>
  <c r="F286" i="9"/>
  <c r="F285" i="9"/>
  <c r="F284" i="9"/>
  <c r="F283" i="9"/>
  <c r="F282" i="9"/>
  <c r="F281" i="9"/>
  <c r="F280" i="9"/>
  <c r="F279" i="9"/>
  <c r="F278" i="9"/>
  <c r="F273" i="9"/>
  <c r="F272" i="9"/>
  <c r="F271" i="9"/>
  <c r="F266" i="9"/>
  <c r="F265" i="9"/>
  <c r="F264" i="9"/>
  <c r="F262" i="9"/>
  <c r="F261" i="9"/>
  <c r="F260" i="9"/>
  <c r="F259" i="9"/>
  <c r="F258" i="9"/>
  <c r="F253" i="9"/>
  <c r="F252" i="9"/>
  <c r="F251" i="9"/>
  <c r="F246" i="9"/>
  <c r="F245" i="9"/>
  <c r="F244" i="9"/>
  <c r="F242" i="9"/>
  <c r="F241" i="9"/>
  <c r="F240" i="9"/>
  <c r="F239" i="9"/>
  <c r="F238" i="9"/>
  <c r="F237" i="9"/>
  <c r="F236" i="9"/>
  <c r="F231" i="9"/>
  <c r="F230" i="9"/>
  <c r="F229" i="9"/>
  <c r="F228" i="9"/>
  <c r="F227" i="9"/>
  <c r="F226" i="9"/>
  <c r="F221" i="9"/>
  <c r="F220" i="9"/>
  <c r="F219" i="9"/>
  <c r="F213" i="9"/>
  <c r="F212" i="9"/>
  <c r="F210" i="9"/>
  <c r="F209" i="9"/>
  <c r="F204" i="9"/>
  <c r="F203" i="9"/>
  <c r="F202" i="9"/>
  <c r="F200" i="9"/>
  <c r="F199" i="9"/>
  <c r="F198" i="9"/>
  <c r="F197" i="9"/>
  <c r="F196" i="9"/>
  <c r="F195" i="9"/>
  <c r="F194" i="9"/>
  <c r="F189" i="9"/>
  <c r="F188" i="9"/>
  <c r="F187" i="9"/>
  <c r="F182" i="9"/>
  <c r="F181" i="9"/>
  <c r="F180" i="9"/>
  <c r="F178" i="9"/>
  <c r="F177" i="9"/>
  <c r="F176" i="9"/>
  <c r="F175" i="9"/>
  <c r="F174" i="9"/>
  <c r="F173" i="9"/>
  <c r="F172" i="9"/>
  <c r="F170" i="9"/>
  <c r="F158" i="9"/>
  <c r="H129" i="9"/>
  <c r="H19" i="9"/>
  <c r="H10" i="9"/>
  <c r="I392" i="9" l="1"/>
  <c r="J450" i="9"/>
  <c r="C441" i="52" s="1"/>
  <c r="H365" i="9"/>
  <c r="H366" i="9"/>
  <c r="I366" i="9" s="1"/>
  <c r="H372" i="9"/>
  <c r="H375" i="9"/>
  <c r="H376" i="9"/>
  <c r="H377" i="9"/>
  <c r="H378" i="9"/>
  <c r="H364" i="9"/>
  <c r="H306" i="9"/>
  <c r="H307" i="9"/>
  <c r="H310" i="9"/>
  <c r="H311" i="9"/>
  <c r="H312" i="9"/>
  <c r="H317" i="9"/>
  <c r="I317" i="9" s="1"/>
  <c r="H321" i="9"/>
  <c r="H332" i="9"/>
  <c r="H333" i="9"/>
  <c r="H336" i="9"/>
  <c r="H337" i="9"/>
  <c r="H338" i="9"/>
  <c r="H342" i="9"/>
  <c r="H343" i="9"/>
  <c r="H344" i="9"/>
  <c r="H349" i="9"/>
  <c r="H351" i="9"/>
  <c r="H355" i="9"/>
  <c r="H356" i="9"/>
  <c r="H357" i="9"/>
  <c r="H305" i="9"/>
  <c r="I305" i="9" s="1"/>
  <c r="H292" i="9"/>
  <c r="I292" i="9" s="1"/>
  <c r="H293" i="9"/>
  <c r="H291" i="9"/>
  <c r="H279" i="9"/>
  <c r="H280" i="9"/>
  <c r="H281" i="9"/>
  <c r="H282" i="9"/>
  <c r="H283" i="9"/>
  <c r="H284" i="9"/>
  <c r="H285" i="9"/>
  <c r="H286" i="9"/>
  <c r="H278" i="9"/>
  <c r="H272" i="9"/>
  <c r="H273" i="9"/>
  <c r="H271" i="9"/>
  <c r="H259" i="9"/>
  <c r="H260" i="9"/>
  <c r="H261" i="9"/>
  <c r="H262" i="9"/>
  <c r="H264" i="9"/>
  <c r="H265" i="9"/>
  <c r="H266" i="9"/>
  <c r="H258" i="9"/>
  <c r="I395" i="9" l="1"/>
  <c r="J392" i="9"/>
  <c r="C388" i="52" s="1"/>
  <c r="C528" i="52" s="1"/>
  <c r="K392" i="9"/>
  <c r="H373" i="9"/>
  <c r="G374" i="9"/>
  <c r="H374" i="9" s="1"/>
  <c r="H370" i="9"/>
  <c r="H371" i="9"/>
  <c r="I371" i="9" s="1"/>
  <c r="J371" i="9" s="1"/>
  <c r="C367" i="52" s="1"/>
  <c r="H368" i="9"/>
  <c r="G369" i="9"/>
  <c r="H369" i="9" s="1"/>
  <c r="I369" i="9" s="1"/>
  <c r="J369" i="9" s="1"/>
  <c r="C365" i="52" s="1"/>
  <c r="H352" i="9"/>
  <c r="G354" i="9"/>
  <c r="H354" i="9" s="1"/>
  <c r="I354" i="9" s="1"/>
  <c r="J354" i="9" s="1"/>
  <c r="C350" i="52" s="1"/>
  <c r="H345" i="9"/>
  <c r="G346" i="9"/>
  <c r="H339" i="9"/>
  <c r="G340" i="9"/>
  <c r="H334" i="9"/>
  <c r="I334" i="9" s="1"/>
  <c r="G335" i="9"/>
  <c r="H322" i="9"/>
  <c r="G323" i="9"/>
  <c r="H319" i="9"/>
  <c r="G320" i="9"/>
  <c r="H320" i="9" s="1"/>
  <c r="I320" i="9" s="1"/>
  <c r="J320" i="9" s="1"/>
  <c r="C316" i="52" s="1"/>
  <c r="G314" i="9"/>
  <c r="H313" i="9"/>
  <c r="I313" i="9" s="1"/>
  <c r="H308" i="9"/>
  <c r="G309" i="9"/>
  <c r="H309" i="9" s="1"/>
  <c r="I309" i="9" s="1"/>
  <c r="J309" i="9" s="1"/>
  <c r="C305" i="52" s="1"/>
  <c r="H409" i="9"/>
  <c r="H429" i="9"/>
  <c r="H435" i="9"/>
  <c r="H408" i="9"/>
  <c r="H434" i="9"/>
  <c r="H252" i="9"/>
  <c r="H253" i="9"/>
  <c r="H251" i="9"/>
  <c r="H237" i="9"/>
  <c r="H238" i="9"/>
  <c r="H239" i="9"/>
  <c r="H240" i="9"/>
  <c r="H241" i="9"/>
  <c r="H242" i="9"/>
  <c r="H244" i="9"/>
  <c r="H245" i="9"/>
  <c r="H246" i="9"/>
  <c r="H236" i="9"/>
  <c r="H227" i="9"/>
  <c r="H228" i="9"/>
  <c r="H229" i="9"/>
  <c r="H230" i="9"/>
  <c r="H231" i="9"/>
  <c r="H226" i="9"/>
  <c r="H220" i="9"/>
  <c r="H221" i="9"/>
  <c r="H219" i="9"/>
  <c r="H212" i="9"/>
  <c r="H209" i="9"/>
  <c r="H195" i="9"/>
  <c r="H196" i="9"/>
  <c r="H197" i="9"/>
  <c r="H198" i="9"/>
  <c r="H199" i="9"/>
  <c r="H202" i="9"/>
  <c r="H203" i="9"/>
  <c r="H204" i="9"/>
  <c r="H194" i="9"/>
  <c r="H188" i="9"/>
  <c r="H189" i="9"/>
  <c r="H187" i="9"/>
  <c r="H173" i="9"/>
  <c r="H174" i="9"/>
  <c r="H175" i="9"/>
  <c r="H176" i="9"/>
  <c r="H180" i="9"/>
  <c r="H181" i="9"/>
  <c r="H182" i="9"/>
  <c r="H172" i="9"/>
  <c r="I172" i="9" s="1"/>
  <c r="H170" i="9"/>
  <c r="I160" i="9"/>
  <c r="G142" i="9"/>
  <c r="J395" i="9" l="1"/>
  <c r="I434" i="9"/>
  <c r="J434" i="9" s="1"/>
  <c r="C430" i="52" s="1"/>
  <c r="I435" i="9"/>
  <c r="J435" i="9" s="1"/>
  <c r="C431" i="52" s="1"/>
  <c r="I429" i="9"/>
  <c r="K429" i="9" s="1"/>
  <c r="I409" i="9"/>
  <c r="J409" i="9" s="1"/>
  <c r="C405" i="52" s="1"/>
  <c r="I408" i="9"/>
  <c r="H142" i="9"/>
  <c r="I142" i="9" s="1"/>
  <c r="J142" i="9" s="1"/>
  <c r="C138" i="52" s="1"/>
  <c r="I374" i="9"/>
  <c r="J374" i="9" s="1"/>
  <c r="C370" i="52" s="1"/>
  <c r="G347" i="9"/>
  <c r="H346" i="9"/>
  <c r="I346" i="9" s="1"/>
  <c r="J346" i="9" s="1"/>
  <c r="C342" i="52" s="1"/>
  <c r="H340" i="9"/>
  <c r="I340" i="9" s="1"/>
  <c r="J340" i="9" s="1"/>
  <c r="C336" i="52" s="1"/>
  <c r="G341" i="9"/>
  <c r="H341" i="9" s="1"/>
  <c r="I341" i="9" s="1"/>
  <c r="J341" i="9" s="1"/>
  <c r="C337" i="52" s="1"/>
  <c r="H335" i="9"/>
  <c r="I335" i="9" s="1"/>
  <c r="J335" i="9" s="1"/>
  <c r="C331" i="52" s="1"/>
  <c r="H323" i="9"/>
  <c r="I323" i="9" s="1"/>
  <c r="J323" i="9" s="1"/>
  <c r="C319" i="52" s="1"/>
  <c r="G324" i="9"/>
  <c r="G315" i="9"/>
  <c r="H315" i="9" s="1"/>
  <c r="I315" i="9" s="1"/>
  <c r="J315" i="9" s="1"/>
  <c r="C311" i="52" s="1"/>
  <c r="H314" i="9"/>
  <c r="I314" i="9" s="1"/>
  <c r="J314" i="9" s="1"/>
  <c r="C310" i="52" s="1"/>
  <c r="H213" i="9"/>
  <c r="G214" i="9"/>
  <c r="H214" i="9" s="1"/>
  <c r="I214" i="9" s="1"/>
  <c r="J214" i="9" s="1"/>
  <c r="C210" i="52" s="1"/>
  <c r="H210" i="9"/>
  <c r="I210" i="9" s="1"/>
  <c r="G211" i="9"/>
  <c r="H211" i="9" s="1"/>
  <c r="I211" i="9" s="1"/>
  <c r="J211" i="9" s="1"/>
  <c r="C207" i="52" s="1"/>
  <c r="H200" i="9"/>
  <c r="I200" i="9" s="1"/>
  <c r="G201" i="9"/>
  <c r="H201" i="9" s="1"/>
  <c r="I201" i="9" s="1"/>
  <c r="J201" i="9" s="1"/>
  <c r="C197" i="52" s="1"/>
  <c r="H178" i="9"/>
  <c r="I178" i="9" s="1"/>
  <c r="G179" i="9"/>
  <c r="H179" i="9" s="1"/>
  <c r="I179" i="9" s="1"/>
  <c r="J179" i="9" s="1"/>
  <c r="C175" i="52" s="1"/>
  <c r="G157" i="9"/>
  <c r="H157" i="9" s="1"/>
  <c r="H177" i="9"/>
  <c r="K434" i="9" l="1"/>
  <c r="K435" i="9"/>
  <c r="J429" i="9"/>
  <c r="C425" i="52" s="1"/>
  <c r="I431" i="9"/>
  <c r="J437" i="9"/>
  <c r="I411" i="9"/>
  <c r="J408" i="9"/>
  <c r="C404" i="52" s="1"/>
  <c r="K408" i="9"/>
  <c r="K409" i="9"/>
  <c r="I157" i="9"/>
  <c r="J157" i="9" s="1"/>
  <c r="C153" i="52" s="1"/>
  <c r="G348" i="9"/>
  <c r="H348" i="9" s="1"/>
  <c r="I348" i="9" s="1"/>
  <c r="J348" i="9" s="1"/>
  <c r="C344" i="52" s="1"/>
  <c r="H347" i="9"/>
  <c r="I347" i="9" s="1"/>
  <c r="J347" i="9" s="1"/>
  <c r="C343" i="52" s="1"/>
  <c r="G325" i="9"/>
  <c r="H324" i="9"/>
  <c r="I324" i="9" s="1"/>
  <c r="J324" i="9" s="1"/>
  <c r="C320" i="52" s="1"/>
  <c r="H127" i="9"/>
  <c r="G128" i="9"/>
  <c r="H128" i="9" s="1"/>
  <c r="I128" i="9" s="1"/>
  <c r="J128" i="9" s="1"/>
  <c r="C124" i="52" s="1"/>
  <c r="H131" i="9"/>
  <c r="I131" i="9" s="1"/>
  <c r="J411" i="9" l="1"/>
  <c r="J431" i="9"/>
  <c r="G326" i="9"/>
  <c r="H325" i="9"/>
  <c r="I325" i="9" s="1"/>
  <c r="J325" i="9" s="1"/>
  <c r="C321" i="52" s="1"/>
  <c r="G327" i="9" l="1"/>
  <c r="H326" i="9"/>
  <c r="I326" i="9" s="1"/>
  <c r="J326" i="9" s="1"/>
  <c r="C322" i="52" s="1"/>
  <c r="H121" i="9"/>
  <c r="G122" i="9"/>
  <c r="H122" i="9" s="1"/>
  <c r="I122" i="9" s="1"/>
  <c r="J122" i="9" s="1"/>
  <c r="C118" i="52" s="1"/>
  <c r="H116" i="9"/>
  <c r="I116" i="9" s="1"/>
  <c r="G117" i="9"/>
  <c r="H117" i="9" s="1"/>
  <c r="I117" i="9" s="1"/>
  <c r="J117" i="9" s="1"/>
  <c r="C113" i="52" s="1"/>
  <c r="G120" i="9"/>
  <c r="H120" i="9" s="1"/>
  <c r="I120" i="9" s="1"/>
  <c r="J120" i="9" s="1"/>
  <c r="C116" i="52" s="1"/>
  <c r="H107" i="9"/>
  <c r="H108" i="9"/>
  <c r="H110" i="9"/>
  <c r="H96" i="9"/>
  <c r="H97" i="9"/>
  <c r="I97" i="9" s="1"/>
  <c r="H99" i="9"/>
  <c r="H92" i="9"/>
  <c r="H73" i="9"/>
  <c r="H74" i="9"/>
  <c r="H75" i="9"/>
  <c r="H76" i="9"/>
  <c r="H77" i="9"/>
  <c r="H78" i="9"/>
  <c r="H79" i="9"/>
  <c r="H80" i="9"/>
  <c r="H81" i="9"/>
  <c r="H82" i="9"/>
  <c r="H83" i="9"/>
  <c r="H72" i="9"/>
  <c r="H57" i="9"/>
  <c r="H58" i="9"/>
  <c r="H59" i="9"/>
  <c r="H60" i="9"/>
  <c r="H61" i="9"/>
  <c r="H62" i="9"/>
  <c r="H63" i="9"/>
  <c r="H64" i="9"/>
  <c r="H65" i="9"/>
  <c r="H66" i="9"/>
  <c r="H67" i="9"/>
  <c r="H56" i="9"/>
  <c r="H42" i="9"/>
  <c r="H43" i="9"/>
  <c r="H44" i="9"/>
  <c r="H45" i="9"/>
  <c r="H46" i="9"/>
  <c r="H47" i="9"/>
  <c r="H48" i="9"/>
  <c r="H49" i="9"/>
  <c r="H50" i="9"/>
  <c r="H51" i="9"/>
  <c r="H41" i="9"/>
  <c r="H36" i="9"/>
  <c r="H35" i="9"/>
  <c r="H34" i="9"/>
  <c r="H33" i="9"/>
  <c r="H32" i="9"/>
  <c r="H31" i="9"/>
  <c r="H30" i="9"/>
  <c r="H29" i="9"/>
  <c r="H28" i="9"/>
  <c r="H27" i="9"/>
  <c r="H26" i="9"/>
  <c r="H25" i="9"/>
  <c r="H11" i="9"/>
  <c r="H12" i="9"/>
  <c r="H13" i="9"/>
  <c r="H14" i="9"/>
  <c r="H15" i="9"/>
  <c r="H16" i="9"/>
  <c r="H17" i="9"/>
  <c r="H18" i="9"/>
  <c r="H20" i="9"/>
  <c r="G328" i="9" l="1"/>
  <c r="H327" i="9"/>
  <c r="I327" i="9" s="1"/>
  <c r="J327" i="9" s="1"/>
  <c r="C323" i="52" s="1"/>
  <c r="H105" i="9"/>
  <c r="H106" i="9"/>
  <c r="I106" i="9" s="1"/>
  <c r="J106" i="9" s="1"/>
  <c r="C102" i="52" s="1"/>
  <c r="H94" i="9"/>
  <c r="H95" i="9"/>
  <c r="I95" i="9" l="1"/>
  <c r="J95" i="9" s="1"/>
  <c r="C91" i="52" s="1"/>
  <c r="G329" i="9"/>
  <c r="H328" i="9"/>
  <c r="I328" i="9" s="1"/>
  <c r="J328" i="9" s="1"/>
  <c r="C324" i="52" s="1"/>
  <c r="G330" i="9" l="1"/>
  <c r="H329" i="9"/>
  <c r="I329" i="9" s="1"/>
  <c r="J329" i="9" s="1"/>
  <c r="C325" i="52" s="1"/>
  <c r="J456" i="9"/>
  <c r="C447" i="52" s="1"/>
  <c r="C536" i="52" s="1"/>
  <c r="J455" i="9"/>
  <c r="C446" i="52" s="1"/>
  <c r="C535" i="52" s="1"/>
  <c r="J454" i="9"/>
  <c r="C445" i="52" s="1"/>
  <c r="C533" i="52" s="1"/>
  <c r="G533" i="52" s="1"/>
  <c r="H533" i="52" s="1"/>
  <c r="J453" i="9"/>
  <c r="C444" i="52" s="1"/>
  <c r="C532" i="52" s="1"/>
  <c r="J452" i="9"/>
  <c r="C443" i="52" s="1"/>
  <c r="C531" i="52" s="1"/>
  <c r="J451" i="9"/>
  <c r="C442" i="52" s="1"/>
  <c r="D458" i="9"/>
  <c r="G331" i="9" l="1"/>
  <c r="H331" i="9" s="1"/>
  <c r="I331" i="9" s="1"/>
  <c r="J331" i="9" s="1"/>
  <c r="C327" i="52" s="1"/>
  <c r="H330" i="9"/>
  <c r="I330" i="9" s="1"/>
  <c r="J330" i="9" s="1"/>
  <c r="C326" i="52" s="1"/>
  <c r="J458" i="9"/>
  <c r="A13" i="12" l="1"/>
  <c r="C27" i="12"/>
  <c r="A19" i="12" l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14" i="12"/>
  <c r="A15" i="12" s="1"/>
  <c r="A16" i="12" s="1"/>
  <c r="A17" i="12" s="1"/>
  <c r="A18" i="12" s="1"/>
  <c r="A41" i="12" l="1"/>
  <c r="I437" i="9" l="1"/>
  <c r="I278" i="9" l="1"/>
  <c r="I259" i="9"/>
  <c r="I187" i="9"/>
  <c r="I176" i="9"/>
  <c r="J140" i="9"/>
  <c r="C136" i="52" s="1"/>
  <c r="I127" i="9"/>
  <c r="I94" i="9"/>
  <c r="I36" i="9"/>
  <c r="C431" i="9"/>
  <c r="C423" i="9"/>
  <c r="C395" i="9"/>
  <c r="C295" i="9"/>
  <c r="C288" i="9"/>
  <c r="C275" i="9"/>
  <c r="C268" i="9"/>
  <c r="C255" i="9"/>
  <c r="C248" i="9"/>
  <c r="C233" i="9"/>
  <c r="C223" i="9"/>
  <c r="C216" i="9"/>
  <c r="C206" i="9"/>
  <c r="C191" i="9"/>
  <c r="C184" i="9"/>
  <c r="C153" i="9"/>
  <c r="C165" i="9" s="1"/>
  <c r="C85" i="9"/>
  <c r="F85" i="9" s="1"/>
  <c r="C69" i="9"/>
  <c r="F69" i="9" s="1"/>
  <c r="C53" i="9"/>
  <c r="F53" i="9" s="1"/>
  <c r="C38" i="9"/>
  <c r="F38" i="9" s="1"/>
  <c r="C22" i="9"/>
  <c r="F500" i="3"/>
  <c r="F514" i="3" s="1"/>
  <c r="F510" i="3"/>
  <c r="F512" i="3"/>
  <c r="F474" i="3"/>
  <c r="F494" i="3" s="1"/>
  <c r="F475" i="3"/>
  <c r="F478" i="3"/>
  <c r="F479" i="3"/>
  <c r="F480" i="3"/>
  <c r="F481" i="3"/>
  <c r="F487" i="3"/>
  <c r="F488" i="3"/>
  <c r="F489" i="3"/>
  <c r="F492" i="3"/>
  <c r="F468" i="3"/>
  <c r="F460" i="3"/>
  <c r="F440" i="3"/>
  <c r="F441" i="3"/>
  <c r="F444" i="3" s="1"/>
  <c r="F83" i="3"/>
  <c r="F74" i="3"/>
  <c r="F66" i="3"/>
  <c r="F58" i="3"/>
  <c r="F50" i="3"/>
  <c r="F46" i="3"/>
  <c r="F36" i="3"/>
  <c r="F90" i="3"/>
  <c r="F98" i="3"/>
  <c r="F106" i="3"/>
  <c r="F108" i="3"/>
  <c r="F167" i="3"/>
  <c r="F157" i="3"/>
  <c r="F143" i="3"/>
  <c r="F125" i="3"/>
  <c r="F132" i="3" s="1"/>
  <c r="F169" i="3" s="1"/>
  <c r="F122" i="3"/>
  <c r="F179" i="3"/>
  <c r="F192" i="3"/>
  <c r="F198" i="3"/>
  <c r="F207" i="3"/>
  <c r="F215" i="3"/>
  <c r="F217" i="3" s="1"/>
  <c r="F224" i="3"/>
  <c r="F227" i="3" s="1"/>
  <c r="F234" i="3"/>
  <c r="F240" i="3"/>
  <c r="F242" i="3"/>
  <c r="F243" i="3" s="1"/>
  <c r="F249" i="3"/>
  <c r="F310" i="3"/>
  <c r="F313" i="3"/>
  <c r="F315" i="3" s="1"/>
  <c r="F304" i="3"/>
  <c r="F306" i="3"/>
  <c r="F295" i="3"/>
  <c r="F296" i="3"/>
  <c r="F297" i="3"/>
  <c r="F283" i="3"/>
  <c r="F285" i="3"/>
  <c r="F290" i="3" s="1"/>
  <c r="F286" i="3"/>
  <c r="F287" i="3"/>
  <c r="F288" i="3"/>
  <c r="F289" i="3"/>
  <c r="F280" i="3"/>
  <c r="F275" i="3"/>
  <c r="F265" i="3"/>
  <c r="F350" i="3"/>
  <c r="F351" i="3"/>
  <c r="F352" i="3"/>
  <c r="F353" i="3"/>
  <c r="F354" i="3"/>
  <c r="F355" i="3"/>
  <c r="F358" i="3"/>
  <c r="F360" i="3"/>
  <c r="F361" i="3"/>
  <c r="F385" i="3"/>
  <c r="F387" i="3" s="1"/>
  <c r="F378" i="3"/>
  <c r="F372" i="3"/>
  <c r="F374" i="3"/>
  <c r="F368" i="3"/>
  <c r="F347" i="3"/>
  <c r="F341" i="3"/>
  <c r="F331" i="3"/>
  <c r="F336" i="3" s="1"/>
  <c r="F332" i="3"/>
  <c r="F324" i="3"/>
  <c r="F320" i="3"/>
  <c r="F392" i="3"/>
  <c r="F394" i="3"/>
  <c r="F421" i="3"/>
  <c r="F411" i="3"/>
  <c r="F8" i="3"/>
  <c r="F24" i="3" s="1"/>
  <c r="F9" i="3"/>
  <c r="F10" i="3"/>
  <c r="F12" i="3"/>
  <c r="F19" i="3"/>
  <c r="F20" i="3"/>
  <c r="D49" i="2"/>
  <c r="B49" i="2"/>
  <c r="D29" i="2"/>
  <c r="C29" i="2"/>
  <c r="B29" i="2"/>
  <c r="D11" i="2"/>
  <c r="B11" i="2"/>
  <c r="E510" i="3"/>
  <c r="E500" i="3"/>
  <c r="E514" i="3"/>
  <c r="E516" i="3" s="1"/>
  <c r="E489" i="3"/>
  <c r="E488" i="3"/>
  <c r="E487" i="3"/>
  <c r="E481" i="3"/>
  <c r="E480" i="3"/>
  <c r="E479" i="3"/>
  <c r="E478" i="3"/>
  <c r="E475" i="3"/>
  <c r="E474" i="3"/>
  <c r="E441" i="3"/>
  <c r="E440" i="3"/>
  <c r="E401" i="3"/>
  <c r="E411" i="3"/>
  <c r="E394" i="3"/>
  <c r="E392" i="3"/>
  <c r="E421" i="3" s="1"/>
  <c r="E353" i="3"/>
  <c r="E352" i="3"/>
  <c r="E350" i="3"/>
  <c r="E372" i="3"/>
  <c r="E360" i="3"/>
  <c r="E358" i="3"/>
  <c r="E355" i="3"/>
  <c r="E354" i="3"/>
  <c r="E351" i="3"/>
  <c r="E332" i="3"/>
  <c r="E331" i="3"/>
  <c r="E310" i="3"/>
  <c r="E304" i="3"/>
  <c r="E306" i="3" s="1"/>
  <c r="E315" i="3" s="1"/>
  <c r="E296" i="3"/>
  <c r="E295" i="3"/>
  <c r="E289" i="3"/>
  <c r="E288" i="3"/>
  <c r="E287" i="3"/>
  <c r="E286" i="3"/>
  <c r="E283" i="3"/>
  <c r="E290" i="3" s="1"/>
  <c r="E224" i="3"/>
  <c r="E227" i="3"/>
  <c r="E242" i="3"/>
  <c r="E240" i="3"/>
  <c r="E215" i="3"/>
  <c r="E217" i="3"/>
  <c r="E125" i="3"/>
  <c r="E132" i="3"/>
  <c r="E20" i="3"/>
  <c r="E19" i="3"/>
  <c r="E12" i="3"/>
  <c r="E10" i="3"/>
  <c r="E9" i="3"/>
  <c r="E8" i="3"/>
  <c r="E24" i="3" s="1"/>
  <c r="E572" i="3"/>
  <c r="E574" i="3" s="1"/>
  <c r="E559" i="3"/>
  <c r="E539" i="3"/>
  <c r="E494" i="3"/>
  <c r="E468" i="3"/>
  <c r="E460" i="3"/>
  <c r="E444" i="3"/>
  <c r="E83" i="3"/>
  <c r="E74" i="3"/>
  <c r="E66" i="3"/>
  <c r="E58" i="3"/>
  <c r="E50" i="3"/>
  <c r="E46" i="3"/>
  <c r="E108" i="3" s="1"/>
  <c r="E423" i="3" s="1"/>
  <c r="E36" i="3"/>
  <c r="E90" i="3"/>
  <c r="E98" i="3"/>
  <c r="E106" i="3"/>
  <c r="E167" i="3"/>
  <c r="E157" i="3"/>
  <c r="E143" i="3"/>
  <c r="E169" i="3" s="1"/>
  <c r="E122" i="3"/>
  <c r="E179" i="3"/>
  <c r="E192" i="3"/>
  <c r="E198" i="3"/>
  <c r="E207" i="3"/>
  <c r="E234" i="3"/>
  <c r="E243" i="3"/>
  <c r="E249" i="3"/>
  <c r="E313" i="3"/>
  <c r="E297" i="3"/>
  <c r="E280" i="3"/>
  <c r="E275" i="3"/>
  <c r="E265" i="3"/>
  <c r="E361" i="3"/>
  <c r="E385" i="3"/>
  <c r="E378" i="3"/>
  <c r="E387" i="3" s="1"/>
  <c r="E374" i="3"/>
  <c r="E368" i="3"/>
  <c r="E347" i="3"/>
  <c r="E341" i="3"/>
  <c r="E336" i="3"/>
  <c r="E324" i="3"/>
  <c r="E320" i="3"/>
  <c r="E251" i="3"/>
  <c r="E22" i="9" l="1"/>
  <c r="F22" i="9"/>
  <c r="C300" i="9"/>
  <c r="C439" i="9"/>
  <c r="C491" i="9"/>
  <c r="D124" i="9"/>
  <c r="F124" i="9" s="1"/>
  <c r="E233" i="9"/>
  <c r="F233" i="9" s="1"/>
  <c r="E102" i="9"/>
  <c r="J72" i="9"/>
  <c r="C68" i="52" s="1"/>
  <c r="E85" i="9"/>
  <c r="I139" i="9"/>
  <c r="I147" i="9"/>
  <c r="J25" i="9"/>
  <c r="C21" i="52" s="1"/>
  <c r="E38" i="9"/>
  <c r="J41" i="9"/>
  <c r="C37" i="52" s="1"/>
  <c r="E53" i="9"/>
  <c r="E359" i="9"/>
  <c r="F359" i="9" s="1"/>
  <c r="E216" i="9"/>
  <c r="F216" i="9" s="1"/>
  <c r="I236" i="9"/>
  <c r="J236" i="9" s="1"/>
  <c r="C232" i="52" s="1"/>
  <c r="E248" i="9"/>
  <c r="F248" i="9" s="1"/>
  <c r="E206" i="9"/>
  <c r="F206" i="9" s="1"/>
  <c r="I251" i="9"/>
  <c r="J251" i="9" s="1"/>
  <c r="C247" i="52" s="1"/>
  <c r="J118" i="9"/>
  <c r="C114" i="52" s="1"/>
  <c r="E113" i="9"/>
  <c r="I170" i="9"/>
  <c r="H425" i="9"/>
  <c r="I425" i="9" s="1"/>
  <c r="I177" i="9"/>
  <c r="J177" i="9" s="1"/>
  <c r="C173" i="52" s="1"/>
  <c r="I13" i="9"/>
  <c r="J13" i="9" s="1"/>
  <c r="C9" i="52" s="1"/>
  <c r="I15" i="9"/>
  <c r="J15" i="9" s="1"/>
  <c r="C11" i="52" s="1"/>
  <c r="I17" i="9"/>
  <c r="J17" i="9" s="1"/>
  <c r="C13" i="52" s="1"/>
  <c r="I19" i="9"/>
  <c r="J19" i="9" s="1"/>
  <c r="C15" i="52" s="1"/>
  <c r="I27" i="9"/>
  <c r="J27" i="9" s="1"/>
  <c r="C23" i="52" s="1"/>
  <c r="J29" i="9"/>
  <c r="C25" i="52" s="1"/>
  <c r="I31" i="9"/>
  <c r="J31" i="9" s="1"/>
  <c r="C27" i="52" s="1"/>
  <c r="I33" i="9"/>
  <c r="J33" i="9" s="1"/>
  <c r="C29" i="52" s="1"/>
  <c r="I35" i="9"/>
  <c r="J35" i="9" s="1"/>
  <c r="C31" i="52" s="1"/>
  <c r="I43" i="9"/>
  <c r="J43" i="9" s="1"/>
  <c r="C39" i="52" s="1"/>
  <c r="J45" i="9"/>
  <c r="C41" i="52" s="1"/>
  <c r="I47" i="9"/>
  <c r="J47" i="9" s="1"/>
  <c r="C43" i="52" s="1"/>
  <c r="I49" i="9"/>
  <c r="I51" i="9"/>
  <c r="J51" i="9" s="1"/>
  <c r="C47" i="52" s="1"/>
  <c r="J57" i="9"/>
  <c r="C53" i="52" s="1"/>
  <c r="I59" i="9"/>
  <c r="J59" i="9" s="1"/>
  <c r="C55" i="52" s="1"/>
  <c r="I61" i="9"/>
  <c r="J61" i="9" s="1"/>
  <c r="C57" i="52" s="1"/>
  <c r="I63" i="9"/>
  <c r="J63" i="9" s="1"/>
  <c r="C59" i="52" s="1"/>
  <c r="I65" i="9"/>
  <c r="J65" i="9" s="1"/>
  <c r="C61" i="52" s="1"/>
  <c r="I67" i="9"/>
  <c r="J67" i="9" s="1"/>
  <c r="C63" i="52" s="1"/>
  <c r="J73" i="9"/>
  <c r="C69" i="52" s="1"/>
  <c r="I75" i="9"/>
  <c r="J75" i="9" s="1"/>
  <c r="C71" i="52" s="1"/>
  <c r="I77" i="9"/>
  <c r="J77" i="9" s="1"/>
  <c r="C73" i="52" s="1"/>
  <c r="I79" i="9"/>
  <c r="J79" i="9" s="1"/>
  <c r="C75" i="52" s="1"/>
  <c r="I81" i="9"/>
  <c r="J81" i="9" s="1"/>
  <c r="C77" i="52" s="1"/>
  <c r="I83" i="9"/>
  <c r="J83" i="9" s="1"/>
  <c r="C79" i="52" s="1"/>
  <c r="I107" i="9"/>
  <c r="J107" i="9" s="1"/>
  <c r="C103" i="52" s="1"/>
  <c r="I110" i="9"/>
  <c r="J110" i="9" s="1"/>
  <c r="C106" i="52" s="1"/>
  <c r="I119" i="9"/>
  <c r="I141" i="9"/>
  <c r="J141" i="9" s="1"/>
  <c r="C137" i="52" s="1"/>
  <c r="I150" i="9"/>
  <c r="J150" i="9" s="1"/>
  <c r="C146" i="52" s="1"/>
  <c r="I163" i="9"/>
  <c r="G163" i="9" s="1"/>
  <c r="I174" i="9"/>
  <c r="J174" i="9" s="1"/>
  <c r="C170" i="52" s="1"/>
  <c r="J176" i="9"/>
  <c r="C172" i="52" s="1"/>
  <c r="J178" i="9"/>
  <c r="C174" i="52" s="1"/>
  <c r="I181" i="9"/>
  <c r="J181" i="9" s="1"/>
  <c r="C177" i="52" s="1"/>
  <c r="I189" i="9"/>
  <c r="J189" i="9" s="1"/>
  <c r="C185" i="52" s="1"/>
  <c r="I195" i="9"/>
  <c r="J195" i="9" s="1"/>
  <c r="C191" i="52" s="1"/>
  <c r="I197" i="9"/>
  <c r="J197" i="9" s="1"/>
  <c r="C193" i="52" s="1"/>
  <c r="I199" i="9"/>
  <c r="J199" i="9" s="1"/>
  <c r="C195" i="52" s="1"/>
  <c r="I203" i="9"/>
  <c r="J203" i="9" s="1"/>
  <c r="C199" i="52" s="1"/>
  <c r="J200" i="9"/>
  <c r="C196" i="52" s="1"/>
  <c r="I213" i="9"/>
  <c r="I221" i="9"/>
  <c r="J221" i="9" s="1"/>
  <c r="C217" i="52" s="1"/>
  <c r="I226" i="9"/>
  <c r="J226" i="9" s="1"/>
  <c r="C222" i="52" s="1"/>
  <c r="I228" i="9"/>
  <c r="J228" i="9" s="1"/>
  <c r="C224" i="52" s="1"/>
  <c r="I230" i="9"/>
  <c r="J230" i="9" s="1"/>
  <c r="C226" i="52" s="1"/>
  <c r="I238" i="9"/>
  <c r="J238" i="9" s="1"/>
  <c r="C234" i="52" s="1"/>
  <c r="I239" i="9"/>
  <c r="J239" i="9" s="1"/>
  <c r="C235" i="52" s="1"/>
  <c r="I242" i="9"/>
  <c r="J242" i="9" s="1"/>
  <c r="C238" i="52" s="1"/>
  <c r="I245" i="9"/>
  <c r="J245" i="9" s="1"/>
  <c r="C241" i="52" s="1"/>
  <c r="I253" i="9"/>
  <c r="J253" i="9" s="1"/>
  <c r="C249" i="52" s="1"/>
  <c r="I261" i="9"/>
  <c r="J261" i="9" s="1"/>
  <c r="C257" i="52" s="1"/>
  <c r="I265" i="9"/>
  <c r="J265" i="9" s="1"/>
  <c r="C261" i="52" s="1"/>
  <c r="I271" i="9"/>
  <c r="J271" i="9" s="1"/>
  <c r="C267" i="52" s="1"/>
  <c r="I273" i="9"/>
  <c r="J273" i="9" s="1"/>
  <c r="C269" i="52" s="1"/>
  <c r="I280" i="9"/>
  <c r="J280" i="9" s="1"/>
  <c r="C276" i="52" s="1"/>
  <c r="I282" i="9"/>
  <c r="J282" i="9" s="1"/>
  <c r="C278" i="52" s="1"/>
  <c r="I284" i="9"/>
  <c r="J284" i="9" s="1"/>
  <c r="C280" i="52" s="1"/>
  <c r="I286" i="9"/>
  <c r="J286" i="9" s="1"/>
  <c r="C282" i="52" s="1"/>
  <c r="J292" i="9"/>
  <c r="C288" i="52" s="1"/>
  <c r="I307" i="9"/>
  <c r="J307" i="9" s="1"/>
  <c r="C303" i="52" s="1"/>
  <c r="C485" i="52" s="1"/>
  <c r="G485" i="52" s="1"/>
  <c r="H485" i="52" s="1"/>
  <c r="I311" i="9"/>
  <c r="J311" i="9" s="1"/>
  <c r="C307" i="52" s="1"/>
  <c r="C488" i="52" s="1"/>
  <c r="G488" i="52" s="1"/>
  <c r="H488" i="52" s="1"/>
  <c r="I312" i="9"/>
  <c r="J312" i="9" s="1"/>
  <c r="C308" i="52" s="1"/>
  <c r="C489" i="52" s="1"/>
  <c r="G489" i="52" s="1"/>
  <c r="H489" i="52" s="1"/>
  <c r="J316" i="9"/>
  <c r="C312" i="52" s="1"/>
  <c r="C491" i="52" s="1"/>
  <c r="G491" i="52" s="1"/>
  <c r="H491" i="52" s="1"/>
  <c r="I319" i="9"/>
  <c r="J319" i="9" s="1"/>
  <c r="C315" i="52" s="1"/>
  <c r="C493" i="52" s="1"/>
  <c r="G493" i="52" s="1"/>
  <c r="H493" i="52" s="1"/>
  <c r="I322" i="9"/>
  <c r="J322" i="9" s="1"/>
  <c r="C318" i="52" s="1"/>
  <c r="C495" i="52" s="1"/>
  <c r="G495" i="52" s="1"/>
  <c r="H495" i="52" s="1"/>
  <c r="I333" i="9"/>
  <c r="J333" i="9" s="1"/>
  <c r="C329" i="52" s="1"/>
  <c r="C497" i="52" s="1"/>
  <c r="G497" i="52" s="1"/>
  <c r="H497" i="52" s="1"/>
  <c r="I336" i="9"/>
  <c r="J336" i="9" s="1"/>
  <c r="C332" i="52" s="1"/>
  <c r="C499" i="52" s="1"/>
  <c r="G499" i="52" s="1"/>
  <c r="H499" i="52" s="1"/>
  <c r="I338" i="9"/>
  <c r="J338" i="9" s="1"/>
  <c r="C334" i="52" s="1"/>
  <c r="C501" i="52" s="1"/>
  <c r="G501" i="52" s="1"/>
  <c r="H501" i="52" s="1"/>
  <c r="I342" i="9"/>
  <c r="J342" i="9" s="1"/>
  <c r="C338" i="52" s="1"/>
  <c r="C503" i="52" s="1"/>
  <c r="G503" i="52" s="1"/>
  <c r="H503" i="52" s="1"/>
  <c r="I344" i="9"/>
  <c r="J344" i="9" s="1"/>
  <c r="C340" i="52" s="1"/>
  <c r="C505" i="52" s="1"/>
  <c r="G505" i="52" s="1"/>
  <c r="H505" i="52" s="1"/>
  <c r="I349" i="9"/>
  <c r="J349" i="9" s="1"/>
  <c r="C345" i="52" s="1"/>
  <c r="C507" i="52" s="1"/>
  <c r="G507" i="52" s="1"/>
  <c r="H507" i="52" s="1"/>
  <c r="I352" i="9"/>
  <c r="J352" i="9" s="1"/>
  <c r="C348" i="52" s="1"/>
  <c r="C510" i="52" s="1"/>
  <c r="G510" i="52" s="1"/>
  <c r="H510" i="52" s="1"/>
  <c r="I356" i="9"/>
  <c r="J356" i="9" s="1"/>
  <c r="C352" i="52" s="1"/>
  <c r="C512" i="52" s="1"/>
  <c r="G512" i="52" s="1"/>
  <c r="H512" i="52" s="1"/>
  <c r="I364" i="9"/>
  <c r="J366" i="9"/>
  <c r="C362" i="52" s="1"/>
  <c r="C516" i="52" s="1"/>
  <c r="G516" i="52" s="1"/>
  <c r="H516" i="52" s="1"/>
  <c r="I372" i="9"/>
  <c r="J372" i="9" s="1"/>
  <c r="C368" i="52" s="1"/>
  <c r="C520" i="52" s="1"/>
  <c r="G520" i="52" s="1"/>
  <c r="H520" i="52" s="1"/>
  <c r="I375" i="9"/>
  <c r="J375" i="9" s="1"/>
  <c r="C371" i="52" s="1"/>
  <c r="C522" i="52" s="1"/>
  <c r="G522" i="52" s="1"/>
  <c r="H522" i="52" s="1"/>
  <c r="I377" i="9"/>
  <c r="J377" i="9" s="1"/>
  <c r="C373" i="52" s="1"/>
  <c r="C524" i="52" s="1"/>
  <c r="G524" i="52" s="1"/>
  <c r="H524" i="52" s="1"/>
  <c r="I370" i="9"/>
  <c r="J370" i="9" s="1"/>
  <c r="C366" i="52" s="1"/>
  <c r="C519" i="52" s="1"/>
  <c r="G519" i="52" s="1"/>
  <c r="H519" i="52" s="1"/>
  <c r="F402" i="9"/>
  <c r="H402" i="9" s="1"/>
  <c r="I402" i="9" s="1"/>
  <c r="I405" i="9" s="1"/>
  <c r="I12" i="9"/>
  <c r="J12" i="9" s="1"/>
  <c r="C8" i="52" s="1"/>
  <c r="J14" i="9"/>
  <c r="C10" i="52" s="1"/>
  <c r="I16" i="9"/>
  <c r="J16" i="9" s="1"/>
  <c r="C12" i="52" s="1"/>
  <c r="I18" i="9"/>
  <c r="J18" i="9" s="1"/>
  <c r="C14" i="52" s="1"/>
  <c r="I20" i="9"/>
  <c r="J20" i="9" s="1"/>
  <c r="C16" i="52" s="1"/>
  <c r="J26" i="9"/>
  <c r="C22" i="52" s="1"/>
  <c r="I28" i="9"/>
  <c r="J28" i="9" s="1"/>
  <c r="C24" i="52" s="1"/>
  <c r="I30" i="9"/>
  <c r="J30" i="9" s="1"/>
  <c r="C26" i="52" s="1"/>
  <c r="I32" i="9"/>
  <c r="J32" i="9" s="1"/>
  <c r="C28" i="52" s="1"/>
  <c r="I34" i="9"/>
  <c r="J34" i="9" s="1"/>
  <c r="C30" i="52" s="1"/>
  <c r="J42" i="9"/>
  <c r="C38" i="52" s="1"/>
  <c r="I44" i="9"/>
  <c r="J44" i="9" s="1"/>
  <c r="C40" i="52" s="1"/>
  <c r="I46" i="9"/>
  <c r="J46" i="9" s="1"/>
  <c r="C42" i="52" s="1"/>
  <c r="I48" i="9"/>
  <c r="J48" i="9" s="1"/>
  <c r="C44" i="52" s="1"/>
  <c r="I50" i="9"/>
  <c r="J50" i="9" s="1"/>
  <c r="C46" i="52" s="1"/>
  <c r="J56" i="9"/>
  <c r="C52" i="52" s="1"/>
  <c r="I58" i="9"/>
  <c r="J58" i="9" s="1"/>
  <c r="C54" i="52" s="1"/>
  <c r="J60" i="9"/>
  <c r="C56" i="52" s="1"/>
  <c r="I62" i="9"/>
  <c r="J62" i="9" s="1"/>
  <c r="C58" i="52" s="1"/>
  <c r="I64" i="9"/>
  <c r="J64" i="9" s="1"/>
  <c r="C60" i="52" s="1"/>
  <c r="I66" i="9"/>
  <c r="J66" i="9" s="1"/>
  <c r="C62" i="52" s="1"/>
  <c r="I74" i="9"/>
  <c r="J76" i="9"/>
  <c r="C72" i="52" s="1"/>
  <c r="I78" i="9"/>
  <c r="J78" i="9" s="1"/>
  <c r="C74" i="52" s="1"/>
  <c r="I80" i="9"/>
  <c r="J80" i="9" s="1"/>
  <c r="C76" i="52" s="1"/>
  <c r="I82" i="9"/>
  <c r="J82" i="9" s="1"/>
  <c r="C78" i="52" s="1"/>
  <c r="I92" i="9"/>
  <c r="J92" i="9" s="1"/>
  <c r="C88" i="52" s="1"/>
  <c r="C461" i="52" s="1"/>
  <c r="G461" i="52" s="1"/>
  <c r="H461" i="52" s="1"/>
  <c r="I96" i="9"/>
  <c r="I99" i="9"/>
  <c r="J99" i="9" s="1"/>
  <c r="C95" i="52" s="1"/>
  <c r="I108" i="9"/>
  <c r="I105" i="9"/>
  <c r="I121" i="9"/>
  <c r="J121" i="9" s="1"/>
  <c r="C117" i="52" s="1"/>
  <c r="I129" i="9"/>
  <c r="I134" i="9" s="1"/>
  <c r="J131" i="9"/>
  <c r="C127" i="52" s="1"/>
  <c r="I151" i="9"/>
  <c r="J151" i="9" s="1"/>
  <c r="C147" i="52" s="1"/>
  <c r="I173" i="9"/>
  <c r="I175" i="9"/>
  <c r="J175" i="9" s="1"/>
  <c r="C171" i="52" s="1"/>
  <c r="I180" i="9"/>
  <c r="J180" i="9" s="1"/>
  <c r="C176" i="52" s="1"/>
  <c r="I182" i="9"/>
  <c r="J182" i="9" s="1"/>
  <c r="C178" i="52" s="1"/>
  <c r="I188" i="9"/>
  <c r="I194" i="9"/>
  <c r="J194" i="9" s="1"/>
  <c r="C190" i="52" s="1"/>
  <c r="I196" i="9"/>
  <c r="J196" i="9" s="1"/>
  <c r="C192" i="52" s="1"/>
  <c r="I198" i="9"/>
  <c r="J198" i="9" s="1"/>
  <c r="C194" i="52" s="1"/>
  <c r="I202" i="9"/>
  <c r="J202" i="9" s="1"/>
  <c r="C198" i="52" s="1"/>
  <c r="I204" i="9"/>
  <c r="J204" i="9" s="1"/>
  <c r="C200" i="52" s="1"/>
  <c r="I209" i="9"/>
  <c r="J209" i="9" s="1"/>
  <c r="C205" i="52" s="1"/>
  <c r="I212" i="9"/>
  <c r="J212" i="9" s="1"/>
  <c r="C208" i="52" s="1"/>
  <c r="I220" i="9"/>
  <c r="J220" i="9" s="1"/>
  <c r="C216" i="52" s="1"/>
  <c r="I219" i="9"/>
  <c r="I227" i="9"/>
  <c r="J227" i="9" s="1"/>
  <c r="C223" i="52" s="1"/>
  <c r="I229" i="9"/>
  <c r="J229" i="9" s="1"/>
  <c r="C225" i="52" s="1"/>
  <c r="I231" i="9"/>
  <c r="J231" i="9" s="1"/>
  <c r="C227" i="52" s="1"/>
  <c r="I237" i="9"/>
  <c r="I240" i="9"/>
  <c r="J240" i="9" s="1"/>
  <c r="C236" i="52" s="1"/>
  <c r="I241" i="9"/>
  <c r="J241" i="9" s="1"/>
  <c r="C237" i="52" s="1"/>
  <c r="I244" i="9"/>
  <c r="J244" i="9" s="1"/>
  <c r="C240" i="52" s="1"/>
  <c r="I246" i="9"/>
  <c r="J246" i="9" s="1"/>
  <c r="C242" i="52" s="1"/>
  <c r="I252" i="9"/>
  <c r="I258" i="9"/>
  <c r="J258" i="9" s="1"/>
  <c r="C254" i="52" s="1"/>
  <c r="I260" i="9"/>
  <c r="J260" i="9" s="1"/>
  <c r="C256" i="52" s="1"/>
  <c r="I264" i="9"/>
  <c r="J264" i="9" s="1"/>
  <c r="C260" i="52" s="1"/>
  <c r="I266" i="9"/>
  <c r="J266" i="9" s="1"/>
  <c r="C262" i="52" s="1"/>
  <c r="I272" i="9"/>
  <c r="J272" i="9" s="1"/>
  <c r="C268" i="52" s="1"/>
  <c r="I262" i="9"/>
  <c r="J262" i="9" s="1"/>
  <c r="C258" i="52" s="1"/>
  <c r="I279" i="9"/>
  <c r="I281" i="9"/>
  <c r="J281" i="9" s="1"/>
  <c r="C277" i="52" s="1"/>
  <c r="I283" i="9"/>
  <c r="J283" i="9" s="1"/>
  <c r="C279" i="52" s="1"/>
  <c r="I285" i="9"/>
  <c r="J285" i="9" s="1"/>
  <c r="C281" i="52" s="1"/>
  <c r="I291" i="9"/>
  <c r="J291" i="9" s="1"/>
  <c r="C287" i="52" s="1"/>
  <c r="I293" i="9"/>
  <c r="J293" i="9" s="1"/>
  <c r="C289" i="52" s="1"/>
  <c r="I306" i="9"/>
  <c r="I308" i="9"/>
  <c r="J308" i="9" s="1"/>
  <c r="C304" i="52" s="1"/>
  <c r="C486" i="52" s="1"/>
  <c r="G486" i="52" s="1"/>
  <c r="H486" i="52" s="1"/>
  <c r="I310" i="9"/>
  <c r="J310" i="9" s="1"/>
  <c r="C306" i="52" s="1"/>
  <c r="C487" i="52" s="1"/>
  <c r="G487" i="52" s="1"/>
  <c r="H487" i="52" s="1"/>
  <c r="J313" i="9"/>
  <c r="C309" i="52" s="1"/>
  <c r="C490" i="52" s="1"/>
  <c r="G490" i="52" s="1"/>
  <c r="H490" i="52" s="1"/>
  <c r="J317" i="9"/>
  <c r="C313" i="52" s="1"/>
  <c r="C492" i="52" s="1"/>
  <c r="G492" i="52" s="1"/>
  <c r="H492" i="52" s="1"/>
  <c r="I321" i="9"/>
  <c r="J321" i="9" s="1"/>
  <c r="C317" i="52" s="1"/>
  <c r="C494" i="52" s="1"/>
  <c r="G494" i="52" s="1"/>
  <c r="H494" i="52" s="1"/>
  <c r="I332" i="9"/>
  <c r="J332" i="9" s="1"/>
  <c r="C328" i="52" s="1"/>
  <c r="C496" i="52" s="1"/>
  <c r="G496" i="52" s="1"/>
  <c r="H496" i="52" s="1"/>
  <c r="J334" i="9"/>
  <c r="C330" i="52" s="1"/>
  <c r="C498" i="52" s="1"/>
  <c r="G498" i="52" s="1"/>
  <c r="H498" i="52" s="1"/>
  <c r="I337" i="9"/>
  <c r="J337" i="9" s="1"/>
  <c r="C333" i="52" s="1"/>
  <c r="C500" i="52" s="1"/>
  <c r="G500" i="52" s="1"/>
  <c r="H500" i="52" s="1"/>
  <c r="I339" i="9"/>
  <c r="J339" i="9" s="1"/>
  <c r="C335" i="52" s="1"/>
  <c r="C502" i="52" s="1"/>
  <c r="G502" i="52" s="1"/>
  <c r="H502" i="52" s="1"/>
  <c r="I343" i="9"/>
  <c r="J343" i="9" s="1"/>
  <c r="C339" i="52" s="1"/>
  <c r="C504" i="52" s="1"/>
  <c r="G504" i="52" s="1"/>
  <c r="H504" i="52" s="1"/>
  <c r="I345" i="9"/>
  <c r="J345" i="9" s="1"/>
  <c r="C341" i="52" s="1"/>
  <c r="C506" i="52" s="1"/>
  <c r="G506" i="52" s="1"/>
  <c r="H506" i="52" s="1"/>
  <c r="I351" i="9"/>
  <c r="J351" i="9" s="1"/>
  <c r="C347" i="52" s="1"/>
  <c r="C509" i="52" s="1"/>
  <c r="G509" i="52" s="1"/>
  <c r="H509" i="52" s="1"/>
  <c r="I355" i="9"/>
  <c r="J355" i="9" s="1"/>
  <c r="C351" i="52" s="1"/>
  <c r="C511" i="52" s="1"/>
  <c r="G511" i="52" s="1"/>
  <c r="H511" i="52" s="1"/>
  <c r="I357" i="9"/>
  <c r="J357" i="9" s="1"/>
  <c r="C353" i="52" s="1"/>
  <c r="C513" i="52" s="1"/>
  <c r="G513" i="52" s="1"/>
  <c r="H513" i="52" s="1"/>
  <c r="I365" i="9"/>
  <c r="J365" i="9" s="1"/>
  <c r="C361" i="52" s="1"/>
  <c r="C515" i="52" s="1"/>
  <c r="G515" i="52" s="1"/>
  <c r="H515" i="52" s="1"/>
  <c r="I368" i="9"/>
  <c r="I373" i="9"/>
  <c r="J373" i="9" s="1"/>
  <c r="C369" i="52" s="1"/>
  <c r="C521" i="52" s="1"/>
  <c r="G521" i="52" s="1"/>
  <c r="H521" i="52" s="1"/>
  <c r="I376" i="9"/>
  <c r="J376" i="9" s="1"/>
  <c r="C372" i="52" s="1"/>
  <c r="C523" i="52" s="1"/>
  <c r="G523" i="52" s="1"/>
  <c r="H523" i="52" s="1"/>
  <c r="I378" i="9"/>
  <c r="J378" i="9" s="1"/>
  <c r="C374" i="52" s="1"/>
  <c r="C525" i="52" s="1"/>
  <c r="G525" i="52" s="1"/>
  <c r="H525" i="52" s="1"/>
  <c r="J36" i="9"/>
  <c r="C32" i="52" s="1"/>
  <c r="E163" i="9"/>
  <c r="F163" i="9" s="1"/>
  <c r="C87" i="9"/>
  <c r="J94" i="9"/>
  <c r="C90" i="52" s="1"/>
  <c r="J116" i="9"/>
  <c r="C112" i="52" s="1"/>
  <c r="E134" i="9"/>
  <c r="F134" i="9" s="1"/>
  <c r="J127" i="9"/>
  <c r="C123" i="52" s="1"/>
  <c r="E184" i="9"/>
  <c r="F184" i="9" s="1"/>
  <c r="J172" i="9"/>
  <c r="C168" i="52" s="1"/>
  <c r="E191" i="9"/>
  <c r="F191" i="9" s="1"/>
  <c r="J187" i="9"/>
  <c r="C183" i="52" s="1"/>
  <c r="J210" i="9"/>
  <c r="C206" i="52" s="1"/>
  <c r="E268" i="9"/>
  <c r="F268" i="9" s="1"/>
  <c r="J259" i="9"/>
  <c r="C255" i="52" s="1"/>
  <c r="E288" i="9"/>
  <c r="F288" i="9" s="1"/>
  <c r="J278" i="9"/>
  <c r="C274" i="52" s="1"/>
  <c r="E524" i="3"/>
  <c r="F516" i="3"/>
  <c r="F520" i="3" s="1"/>
  <c r="E577" i="3"/>
  <c r="F251" i="3"/>
  <c r="F423" i="3" s="1"/>
  <c r="F431" i="3" s="1"/>
  <c r="E69" i="9"/>
  <c r="E223" i="9"/>
  <c r="F223" i="9" s="1"/>
  <c r="E255" i="9"/>
  <c r="F255" i="9" s="1"/>
  <c r="E275" i="9"/>
  <c r="F275" i="9" s="1"/>
  <c r="E295" i="9"/>
  <c r="F295" i="9" s="1"/>
  <c r="E380" i="9"/>
  <c r="F380" i="9" s="1"/>
  <c r="C479" i="52" l="1"/>
  <c r="G479" i="52" s="1"/>
  <c r="H479" i="52" s="1"/>
  <c r="C481" i="52"/>
  <c r="G481" i="52" s="1"/>
  <c r="H481" i="52" s="1"/>
  <c r="C472" i="52"/>
  <c r="G472" i="52" s="1"/>
  <c r="H472" i="52" s="1"/>
  <c r="C459" i="52"/>
  <c r="G459" i="52" s="1"/>
  <c r="H459" i="52" s="1"/>
  <c r="C478" i="52"/>
  <c r="G478" i="52" s="1"/>
  <c r="H478" i="52" s="1"/>
  <c r="C475" i="52"/>
  <c r="G475" i="52" s="1"/>
  <c r="H475" i="52" s="1"/>
  <c r="C457" i="52"/>
  <c r="G457" i="52" s="1"/>
  <c r="H457" i="52" s="1"/>
  <c r="C441" i="9"/>
  <c r="I443" i="9"/>
  <c r="J443" i="9" s="1"/>
  <c r="I497" i="9"/>
  <c r="I499" i="9"/>
  <c r="J499" i="9" s="1"/>
  <c r="L499" i="9" s="1"/>
  <c r="I444" i="9"/>
  <c r="J444" i="9" s="1"/>
  <c r="C510" i="9"/>
  <c r="G510" i="9" s="1"/>
  <c r="H510" i="9" s="1"/>
  <c r="L63" i="9"/>
  <c r="L14" i="9"/>
  <c r="L83" i="9"/>
  <c r="L62" i="9"/>
  <c r="L50" i="9"/>
  <c r="L36" i="9"/>
  <c r="L59" i="9"/>
  <c r="L49" i="9"/>
  <c r="L12" i="9"/>
  <c r="L81" i="9"/>
  <c r="L35" i="9"/>
  <c r="L82" i="9"/>
  <c r="L47" i="9"/>
  <c r="L34" i="9"/>
  <c r="L79" i="9"/>
  <c r="L66" i="9"/>
  <c r="L46" i="9"/>
  <c r="L33" i="9"/>
  <c r="L15" i="9"/>
  <c r="L80" i="9"/>
  <c r="L65" i="9"/>
  <c r="L43" i="9"/>
  <c r="L32" i="9"/>
  <c r="L16" i="9"/>
  <c r="L64" i="9"/>
  <c r="L29" i="9"/>
  <c r="L13" i="9"/>
  <c r="D165" i="9"/>
  <c r="F165" i="9" s="1"/>
  <c r="D491" i="9"/>
  <c r="F492" i="9" s="1"/>
  <c r="J11" i="9"/>
  <c r="C7" i="52" s="1"/>
  <c r="C492" i="9"/>
  <c r="C493" i="9" s="1"/>
  <c r="J397" i="9"/>
  <c r="C393" i="52" s="1"/>
  <c r="C529" i="52" s="1"/>
  <c r="I124" i="9"/>
  <c r="J49" i="9"/>
  <c r="C45" i="52" s="1"/>
  <c r="C458" i="52" s="1"/>
  <c r="G458" i="52" s="1"/>
  <c r="H458" i="52" s="1"/>
  <c r="E124" i="9"/>
  <c r="J364" i="9"/>
  <c r="C360" i="52" s="1"/>
  <c r="C514" i="52" s="1"/>
  <c r="G514" i="52" s="1"/>
  <c r="H514" i="52" s="1"/>
  <c r="I380" i="9"/>
  <c r="G380" i="9" s="1"/>
  <c r="H380" i="9" s="1"/>
  <c r="K380" i="9" s="1"/>
  <c r="J368" i="9"/>
  <c r="C364" i="52" s="1"/>
  <c r="C518" i="52" s="1"/>
  <c r="K389" i="9"/>
  <c r="E153" i="9"/>
  <c r="F153" i="9" s="1"/>
  <c r="F144" i="9"/>
  <c r="I102" i="9"/>
  <c r="I153" i="9"/>
  <c r="G153" i="9" s="1"/>
  <c r="J147" i="9"/>
  <c r="C143" i="52" s="1"/>
  <c r="J69" i="9"/>
  <c r="C508" i="9" s="1"/>
  <c r="G508" i="9" s="1"/>
  <c r="H508" i="9" s="1"/>
  <c r="J38" i="9"/>
  <c r="C506" i="9" s="1"/>
  <c r="G506" i="9" s="1"/>
  <c r="H506" i="9" s="1"/>
  <c r="J139" i="9"/>
  <c r="C135" i="52" s="1"/>
  <c r="C466" i="52" s="1"/>
  <c r="G466" i="52" s="1"/>
  <c r="H466" i="52" s="1"/>
  <c r="I144" i="9"/>
  <c r="G144" i="9" s="1"/>
  <c r="J305" i="9"/>
  <c r="C301" i="52" s="1"/>
  <c r="C483" i="52" s="1"/>
  <c r="G483" i="52" s="1"/>
  <c r="H483" i="52" s="1"/>
  <c r="I359" i="9"/>
  <c r="I113" i="9"/>
  <c r="K170" i="9"/>
  <c r="J10" i="9"/>
  <c r="C6" i="52" s="1"/>
  <c r="J130" i="9"/>
  <c r="C126" i="52" s="1"/>
  <c r="J156" i="9"/>
  <c r="C152" i="52" s="1"/>
  <c r="I22" i="9"/>
  <c r="J213" i="9"/>
  <c r="C209" i="52" s="1"/>
  <c r="C473" i="52" s="1"/>
  <c r="G473" i="52" s="1"/>
  <c r="H473" i="52" s="1"/>
  <c r="I216" i="9"/>
  <c r="G216" i="9" s="1"/>
  <c r="H216" i="9" s="1"/>
  <c r="K216" i="9" s="1"/>
  <c r="I255" i="9"/>
  <c r="G255" i="9" s="1"/>
  <c r="H255" i="9" s="1"/>
  <c r="K255" i="9" s="1"/>
  <c r="J160" i="9"/>
  <c r="C156" i="52" s="1"/>
  <c r="J170" i="9"/>
  <c r="C166" i="52" s="1"/>
  <c r="C469" i="52" s="1"/>
  <c r="G469" i="52" s="1"/>
  <c r="H469" i="52" s="1"/>
  <c r="I191" i="9"/>
  <c r="J108" i="9"/>
  <c r="C104" i="52" s="1"/>
  <c r="J97" i="9"/>
  <c r="C93" i="52" s="1"/>
  <c r="F439" i="9"/>
  <c r="K425" i="9"/>
  <c r="K397" i="9"/>
  <c r="I439" i="9"/>
  <c r="I184" i="9"/>
  <c r="G184" i="9" s="1"/>
  <c r="I53" i="9"/>
  <c r="I38" i="9"/>
  <c r="L45" i="9"/>
  <c r="J295" i="9"/>
  <c r="C530" i="9" s="1"/>
  <c r="G530" i="9" s="1"/>
  <c r="H530" i="9" s="1"/>
  <c r="I288" i="9"/>
  <c r="J275" i="9"/>
  <c r="C528" i="9" s="1"/>
  <c r="G528" i="9" s="1"/>
  <c r="H528" i="9" s="1"/>
  <c r="I248" i="9"/>
  <c r="G248" i="9" s="1"/>
  <c r="H248" i="9" s="1"/>
  <c r="K248" i="9" s="1"/>
  <c r="I223" i="9"/>
  <c r="G223" i="9" s="1"/>
  <c r="H223" i="9" s="1"/>
  <c r="K223" i="9" s="1"/>
  <c r="I85" i="9"/>
  <c r="L61" i="9"/>
  <c r="L31" i="9"/>
  <c r="L11" i="9"/>
  <c r="J206" i="9"/>
  <c r="C521" i="9" s="1"/>
  <c r="G521" i="9" s="1"/>
  <c r="H521" i="9" s="1"/>
  <c r="J233" i="9"/>
  <c r="C524" i="9" s="1"/>
  <c r="G524" i="9" s="1"/>
  <c r="H524" i="9" s="1"/>
  <c r="L60" i="9"/>
  <c r="J306" i="9"/>
  <c r="C302" i="52" s="1"/>
  <c r="C484" i="52" s="1"/>
  <c r="G484" i="52" s="1"/>
  <c r="H484" i="52" s="1"/>
  <c r="J279" i="9"/>
  <c r="C275" i="52" s="1"/>
  <c r="C480" i="52" s="1"/>
  <c r="G480" i="52" s="1"/>
  <c r="H480" i="52" s="1"/>
  <c r="J252" i="9"/>
  <c r="C248" i="52" s="1"/>
  <c r="C477" i="52" s="1"/>
  <c r="G477" i="52" s="1"/>
  <c r="H477" i="52" s="1"/>
  <c r="J237" i="9"/>
  <c r="C233" i="52" s="1"/>
  <c r="C476" i="52" s="1"/>
  <c r="G476" i="52" s="1"/>
  <c r="H476" i="52" s="1"/>
  <c r="J219" i="9"/>
  <c r="C215" i="52" s="1"/>
  <c r="C474" i="52" s="1"/>
  <c r="G474" i="52" s="1"/>
  <c r="H474" i="52" s="1"/>
  <c r="J188" i="9"/>
  <c r="C184" i="52" s="1"/>
  <c r="C471" i="52" s="1"/>
  <c r="G471" i="52" s="1"/>
  <c r="H471" i="52" s="1"/>
  <c r="J173" i="9"/>
  <c r="C169" i="52" s="1"/>
  <c r="C470" i="52" s="1"/>
  <c r="G470" i="52" s="1"/>
  <c r="H470" i="52" s="1"/>
  <c r="J149" i="9"/>
  <c r="C145" i="52" s="1"/>
  <c r="J129" i="9"/>
  <c r="C125" i="52" s="1"/>
  <c r="J105" i="9"/>
  <c r="C101" i="52" s="1"/>
  <c r="J96" i="9"/>
  <c r="C92" i="52" s="1"/>
  <c r="C462" i="52" s="1"/>
  <c r="G462" i="52" s="1"/>
  <c r="H462" i="52" s="1"/>
  <c r="J74" i="9"/>
  <c r="C70" i="52" s="1"/>
  <c r="C460" i="52" s="1"/>
  <c r="G460" i="52" s="1"/>
  <c r="H460" i="52" s="1"/>
  <c r="I69" i="9"/>
  <c r="I275" i="9"/>
  <c r="G275" i="9" s="1"/>
  <c r="H275" i="9" s="1"/>
  <c r="K275" i="9" s="1"/>
  <c r="J119" i="9"/>
  <c r="C115" i="52" s="1"/>
  <c r="C464" i="52" s="1"/>
  <c r="G464" i="52" s="1"/>
  <c r="H464" i="52" s="1"/>
  <c r="J268" i="9"/>
  <c r="C527" i="9" s="1"/>
  <c r="G527" i="9" s="1"/>
  <c r="H527" i="9" s="1"/>
  <c r="I295" i="9"/>
  <c r="G295" i="9" s="1"/>
  <c r="I268" i="9"/>
  <c r="G268" i="9" s="1"/>
  <c r="H268" i="9" s="1"/>
  <c r="K268" i="9" s="1"/>
  <c r="I206" i="9"/>
  <c r="G206" i="9" s="1"/>
  <c r="H206" i="9" s="1"/>
  <c r="K206" i="9" s="1"/>
  <c r="I233" i="9"/>
  <c r="G233" i="9" s="1"/>
  <c r="H233" i="9" s="1"/>
  <c r="K233" i="9" s="1"/>
  <c r="L44" i="9"/>
  <c r="L30" i="9"/>
  <c r="L77" i="9"/>
  <c r="F300" i="9"/>
  <c r="F524" i="3"/>
  <c r="C463" i="52" l="1"/>
  <c r="G463" i="52" s="1"/>
  <c r="H463" i="52" s="1"/>
  <c r="C465" i="52"/>
  <c r="G465" i="52" s="1"/>
  <c r="H465" i="52" s="1"/>
  <c r="C467" i="52"/>
  <c r="G467" i="52" s="1"/>
  <c r="H467" i="52" s="1"/>
  <c r="C468" i="52"/>
  <c r="G468" i="52" s="1"/>
  <c r="H468" i="52" s="1"/>
  <c r="C456" i="52"/>
  <c r="I500" i="9"/>
  <c r="I502" i="9" s="1"/>
  <c r="J497" i="9"/>
  <c r="L497" i="9" s="1"/>
  <c r="C518" i="9"/>
  <c r="G518" i="9" s="1"/>
  <c r="H518" i="9" s="1"/>
  <c r="J191" i="9"/>
  <c r="C520" i="9" s="1"/>
  <c r="G520" i="9" s="1"/>
  <c r="H520" i="9" s="1"/>
  <c r="J288" i="9"/>
  <c r="C529" i="9" s="1"/>
  <c r="G529" i="9" s="1"/>
  <c r="H529" i="9" s="1"/>
  <c r="L48" i="9"/>
  <c r="L53" i="9" s="1"/>
  <c r="J223" i="9"/>
  <c r="C523" i="9" s="1"/>
  <c r="G523" i="9" s="1"/>
  <c r="H523" i="9" s="1"/>
  <c r="L78" i="9"/>
  <c r="L85" i="9" s="1"/>
  <c r="J248" i="9"/>
  <c r="C525" i="9" s="1"/>
  <c r="G525" i="9" s="1"/>
  <c r="H525" i="9" s="1"/>
  <c r="J144" i="9"/>
  <c r="C515" i="9" s="1"/>
  <c r="G515" i="9" s="1"/>
  <c r="H515" i="9" s="1"/>
  <c r="J400" i="9"/>
  <c r="J124" i="9"/>
  <c r="C513" i="9" s="1"/>
  <c r="G513" i="9" s="1"/>
  <c r="H513" i="9" s="1"/>
  <c r="J184" i="9"/>
  <c r="C519" i="9" s="1"/>
  <c r="G519" i="9" s="1"/>
  <c r="H519" i="9" s="1"/>
  <c r="J255" i="9"/>
  <c r="C526" i="9" s="1"/>
  <c r="G526" i="9" s="1"/>
  <c r="H526" i="9" s="1"/>
  <c r="J216" i="9"/>
  <c r="C522" i="9" s="1"/>
  <c r="G522" i="9" s="1"/>
  <c r="H522" i="9" s="1"/>
  <c r="J22" i="9"/>
  <c r="C505" i="9" s="1"/>
  <c r="G505" i="9" s="1"/>
  <c r="I300" i="9"/>
  <c r="G300" i="9" s="1"/>
  <c r="H300" i="9" s="1"/>
  <c r="K300" i="9" s="1"/>
  <c r="G22" i="9"/>
  <c r="H22" i="9" s="1"/>
  <c r="K22" i="9" s="1"/>
  <c r="I491" i="9"/>
  <c r="I87" i="9"/>
  <c r="D441" i="9"/>
  <c r="D445" i="9" s="1"/>
  <c r="D460" i="9" s="1"/>
  <c r="C12" i="12" s="1"/>
  <c r="D492" i="9"/>
  <c r="D493" i="9" s="1"/>
  <c r="F87" i="9"/>
  <c r="G359" i="9"/>
  <c r="H359" i="9" s="1"/>
  <c r="K359" i="9" s="1"/>
  <c r="G38" i="9"/>
  <c r="H38" i="9" s="1"/>
  <c r="K38" i="9" s="1"/>
  <c r="G191" i="9"/>
  <c r="H191" i="9" s="1"/>
  <c r="K191" i="9" s="1"/>
  <c r="G134" i="9"/>
  <c r="H134" i="9" s="1"/>
  <c r="K134" i="9" s="1"/>
  <c r="G85" i="9"/>
  <c r="H85" i="9" s="1"/>
  <c r="K85" i="9" s="1"/>
  <c r="G288" i="9"/>
  <c r="H288" i="9" s="1"/>
  <c r="K288" i="9" s="1"/>
  <c r="G124" i="9"/>
  <c r="H124" i="9" s="1"/>
  <c r="K124" i="9" s="1"/>
  <c r="G69" i="9"/>
  <c r="H69" i="9" s="1"/>
  <c r="K69" i="9" s="1"/>
  <c r="J53" i="9"/>
  <c r="C507" i="9" s="1"/>
  <c r="G507" i="9" s="1"/>
  <c r="H507" i="9" s="1"/>
  <c r="G102" i="9"/>
  <c r="H102" i="9" s="1"/>
  <c r="K102" i="9" s="1"/>
  <c r="G53" i="9"/>
  <c r="H53" i="9" s="1"/>
  <c r="K53" i="9" s="1"/>
  <c r="G113" i="9"/>
  <c r="H113" i="9" s="1"/>
  <c r="K113" i="9" s="1"/>
  <c r="H295" i="9"/>
  <c r="K295" i="9" s="1"/>
  <c r="H184" i="9"/>
  <c r="K184" i="9" s="1"/>
  <c r="J359" i="9"/>
  <c r="H144" i="9"/>
  <c r="K144" i="9" s="1"/>
  <c r="H153" i="9"/>
  <c r="K153" i="9" s="1"/>
  <c r="J380" i="9"/>
  <c r="J153" i="9"/>
  <c r="C516" i="9" s="1"/>
  <c r="G516" i="9" s="1"/>
  <c r="H516" i="9" s="1"/>
  <c r="J113" i="9"/>
  <c r="C512" i="9" s="1"/>
  <c r="G512" i="9" s="1"/>
  <c r="H512" i="9" s="1"/>
  <c r="J102" i="9"/>
  <c r="C511" i="9" s="1"/>
  <c r="G511" i="9" s="1"/>
  <c r="H511" i="9" s="1"/>
  <c r="L10" i="9"/>
  <c r="L22" i="9" s="1"/>
  <c r="I165" i="9"/>
  <c r="J402" i="9"/>
  <c r="J163" i="9"/>
  <c r="C517" i="9" s="1"/>
  <c r="G517" i="9" s="1"/>
  <c r="H517" i="9" s="1"/>
  <c r="J134" i="9"/>
  <c r="C514" i="9" s="1"/>
  <c r="G514" i="9" s="1"/>
  <c r="H514" i="9" s="1"/>
  <c r="J85" i="9"/>
  <c r="C509" i="9" s="1"/>
  <c r="G509" i="9" s="1"/>
  <c r="H509" i="9" s="1"/>
  <c r="H163" i="9"/>
  <c r="K163" i="9" s="1"/>
  <c r="L38" i="9"/>
  <c r="M38" i="9" s="1"/>
  <c r="K402" i="9"/>
  <c r="L69" i="9"/>
  <c r="M69" i="9" s="1"/>
  <c r="G456" i="52" l="1"/>
  <c r="H505" i="9"/>
  <c r="H532" i="9" s="1"/>
  <c r="G532" i="9"/>
  <c r="M22" i="9"/>
  <c r="J300" i="9"/>
  <c r="J405" i="9"/>
  <c r="C398" i="52" s="1"/>
  <c r="I492" i="9"/>
  <c r="L88" i="9"/>
  <c r="G87" i="9"/>
  <c r="H87" i="9" s="1"/>
  <c r="K87" i="9" s="1"/>
  <c r="I441" i="9"/>
  <c r="I445" i="9" s="1"/>
  <c r="I460" i="9" s="1"/>
  <c r="D12" i="12" s="1"/>
  <c r="M53" i="9"/>
  <c r="G165" i="9"/>
  <c r="H165" i="9" s="1"/>
  <c r="K165" i="9" s="1"/>
  <c r="J165" i="9"/>
  <c r="J87" i="9"/>
  <c r="M85" i="9"/>
  <c r="F441" i="9"/>
  <c r="C530" i="52" l="1"/>
  <c r="H456" i="52"/>
  <c r="I482" i="52" s="1"/>
  <c r="J482" i="52"/>
  <c r="J425" i="9"/>
  <c r="C421" i="52" s="1"/>
  <c r="C534" i="52" s="1"/>
  <c r="C451" i="52" l="1"/>
  <c r="C539" i="52"/>
  <c r="J439" i="9"/>
  <c r="J491" i="9"/>
  <c r="G439" i="9"/>
  <c r="H439" i="9" s="1"/>
  <c r="K439" i="9" s="1"/>
  <c r="J441" i="9" l="1"/>
  <c r="J445" i="9" s="1"/>
  <c r="J460" i="9" s="1"/>
  <c r="C452" i="52" s="1"/>
  <c r="J492" i="9"/>
  <c r="G441" i="9" l="1"/>
  <c r="H441" i="9" s="1"/>
  <c r="K441" i="9" s="1"/>
  <c r="E12" i="12" l="1"/>
  <c r="C540" i="52" s="1"/>
  <c r="I16" i="22" l="1"/>
  <c r="I50" i="22" s="1"/>
  <c r="D48" i="25" l="1"/>
  <c r="D50" i="25" s="1"/>
  <c r="D51" i="25" s="1"/>
  <c r="D25" i="12"/>
  <c r="I81" i="22"/>
  <c r="I46" i="25"/>
  <c r="E85" i="25" l="1"/>
  <c r="C18" i="12"/>
  <c r="E25" i="12"/>
  <c r="E27" i="12" s="1"/>
  <c r="D27" i="12"/>
  <c r="I48" i="25"/>
  <c r="I50" i="25" s="1"/>
  <c r="J46" i="25"/>
  <c r="E518" i="52" s="1"/>
  <c r="G518" i="52" s="1"/>
  <c r="H518" i="52" s="1"/>
  <c r="D18" i="12" l="1"/>
  <c r="I80" i="25"/>
  <c r="J48" i="25"/>
  <c r="J50" i="25" s="1"/>
  <c r="E18" i="12" l="1"/>
  <c r="D20" i="12"/>
  <c r="C82" i="13" l="1"/>
  <c r="H45" i="13"/>
  <c r="C77" i="13"/>
  <c r="H49" i="13"/>
  <c r="I49" i="13"/>
  <c r="I45" i="13"/>
  <c r="J45" i="13" l="1"/>
  <c r="O45" i="13" s="1"/>
  <c r="J49" i="13"/>
  <c r="O49" i="13" s="1"/>
  <c r="F10" i="13" l="1"/>
  <c r="F46" i="13"/>
  <c r="F71" i="13"/>
  <c r="M71" i="13" s="1"/>
  <c r="W117" i="47"/>
  <c r="F54" i="13"/>
  <c r="F53" i="13"/>
  <c r="F70" i="13"/>
  <c r="M70" i="13" s="1"/>
  <c r="M4" i="13"/>
  <c r="F64" i="13"/>
  <c r="F57" i="13"/>
  <c r="F27" i="13"/>
  <c r="F38" i="13"/>
  <c r="F65" i="13"/>
  <c r="M65" i="13" s="1"/>
  <c r="F7" i="13"/>
  <c r="F37" i="13"/>
  <c r="F42" i="13"/>
  <c r="F16" i="13"/>
  <c r="F30" i="13"/>
  <c r="F34" i="13"/>
  <c r="F36" i="13"/>
  <c r="F82" i="13"/>
  <c r="F47" i="13"/>
  <c r="F12" i="13"/>
  <c r="F74" i="13"/>
  <c r="M74" i="13" s="1"/>
  <c r="F68" i="13"/>
  <c r="M68" i="13" s="1"/>
  <c r="F55" i="13"/>
  <c r="F22" i="13"/>
  <c r="F15" i="13"/>
  <c r="F66" i="13"/>
  <c r="M66" i="13" s="1"/>
  <c r="F26" i="13"/>
  <c r="F67" i="13"/>
  <c r="M67" i="13" s="1"/>
  <c r="F11" i="13"/>
  <c r="F31" i="13"/>
  <c r="F41" i="13"/>
  <c r="F69" i="13"/>
  <c r="M69" i="13" s="1"/>
  <c r="F20" i="13"/>
  <c r="F23" i="13"/>
  <c r="F52" i="13"/>
  <c r="F72" i="13"/>
  <c r="M72" i="13" s="1"/>
  <c r="F56" i="13"/>
  <c r="E46" i="13"/>
  <c r="E15" i="13"/>
  <c r="E27" i="13"/>
  <c r="E7" i="13"/>
  <c r="E70" i="13"/>
  <c r="E53" i="13"/>
  <c r="E65" i="13"/>
  <c r="L65" i="13" s="1"/>
  <c r="N65" i="13" s="1"/>
  <c r="E37" i="13"/>
  <c r="E56" i="13"/>
  <c r="E54" i="13"/>
  <c r="E10" i="13"/>
  <c r="E68" i="13"/>
  <c r="L68" i="13" s="1"/>
  <c r="N68" i="13" s="1"/>
  <c r="E16" i="13"/>
  <c r="E47" i="13"/>
  <c r="E20" i="13"/>
  <c r="E52" i="13"/>
  <c r="E67" i="13"/>
  <c r="L67" i="13" s="1"/>
  <c r="N67" i="13" s="1"/>
  <c r="E26" i="13"/>
  <c r="E64" i="13"/>
  <c r="E22" i="13"/>
  <c r="E42" i="13"/>
  <c r="E71" i="13"/>
  <c r="L71" i="13" s="1"/>
  <c r="V117" i="47"/>
  <c r="E12" i="13"/>
  <c r="E34" i="13"/>
  <c r="E91" i="13" s="1"/>
  <c r="F91" i="13" s="1"/>
  <c r="E30" i="13"/>
  <c r="E69" i="13"/>
  <c r="L69" i="13" s="1"/>
  <c r="N69" i="13" s="1"/>
  <c r="E36" i="13"/>
  <c r="N36" i="13" s="1"/>
  <c r="E41" i="13"/>
  <c r="E43" i="13" s="1"/>
  <c r="E82" i="13"/>
  <c r="E23" i="13"/>
  <c r="E11" i="13"/>
  <c r="E74" i="13"/>
  <c r="L74" i="13" s="1"/>
  <c r="N74" i="13" s="1"/>
  <c r="E31" i="13"/>
  <c r="E72" i="13"/>
  <c r="L72" i="13" s="1"/>
  <c r="N72" i="13" s="1"/>
  <c r="E38" i="13"/>
  <c r="L4" i="13"/>
  <c r="E66" i="13"/>
  <c r="L66" i="13" s="1"/>
  <c r="N66" i="13" s="1"/>
  <c r="E55" i="13"/>
  <c r="E17" i="13" l="1"/>
  <c r="F24" i="13"/>
  <c r="E13" i="13"/>
  <c r="F39" i="13"/>
  <c r="F58" i="13"/>
  <c r="F43" i="13"/>
  <c r="E32" i="13"/>
  <c r="E28" i="13"/>
  <c r="F28" i="13"/>
  <c r="F32" i="13"/>
  <c r="L70" i="13"/>
  <c r="N70" i="13" s="1"/>
  <c r="C14" i="12"/>
  <c r="F73" i="13"/>
  <c r="F75" i="13" s="1"/>
  <c r="M64" i="13"/>
  <c r="M73" i="13" s="1"/>
  <c r="F13" i="13"/>
  <c r="X117" i="47"/>
  <c r="V119" i="47"/>
  <c r="X119" i="47"/>
  <c r="E73" i="13"/>
  <c r="E75" i="13" s="1"/>
  <c r="L64" i="13"/>
  <c r="L53" i="13"/>
  <c r="N53" i="13" s="1"/>
  <c r="L57" i="13"/>
  <c r="N57" i="13" s="1"/>
  <c r="L37" i="13"/>
  <c r="L27" i="13"/>
  <c r="N27" i="13" s="1"/>
  <c r="L26" i="13"/>
  <c r="L31" i="13"/>
  <c r="N31" i="13" s="1"/>
  <c r="L52" i="13"/>
  <c r="L20" i="13"/>
  <c r="N20" i="13" s="1"/>
  <c r="L56" i="13"/>
  <c r="N56" i="13" s="1"/>
  <c r="L15" i="13"/>
  <c r="L54" i="13"/>
  <c r="N54" i="13" s="1"/>
  <c r="L12" i="13"/>
  <c r="N12" i="13" s="1"/>
  <c r="L55" i="13"/>
  <c r="N55" i="13" s="1"/>
  <c r="L30" i="13"/>
  <c r="L11" i="13"/>
  <c r="N11" i="13" s="1"/>
  <c r="L38" i="13"/>
  <c r="N38" i="13" s="1"/>
  <c r="L16" i="13"/>
  <c r="N16" i="13" s="1"/>
  <c r="L47" i="13"/>
  <c r="N47" i="13" s="1"/>
  <c r="L23" i="13"/>
  <c r="N23" i="13" s="1"/>
  <c r="L7" i="13"/>
  <c r="L41" i="13"/>
  <c r="L34" i="13"/>
  <c r="L46" i="13"/>
  <c r="N46" i="13" s="1"/>
  <c r="L10" i="13"/>
  <c r="L22" i="13"/>
  <c r="L42" i="13"/>
  <c r="N42" i="13" s="1"/>
  <c r="L82" i="13"/>
  <c r="E24" i="13"/>
  <c r="E89" i="13" s="1"/>
  <c r="E58" i="13"/>
  <c r="E39" i="13"/>
  <c r="F17" i="13"/>
  <c r="M12" i="13"/>
  <c r="M53" i="13"/>
  <c r="M42" i="13"/>
  <c r="M41" i="13"/>
  <c r="M11" i="13"/>
  <c r="M20" i="13"/>
  <c r="M7" i="13"/>
  <c r="M27" i="13"/>
  <c r="M31" i="13"/>
  <c r="M55" i="13"/>
  <c r="M56" i="13"/>
  <c r="M23" i="13"/>
  <c r="M52" i="13"/>
  <c r="M57" i="13"/>
  <c r="M22" i="13"/>
  <c r="M26" i="13"/>
  <c r="M28" i="13" s="1"/>
  <c r="M38" i="13"/>
  <c r="M15" i="13"/>
  <c r="M82" i="13"/>
  <c r="M16" i="13"/>
  <c r="M30" i="13"/>
  <c r="M32" i="13" s="1"/>
  <c r="M54" i="13"/>
  <c r="M37" i="13"/>
  <c r="M46" i="13"/>
  <c r="M47" i="13"/>
  <c r="M34" i="13"/>
  <c r="M10" i="13"/>
  <c r="V120" i="47"/>
  <c r="Y117" i="47"/>
  <c r="X120" i="47" s="1"/>
  <c r="X121" i="47" l="1"/>
  <c r="X122" i="47" s="1"/>
  <c r="C15" i="12"/>
  <c r="M24" i="13"/>
  <c r="M58" i="13"/>
  <c r="F45" i="13"/>
  <c r="F49" i="13" s="1"/>
  <c r="F60" i="13" s="1"/>
  <c r="F77" i="13" s="1"/>
  <c r="V121" i="47"/>
  <c r="V122" i="47" s="1"/>
  <c r="M43" i="13"/>
  <c r="N10" i="13"/>
  <c r="N13" i="13" s="1"/>
  <c r="D527" i="52" s="1"/>
  <c r="L13" i="13"/>
  <c r="N7" i="13"/>
  <c r="D529" i="52"/>
  <c r="G529" i="52" s="1"/>
  <c r="H529" i="52" s="1"/>
  <c r="N64" i="13"/>
  <c r="N73" i="13" s="1"/>
  <c r="N75" i="13" s="1"/>
  <c r="L73" i="13"/>
  <c r="L75" i="13" s="1"/>
  <c r="N41" i="13"/>
  <c r="N43" i="13" s="1"/>
  <c r="D536" i="52" s="1"/>
  <c r="G536" i="52" s="1"/>
  <c r="H536" i="52" s="1"/>
  <c r="L43" i="13"/>
  <c r="M13" i="13"/>
  <c r="F89" i="13"/>
  <c r="E92" i="13"/>
  <c r="E94" i="13" s="1"/>
  <c r="C30" i="12" s="1"/>
  <c r="N52" i="13"/>
  <c r="N58" i="13" s="1"/>
  <c r="L58" i="13"/>
  <c r="L39" i="13"/>
  <c r="N37" i="13"/>
  <c r="N39" i="13" s="1"/>
  <c r="D535" i="52" s="1"/>
  <c r="G535" i="52" s="1"/>
  <c r="H535" i="52" s="1"/>
  <c r="M75" i="13"/>
  <c r="D14" i="12"/>
  <c r="L24" i="13"/>
  <c r="L89" i="13" s="1"/>
  <c r="N22" i="13"/>
  <c r="N24" i="13" s="1"/>
  <c r="L28" i="13"/>
  <c r="N26" i="13"/>
  <c r="N28" i="13" s="1"/>
  <c r="D531" i="52" s="1"/>
  <c r="G531" i="52" s="1"/>
  <c r="H531" i="52" s="1"/>
  <c r="D73" i="25"/>
  <c r="D88" i="25"/>
  <c r="M39" i="13"/>
  <c r="M17" i="13"/>
  <c r="E45" i="13"/>
  <c r="E49" i="13" s="1"/>
  <c r="E60" i="13" s="1"/>
  <c r="L91" i="13"/>
  <c r="M91" i="13" s="1"/>
  <c r="N91" i="13" s="1"/>
  <c r="N34" i="13"/>
  <c r="N30" i="13"/>
  <c r="N32" i="13" s="1"/>
  <c r="D532" i="52" s="1"/>
  <c r="G532" i="52" s="1"/>
  <c r="H532" i="52" s="1"/>
  <c r="L32" i="13"/>
  <c r="L17" i="13"/>
  <c r="N15" i="13"/>
  <c r="N17" i="13" s="1"/>
  <c r="D528" i="52" s="1"/>
  <c r="G528" i="52" s="1"/>
  <c r="H528" i="52" s="1"/>
  <c r="L45" i="13" l="1"/>
  <c r="L49" i="13" s="1"/>
  <c r="L60" i="13" s="1"/>
  <c r="L84" i="13" s="1"/>
  <c r="M45" i="13"/>
  <c r="M49" i="13" s="1"/>
  <c r="M60" i="13" s="1"/>
  <c r="M84" i="13" s="1"/>
  <c r="D534" i="52"/>
  <c r="G534" i="52" s="1"/>
  <c r="H534" i="52" s="1"/>
  <c r="M89" i="13"/>
  <c r="N89" i="13" s="1"/>
  <c r="D530" i="52" s="1"/>
  <c r="G530" i="52" s="1"/>
  <c r="H530" i="52" s="1"/>
  <c r="L92" i="13"/>
  <c r="L94" i="13" s="1"/>
  <c r="D30" i="12" s="1"/>
  <c r="E14" i="12"/>
  <c r="D526" i="52"/>
  <c r="N45" i="13"/>
  <c r="N49" i="13" s="1"/>
  <c r="N60" i="13" s="1"/>
  <c r="D15" i="12"/>
  <c r="E77" i="13"/>
  <c r="C13" i="12"/>
  <c r="D75" i="25"/>
  <c r="D77" i="25" s="1"/>
  <c r="J73" i="25"/>
  <c r="L77" i="13" l="1"/>
  <c r="D13" i="12"/>
  <c r="M77" i="13"/>
  <c r="E527" i="52"/>
  <c r="J75" i="25"/>
  <c r="J77" i="25" s="1"/>
  <c r="J80" i="25" s="1"/>
  <c r="E15" i="12"/>
  <c r="N77" i="13"/>
  <c r="C19" i="12"/>
  <c r="D78" i="25"/>
  <c r="D85" i="25"/>
  <c r="D80" i="25"/>
  <c r="D81" i="25" s="1"/>
  <c r="G526" i="52"/>
  <c r="D539" i="52"/>
  <c r="D540" i="52" s="1"/>
  <c r="E13" i="12"/>
  <c r="C16" i="12"/>
  <c r="E30" i="12"/>
  <c r="D16" i="12" l="1"/>
  <c r="D22" i="12" s="1"/>
  <c r="E16" i="12"/>
  <c r="P60" i="13"/>
  <c r="E539" i="52"/>
  <c r="E540" i="52" s="1"/>
  <c r="G527" i="52"/>
  <c r="H527" i="52" s="1"/>
  <c r="H526" i="52"/>
  <c r="E19" i="12"/>
  <c r="E20" i="12" s="1"/>
  <c r="C20" i="12"/>
  <c r="C22" i="12" s="1"/>
  <c r="E22" i="12" l="1"/>
  <c r="E33" i="12" s="1"/>
  <c r="E34" i="12" s="1"/>
  <c r="G539" i="52"/>
  <c r="H539" i="52"/>
  <c r="E39" i="12" l="1"/>
  <c r="G540" i="52"/>
  <c r="E16" i="46"/>
  <c r="E17" i="46" s="1"/>
  <c r="E35" i="12"/>
  <c r="H540" i="52"/>
  <c r="K16" i="46"/>
  <c r="G16" i="46"/>
  <c r="L16" i="46" s="1"/>
  <c r="O16" i="46" l="1"/>
  <c r="Q16" i="46" s="1"/>
  <c r="K17" i="46"/>
  <c r="E18" i="46"/>
  <c r="G17" i="46"/>
  <c r="L17" i="46" s="1"/>
  <c r="S16" i="46" l="1"/>
  <c r="U16" i="46" s="1"/>
  <c r="O17" i="46"/>
  <c r="Q17" i="46" s="1"/>
  <c r="S17" i="46" s="1"/>
  <c r="U17" i="46" s="1"/>
  <c r="K18" i="46"/>
  <c r="G18" i="46"/>
  <c r="L18" i="46" s="1"/>
  <c r="E19" i="46"/>
  <c r="G19" i="46" l="1"/>
  <c r="L19" i="46" s="1"/>
  <c r="E20" i="46"/>
  <c r="K19" i="46"/>
  <c r="O18" i="46"/>
  <c r="Q18" i="46" s="1"/>
  <c r="S18" i="46" s="1"/>
  <c r="U18" i="46" s="1"/>
  <c r="K20" i="46" l="1"/>
  <c r="O19" i="46"/>
  <c r="Q19" i="46" s="1"/>
  <c r="S19" i="46" s="1"/>
  <c r="U19" i="46" s="1"/>
  <c r="E21" i="46"/>
  <c r="G20" i="46"/>
  <c r="L20" i="46" s="1"/>
  <c r="E22" i="46" l="1"/>
  <c r="G21" i="46"/>
  <c r="L21" i="46" s="1"/>
  <c r="O20" i="46"/>
  <c r="Q20" i="46" s="1"/>
  <c r="S20" i="46" s="1"/>
  <c r="U20" i="46" s="1"/>
  <c r="K21" i="46"/>
  <c r="G22" i="46" l="1"/>
  <c r="L22" i="46" s="1"/>
  <c r="E23" i="46"/>
  <c r="K22" i="46"/>
  <c r="O21" i="46"/>
  <c r="Q21" i="46" s="1"/>
  <c r="S21" i="46" s="1"/>
  <c r="U21" i="46" s="1"/>
  <c r="K23" i="46" l="1"/>
  <c r="O22" i="46"/>
  <c r="Q22" i="46" s="1"/>
  <c r="S22" i="46" s="1"/>
  <c r="U22" i="46" s="1"/>
  <c r="E24" i="46"/>
  <c r="G23" i="46"/>
  <c r="L23" i="46" s="1"/>
  <c r="K24" i="46" l="1"/>
  <c r="O23" i="46"/>
  <c r="Q23" i="46" s="1"/>
  <c r="S23" i="46" s="1"/>
  <c r="U23" i="46" s="1"/>
  <c r="G24" i="46"/>
  <c r="L24" i="46" s="1"/>
  <c r="E25" i="46"/>
  <c r="E26" i="46" l="1"/>
  <c r="G25" i="46"/>
  <c r="L25" i="46" s="1"/>
  <c r="K25" i="46"/>
  <c r="O24" i="46"/>
  <c r="Q24" i="46" s="1"/>
  <c r="S24" i="46" s="1"/>
  <c r="U24" i="46" s="1"/>
  <c r="G26" i="46" l="1"/>
  <c r="L26" i="46" s="1"/>
  <c r="E27" i="46"/>
  <c r="G27" i="46" s="1"/>
  <c r="O25" i="46"/>
  <c r="Q25" i="46" s="1"/>
  <c r="S25" i="46" s="1"/>
  <c r="U25" i="46" s="1"/>
  <c r="K26" i="46"/>
  <c r="L27" i="46" l="1"/>
  <c r="K27" i="46"/>
  <c r="O27" i="46" s="1"/>
  <c r="Q27" i="46" s="1"/>
  <c r="S27" i="46" s="1"/>
  <c r="O26" i="46"/>
  <c r="Q26" i="46" s="1"/>
  <c r="S26" i="46" s="1"/>
  <c r="U26" i="46" s="1"/>
  <c r="S29" i="46" l="1"/>
  <c r="E40" i="12" s="1"/>
  <c r="U27" i="46"/>
  <c r="E41" i="12" l="1"/>
</calcChain>
</file>

<file path=xl/comments1.xml><?xml version="1.0" encoding="utf-8"?>
<comments xmlns="http://schemas.openxmlformats.org/spreadsheetml/2006/main">
  <authors>
    <author>Jason Wang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SAP/GRE1/Z109</t>
        </r>
      </text>
    </comment>
  </commentList>
</comments>
</file>

<file path=xl/sharedStrings.xml><?xml version="1.0" encoding="utf-8"?>
<sst xmlns="http://schemas.openxmlformats.org/spreadsheetml/2006/main" count="2895" uniqueCount="1040">
  <si>
    <t>COMMON PLANT</t>
  </si>
  <si>
    <t>Colstrip Unit 1</t>
  </si>
  <si>
    <t>STRUCTURES AND IMPROVEMENTS</t>
  </si>
  <si>
    <t>BOILER PLANT EQUIPMENT</t>
  </si>
  <si>
    <t>TURBOGENERATOR EQUIPMENT</t>
  </si>
  <si>
    <t>ACCESSORY ELECTRIC EQUIPMENT</t>
  </si>
  <si>
    <t>MISC. POWER PLANT EQUIPMENT</t>
  </si>
  <si>
    <t>Total Colstrip Unit 1</t>
  </si>
  <si>
    <t>Colstrip Unit 1-2 Common</t>
  </si>
  <si>
    <t>Total Colstrip Unit 1-2 Common</t>
  </si>
  <si>
    <t>Colstrip Unit 1-4 Common</t>
  </si>
  <si>
    <t>Total Colstrip Unit 1-4 Common</t>
  </si>
  <si>
    <t>Colstrip Unit 2</t>
  </si>
  <si>
    <t>Total Colstrip Unit 2</t>
  </si>
  <si>
    <t>Colstrip Unit 3</t>
  </si>
  <si>
    <t>Total Colstrip Unit 3</t>
  </si>
  <si>
    <t>Colstrip Unit 3-4 Common</t>
  </si>
  <si>
    <t>Total Colstrip Unit 3-4 Common</t>
  </si>
  <si>
    <t>Colstrip Unit 4</t>
  </si>
  <si>
    <t>Total Colstrip Unit 4</t>
  </si>
  <si>
    <t>Encogen</t>
  </si>
  <si>
    <t>FUEL HOLDERS, PRODUCERS &amp; ACCESS.</t>
  </si>
  <si>
    <t>GENERATORS</t>
  </si>
  <si>
    <t>Total Encogen</t>
  </si>
  <si>
    <t>EPCOR Frederickson</t>
  </si>
  <si>
    <t>STRUCTURES &amp; IMPROVEMENTS</t>
  </si>
  <si>
    <t>Total EPCOR Frederickson</t>
  </si>
  <si>
    <t>TOTAL STEAM PRODUCTION PLANT</t>
  </si>
  <si>
    <t>HYDROELECTRIC PRODUCTION PLANT</t>
  </si>
  <si>
    <t>Electron</t>
  </si>
  <si>
    <t>RESERVOIRS, DAMS &amp; WATERWAYS</t>
  </si>
  <si>
    <t>WATER WHEELS, TURBINES &amp; GENERATORS</t>
  </si>
  <si>
    <t>MISCELLANEOUS TOOLS</t>
  </si>
  <si>
    <t>ROADS, RAILROADS &amp; BRIDGES</t>
  </si>
  <si>
    <t>Total Electron</t>
  </si>
  <si>
    <t>Lower Baker</t>
  </si>
  <si>
    <t>Total Lower Baker</t>
  </si>
  <si>
    <t>Snoqualmie Unit 1</t>
  </si>
  <si>
    <t>EASEMENTS</t>
  </si>
  <si>
    <t>Total Snoqualmie Unit 1</t>
  </si>
  <si>
    <t>Snoqualmie Unit 2</t>
  </si>
  <si>
    <t>Total Snoqualmie Unit 2</t>
  </si>
  <si>
    <t>Upper Baker</t>
  </si>
  <si>
    <t>Total Upper Baker</t>
  </si>
  <si>
    <t>TOTAL HYDROELECTRIC PRODUCTION PLANT</t>
  </si>
  <si>
    <t>OTHER PRODUCTION PLANT</t>
  </si>
  <si>
    <t>Crystal Mountain</t>
  </si>
  <si>
    <t>Total Crystal Mountain</t>
  </si>
  <si>
    <t>Frederickson 1</t>
  </si>
  <si>
    <t>Frederickson</t>
  </si>
  <si>
    <t>Total Frederickson</t>
  </si>
  <si>
    <t>Fredonia Unit 1&amp;2</t>
  </si>
  <si>
    <t>Total Fredonia Unit 1&amp;2</t>
  </si>
  <si>
    <t>Hopkins Ridge</t>
  </si>
  <si>
    <t>Total Hopkins Ridge</t>
  </si>
  <si>
    <t>Whitehorn Unit 2&amp;3</t>
  </si>
  <si>
    <t>Total Whitehorn Unit 2&amp;3</t>
  </si>
  <si>
    <t>Wild Horse</t>
  </si>
  <si>
    <t>TOTAL OTHER PRODUCTION PLANT</t>
  </si>
  <si>
    <t>TRANSMISSION PLANT</t>
  </si>
  <si>
    <t>STATION EQUIPMENT</t>
  </si>
  <si>
    <t>TOWERS &amp; FIXTURES</t>
  </si>
  <si>
    <t>POLES &amp; FIXTURES</t>
  </si>
  <si>
    <t>OVERHEAD CONDUCTORS AND DEVICES</t>
  </si>
  <si>
    <t>UNDERGROUND CONDUCTORS AND DEVICES</t>
  </si>
  <si>
    <t>ROADS AND TRAILS</t>
  </si>
  <si>
    <t>TOTAL TRANSMISSION PLANT</t>
  </si>
  <si>
    <t>DISTRIBUTION PLANT</t>
  </si>
  <si>
    <t>POLES, TOWERS &amp; FIXTURES</t>
  </si>
  <si>
    <t>UNDERGROUND CONDUIT</t>
  </si>
  <si>
    <t>LINE TRANSFORMERS</t>
  </si>
  <si>
    <t>SERVICES</t>
  </si>
  <si>
    <t>METERS</t>
  </si>
  <si>
    <t>STREET LIGHTING AND SIGNAL SYSTEMS</t>
  </si>
  <si>
    <t>TOTAL DISTRIBUTION PLANT</t>
  </si>
  <si>
    <t>GENERAL PLANT</t>
  </si>
  <si>
    <t>TOTAL GENERAL PLANT</t>
  </si>
  <si>
    <t>MANUFACTURED GAS PRODUCTION PLANT</t>
  </si>
  <si>
    <t>LIQUIFIED PETROLEUM GAS EQUIPMENT</t>
  </si>
  <si>
    <t>OTHER EQUIPMENT</t>
  </si>
  <si>
    <t>UNDERGROUND STORAGE</t>
  </si>
  <si>
    <t>WELL STRUCTURES</t>
  </si>
  <si>
    <t>COMPRESSOR STATION STRUCTURES</t>
  </si>
  <si>
    <t>MEAS &amp; REG STATION STRUCTURES</t>
  </si>
  <si>
    <t>OTHER STRUCTURES</t>
  </si>
  <si>
    <t>WELLS</t>
  </si>
  <si>
    <t>RESERVOIRS</t>
  </si>
  <si>
    <t>NON-RECOVERABLE CUSHION GAS</t>
  </si>
  <si>
    <t>LINES</t>
  </si>
  <si>
    <t>COMPRESSOR STATION EQUIPMENT</t>
  </si>
  <si>
    <t>MEASURING &amp; REGULATING EQUIPMENT</t>
  </si>
  <si>
    <t>PURIFICATION EQUIPMENT</t>
  </si>
  <si>
    <t>LIQUEFIED NATURAL GAS PLANT</t>
  </si>
  <si>
    <t>GAS HOLDERS</t>
  </si>
  <si>
    <t>TRANSPORTATION EQUIPMENT</t>
  </si>
  <si>
    <t>CAST-IRON</t>
  </si>
  <si>
    <t>PLASTIC</t>
  </si>
  <si>
    <t>BARE STEEL</t>
  </si>
  <si>
    <t>WRAPPED STEEL</t>
  </si>
  <si>
    <t>SERVICES - BARE STEEL</t>
  </si>
  <si>
    <t>METER INSTALLATIONS</t>
  </si>
  <si>
    <t>HOUSE REGULATORS</t>
  </si>
  <si>
    <t>HOUSE REGULATOR INSTALLATIONS</t>
  </si>
  <si>
    <t>INDUSTRIAL MEAS. &amp; REG. STA. EQUIP.</t>
  </si>
  <si>
    <t>COMMERCIAL WATER HEATERS</t>
  </si>
  <si>
    <t>RESIDENTIAL WATER HEATERS</t>
  </si>
  <si>
    <t>RESIDENTIAL CONVERSION BURNERS</t>
  </si>
  <si>
    <t>COMMERCIAL CONVERSION BURNERS</t>
  </si>
  <si>
    <t>OFFICE FURNITURE &amp; EQUIPMENT &lt;$20K</t>
  </si>
  <si>
    <t>DATA EQUIPMENT &lt;$20K</t>
  </si>
  <si>
    <t>COMPUTERS &gt; $20K</t>
  </si>
  <si>
    <t>COMPUTERS &lt; $20K</t>
  </si>
  <si>
    <t>STORES EQUIPMENT &lt;$20K</t>
  </si>
  <si>
    <t>TOOLS, SHOP &amp;  GARAGE EQUIP. &gt; $20K</t>
  </si>
  <si>
    <t>TOOLS, SHOP EQUIPMENT &lt;$20K</t>
  </si>
  <si>
    <t>TOOLS, SHOP EQUIPMENT &lt;$20K from G387</t>
  </si>
  <si>
    <t>TOOLS, SHOP EQUIPMENT - 5 YEAR TOOLS</t>
  </si>
  <si>
    <t>LABORATORY EQUIPMENT &lt; $20K</t>
  </si>
  <si>
    <t>POWER OPERATED EQUIPMENT</t>
  </si>
  <si>
    <t>COMMUNICATIONS EQUIPMENT - NON MOBILE</t>
  </si>
  <si>
    <t>COMMUNICATIONS EQUIPMENT - MOBILE</t>
  </si>
  <si>
    <t>MISCELLANEOUS EQUIPMENT &lt; $20K</t>
  </si>
  <si>
    <t>ELECTRIC PLANT</t>
  </si>
  <si>
    <t>STEAM PRODUCTION PLANT</t>
  </si>
  <si>
    <t>Total Wild Horse</t>
  </si>
  <si>
    <t>GAS PLANT</t>
  </si>
  <si>
    <t>TOTAL MANUFACTURED GAS PRODUCTION PLANT</t>
  </si>
  <si>
    <t>TOTAL UNDERGROUND STORAGE PLANT</t>
  </si>
  <si>
    <t>TOTAL LIQUEFIED NATURAL GAS PLANT</t>
  </si>
  <si>
    <t>ACCOUNT</t>
  </si>
  <si>
    <t>NUMBER</t>
  </si>
  <si>
    <t>DESCRIPTION</t>
  </si>
  <si>
    <t>ACQUISITION</t>
  </si>
  <si>
    <t>VALUE</t>
  </si>
  <si>
    <t>CURRENT</t>
  </si>
  <si>
    <t>RATE</t>
  </si>
  <si>
    <t>PROPOSED</t>
  </si>
  <si>
    <t>C390</t>
  </si>
  <si>
    <t>E303</t>
  </si>
  <si>
    <t>E341</t>
  </si>
  <si>
    <t>E344</t>
  </si>
  <si>
    <t>OTHER PROD PLANT GENERATORS-LEASE</t>
  </si>
  <si>
    <t>E390</t>
  </si>
  <si>
    <t>GEN PLANT STRUCT &amp; IMP - LEASEHOLDS</t>
  </si>
  <si>
    <t>MISC INTANGIBLE EQUIPMENT</t>
  </si>
  <si>
    <t>C302</t>
  </si>
  <si>
    <t>FRANCHISES &amp; CONSENTS</t>
  </si>
  <si>
    <t>C303</t>
  </si>
  <si>
    <t>C389</t>
  </si>
  <si>
    <t>COMMON PLANT - LAND &amp; LAND RIGHTS</t>
  </si>
  <si>
    <t>C392</t>
  </si>
  <si>
    <t>GEN PLANT TRANSP - AIRCRAFT</t>
  </si>
  <si>
    <t>C399</t>
  </si>
  <si>
    <t>GEN PLANT ARO</t>
  </si>
  <si>
    <t>MISCELLANEOUS EQUIPMENT &gt; $20K</t>
  </si>
  <si>
    <t>OFFICE FURNITURE &amp; EQUIP &gt; $20K</t>
  </si>
  <si>
    <t>OFFICE FURNITURE &amp; EQUIP &lt; $20K</t>
  </si>
  <si>
    <t>OFFICE FURNITURE &amp; EQUIP - MODULAR</t>
  </si>
  <si>
    <t>COMPUTER EQUIPMENT &gt; $20K</t>
  </si>
  <si>
    <t>COMPUTER EQUIPMENT &lt; $20K</t>
  </si>
  <si>
    <t>STORES EQUIPMENT</t>
  </si>
  <si>
    <t>COMMUNICATION EQUIP - MOBILE</t>
  </si>
  <si>
    <t>COMMUNICATION EQUIP - NON MOBILE</t>
  </si>
  <si>
    <t>TOOLS, SHOP &amp; GARAGE EQUIP. &gt; $20K</t>
  </si>
  <si>
    <t>DEPRECIATION</t>
  </si>
  <si>
    <t>EXPENSE</t>
  </si>
  <si>
    <t>E301</t>
  </si>
  <si>
    <t>E302</t>
  </si>
  <si>
    <t>INTANGIBLE PLANT - ORGANIZATION</t>
  </si>
  <si>
    <t>INTANGIBLE PLANT - FRANCHISES &amp; CONS</t>
  </si>
  <si>
    <t>E310</t>
  </si>
  <si>
    <t>STEAM PRODUCTION PLANT - LAND</t>
  </si>
  <si>
    <t>Goldendale</t>
  </si>
  <si>
    <t>Total Goldendale</t>
  </si>
  <si>
    <t>E317</t>
  </si>
  <si>
    <t>STEAM PRODUCTION PLANT - ARO</t>
  </si>
  <si>
    <t>E330</t>
  </si>
  <si>
    <t>HYDRAULIC PLANT - LAND &amp; LAND RIGHTS</t>
  </si>
  <si>
    <t>C391.1</t>
  </si>
  <si>
    <t>C391.2</t>
  </si>
  <si>
    <t>C393</t>
  </si>
  <si>
    <t>C394</t>
  </si>
  <si>
    <t>C396</t>
  </si>
  <si>
    <t>C397</t>
  </si>
  <si>
    <t>C398</t>
  </si>
  <si>
    <t>E311</t>
  </si>
  <si>
    <t>E312</t>
  </si>
  <si>
    <t>E314</t>
  </si>
  <si>
    <t>E315</t>
  </si>
  <si>
    <t>E316</t>
  </si>
  <si>
    <t>E331</t>
  </si>
  <si>
    <t>E332</t>
  </si>
  <si>
    <t>E333</t>
  </si>
  <si>
    <t>E334</t>
  </si>
  <si>
    <t>E335</t>
  </si>
  <si>
    <t>E335.1</t>
  </si>
  <si>
    <t>E336</t>
  </si>
  <si>
    <t>E338</t>
  </si>
  <si>
    <t>E342</t>
  </si>
  <si>
    <t>E345</t>
  </si>
  <si>
    <t>E346.1</t>
  </si>
  <si>
    <t>E346</t>
  </si>
  <si>
    <t>E348</t>
  </si>
  <si>
    <t>E351</t>
  </si>
  <si>
    <t>E352</t>
  </si>
  <si>
    <t>E353</t>
  </si>
  <si>
    <t>E354</t>
  </si>
  <si>
    <t>E355</t>
  </si>
  <si>
    <t>E356</t>
  </si>
  <si>
    <t>E358</t>
  </si>
  <si>
    <t>E359</t>
  </si>
  <si>
    <t>E361</t>
  </si>
  <si>
    <t>E362</t>
  </si>
  <si>
    <t>E364</t>
  </si>
  <si>
    <t>E365</t>
  </si>
  <si>
    <t>E366</t>
  </si>
  <si>
    <t>E367</t>
  </si>
  <si>
    <t>E368</t>
  </si>
  <si>
    <t>E369</t>
  </si>
  <si>
    <t>E370</t>
  </si>
  <si>
    <t>E373</t>
  </si>
  <si>
    <t>E375</t>
  </si>
  <si>
    <t>E391.1</t>
  </si>
  <si>
    <t>E391.2</t>
  </si>
  <si>
    <t>E392</t>
  </si>
  <si>
    <t>E393</t>
  </si>
  <si>
    <t>E394</t>
  </si>
  <si>
    <t>E395</t>
  </si>
  <si>
    <t>E396</t>
  </si>
  <si>
    <t>E397</t>
  </si>
  <si>
    <t>E398</t>
  </si>
  <si>
    <t>G305</t>
  </si>
  <si>
    <t>G311</t>
  </si>
  <si>
    <t>G320</t>
  </si>
  <si>
    <t>G351.1</t>
  </si>
  <si>
    <t>G351.2</t>
  </si>
  <si>
    <t>G351.3</t>
  </si>
  <si>
    <t>G351.4</t>
  </si>
  <si>
    <t>G352.1</t>
  </si>
  <si>
    <t>G352.2</t>
  </si>
  <si>
    <t>G352.3</t>
  </si>
  <si>
    <t>G353</t>
  </si>
  <si>
    <t>G354</t>
  </si>
  <si>
    <t>G355</t>
  </si>
  <si>
    <t>G356</t>
  </si>
  <si>
    <t>G357</t>
  </si>
  <si>
    <t>G361</t>
  </si>
  <si>
    <t>G362</t>
  </si>
  <si>
    <t>G363</t>
  </si>
  <si>
    <t>G364</t>
  </si>
  <si>
    <t>G373</t>
  </si>
  <si>
    <t>G375</t>
  </si>
  <si>
    <t>G376.1</t>
  </si>
  <si>
    <t>G376.2</t>
  </si>
  <si>
    <t>G376.3</t>
  </si>
  <si>
    <t>G376.4</t>
  </si>
  <si>
    <t>G378</t>
  </si>
  <si>
    <t>G380</t>
  </si>
  <si>
    <t>G380.1</t>
  </si>
  <si>
    <t>G381</t>
  </si>
  <si>
    <t>G382</t>
  </si>
  <si>
    <t>G383</t>
  </si>
  <si>
    <t>G384</t>
  </si>
  <si>
    <t>G385</t>
  </si>
  <si>
    <t>G386.1</t>
  </si>
  <si>
    <t>G386.2</t>
  </si>
  <si>
    <t>G386.3</t>
  </si>
  <si>
    <t>G386.5</t>
  </si>
  <si>
    <t>G387</t>
  </si>
  <si>
    <t>G390</t>
  </si>
  <si>
    <t>G391.1</t>
  </si>
  <si>
    <t>G391.2</t>
  </si>
  <si>
    <t>G393</t>
  </si>
  <si>
    <t>G394</t>
  </si>
  <si>
    <t>G395</t>
  </si>
  <si>
    <t>G396</t>
  </si>
  <si>
    <t>G397</t>
  </si>
  <si>
    <t>G398</t>
  </si>
  <si>
    <t>E340</t>
  </si>
  <si>
    <t>OTHER PROD PLANT - LAND</t>
  </si>
  <si>
    <t>E347</t>
  </si>
  <si>
    <t>OTHER PROD PLANT - ARO</t>
  </si>
  <si>
    <t>OTHER PROD PLANT STRUCT (LEASEHOLDS)</t>
  </si>
  <si>
    <t>E350</t>
  </si>
  <si>
    <t>TRANSMISSION PLANT - LAND</t>
  </si>
  <si>
    <t>E360</t>
  </si>
  <si>
    <t>DISTRIBUTION PLANT - LAND &amp; LAND RIGHTS</t>
  </si>
  <si>
    <t>E372</t>
  </si>
  <si>
    <t>E374</t>
  </si>
  <si>
    <t>DISTRIBUTION PLANT - LEASED PROP</t>
  </si>
  <si>
    <t>DISTRIBUTION PLANT - ARO</t>
  </si>
  <si>
    <t>E389</t>
  </si>
  <si>
    <t>GENERAL PLANT - LAND</t>
  </si>
  <si>
    <t xml:space="preserve">STRUCTURES &amp; IMPROVEMENTS </t>
  </si>
  <si>
    <t>STRUCTURES &amp; IMPROVEMENTS- COLSTRIP</t>
  </si>
  <si>
    <t xml:space="preserve">OFFICE FURNITURE &amp; EQUIP &lt; $20K </t>
  </si>
  <si>
    <t>OFFICE FURNITURE &amp; EQUIP MODULAR</t>
  </si>
  <si>
    <t>OFFICE FURNITURE &amp; EQUIP ENCOGEN &gt; 20K</t>
  </si>
  <si>
    <t>OFFICE FURN &amp; EQUIP - COMPUTERS &gt; 20K</t>
  </si>
  <si>
    <t>OFFICE FURN &amp; EQUIP - COMPUTERS &lt; 20K</t>
  </si>
  <si>
    <t>OFFICE FURN &amp; EQUIP - COMPUTERS FRED 1</t>
  </si>
  <si>
    <t>TRANSPORTATION EQUIPMENT - AMORTIZED</t>
  </si>
  <si>
    <t>TRANSP EQUIP - ENCOGEN AMORTIZED</t>
  </si>
  <si>
    <t xml:space="preserve">STORES EQUIPMENT &lt; $20K </t>
  </si>
  <si>
    <t xml:space="preserve">STORES EQUPMENT - FORKLIFT </t>
  </si>
  <si>
    <t xml:space="preserve">TOOLS, SHOP &amp; GARAGE  &gt; $20K </t>
  </si>
  <si>
    <t>TOOLS, SHOP &amp; GARAGE 30 YEAR TOOLS</t>
  </si>
  <si>
    <t>TOOLS, SHOP &amp; GARAGE 5 YEAR TOOLS</t>
  </si>
  <si>
    <t xml:space="preserve">LABORATORY EQUIPMENT &gt; $20K </t>
  </si>
  <si>
    <t xml:space="preserve">LABORATORY EQUIPMENT &lt; $20K </t>
  </si>
  <si>
    <t>COMMUNICATION EQUIPMENT - NON MOBILE</t>
  </si>
  <si>
    <t>COMMUNICATION EQUIPMENT - MOBILE</t>
  </si>
  <si>
    <t>COMMUNICATION EQUIPMENT - 3RD AC</t>
  </si>
  <si>
    <t>COMMUNICATION EQUIPMENT - COLSTRIP 1 &amp; 2</t>
  </si>
  <si>
    <t>COMMUNICATION EQUIPMENT - COLSTRIP 3 &amp; 4</t>
  </si>
  <si>
    <t>COMM EQUIPMENT - FREDRICKSON 1</t>
  </si>
  <si>
    <t>COMM EQUIPMENT - HOPKINS RIDGE</t>
  </si>
  <si>
    <t>COMM EQUIPMENT - MOBILE RADIO</t>
  </si>
  <si>
    <t>MISCELLANEOUS EQUIPMENT</t>
  </si>
  <si>
    <t>E399</t>
  </si>
  <si>
    <t>GENERAL PLANT - ARO</t>
  </si>
  <si>
    <t>G301</t>
  </si>
  <si>
    <t>G302</t>
  </si>
  <si>
    <t>G303</t>
  </si>
  <si>
    <t>G304</t>
  </si>
  <si>
    <t>INTANGIBLE PLANT - FRANCHISES &amp; CONSENTS</t>
  </si>
  <si>
    <t>INTANGIBLE PLANT - MISC INTANGIBLE PLANT</t>
  </si>
  <si>
    <t>PRODUCTION PLANT - LAND &amp; LAND RIGHTS</t>
  </si>
  <si>
    <t>G350</t>
  </si>
  <si>
    <t>UNDERGROUND STORAGE - LAND</t>
  </si>
  <si>
    <t>G360</t>
  </si>
  <si>
    <t>G374</t>
  </si>
  <si>
    <t>OTHER STORAGE - LAND &amp; LAND RIGHTS</t>
  </si>
  <si>
    <t>G376</t>
  </si>
  <si>
    <t>DISTR PLANT - MAINS (CATHODIC PROTECTION)</t>
  </si>
  <si>
    <t>DISTR PLANT - SERVICES ( CATH PROTECTION)</t>
  </si>
  <si>
    <t>G388</t>
  </si>
  <si>
    <t>G389</t>
  </si>
  <si>
    <t>GENERAL PLANT - LAND &amp; LAND RIGHTS</t>
  </si>
  <si>
    <t>RECONCILING ITEMS (NON-DEPRECIATED)</t>
  </si>
  <si>
    <t xml:space="preserve">Colstrip Unit 1-2 </t>
  </si>
  <si>
    <t xml:space="preserve">Colstrip Unit 3-4 </t>
  </si>
  <si>
    <t>TRANSMISSION PLANT - ROADS &amp; TRAILS (ARO)</t>
  </si>
  <si>
    <t>Non Project Transmission</t>
  </si>
  <si>
    <t>Total Non Project Transmission</t>
  </si>
  <si>
    <t>Northern Intertie</t>
  </si>
  <si>
    <t>Total Northern Intertie</t>
  </si>
  <si>
    <t>Oregon State/3rd AC Line</t>
  </si>
  <si>
    <t>Total Oregon State/3rd AC Line</t>
  </si>
  <si>
    <t>Non Project Distribution</t>
  </si>
  <si>
    <t>Total Non Project Distribution</t>
  </si>
  <si>
    <t>Snoqualmie #1</t>
  </si>
  <si>
    <t>Snoqualmie #2</t>
  </si>
  <si>
    <t>Total Snoqualmie #2</t>
  </si>
  <si>
    <t>Total Snoqualmie #1</t>
  </si>
  <si>
    <t>Koma Kulshan Total</t>
  </si>
  <si>
    <t>Total Koma Kulshan Total</t>
  </si>
  <si>
    <t>TOTAL UTILITY PLANT IN SERVICE</t>
  </si>
  <si>
    <t>TOTAL COMMON PLANT IN SERVICE</t>
  </si>
  <si>
    <t>TOTAL ELECTRIC PLANT IN SERVICE</t>
  </si>
  <si>
    <t>TOTAL GAS PLANT IN SERVICE</t>
  </si>
  <si>
    <t>TOTAL UTILITY PLANT IN SERVICE (DEPRECIATED)</t>
  </si>
  <si>
    <t>TOTAL UTILITY PLANT IN SERVICE (NON-DEPRECIATED)</t>
  </si>
  <si>
    <t>Reconciling Items:</t>
  </si>
  <si>
    <t>Electric</t>
  </si>
  <si>
    <t>Gas</t>
  </si>
  <si>
    <t>to cc 300</t>
  </si>
  <si>
    <t>G392</t>
  </si>
  <si>
    <t>TOTAL COMMON PLANT (NON-DEPRECIATED)</t>
  </si>
  <si>
    <t>TOTAL ELECTRIC PLANT (NON-DEPRECIATED)</t>
  </si>
  <si>
    <t>TOTAL GAS PLANT (NON DEPRECIATED)</t>
  </si>
  <si>
    <t xml:space="preserve">Depreciation Rate Comparison </t>
  </si>
  <si>
    <t>Financial Statements</t>
  </si>
  <si>
    <t>C392 - Aircraft, not included in depr study - group #s 101208-09</t>
  </si>
  <si>
    <t xml:space="preserve">Common </t>
  </si>
  <si>
    <t>Balance as of 9/30/2007</t>
  </si>
  <si>
    <t>E372 - Dist Lease, not included in depr study - group #s 101085,86</t>
  </si>
  <si>
    <t>G386 - Group # 100284 - 0 acquisition value.</t>
  </si>
  <si>
    <t>E331 - Group # 100054 WRG - 0 acqusition value</t>
  </si>
  <si>
    <t>E358 - Group # 100167 - 0 acquisition value</t>
  </si>
  <si>
    <t>E344 - Group # 100736 - 0 acquisition value</t>
  </si>
  <si>
    <t>G386.2 Pipe &amp; vents not included in depr study - group # 100779</t>
  </si>
  <si>
    <t>G386.3 Pipe &amp; vents not included in depr study - group # 100780</t>
  </si>
  <si>
    <t>G386.5 Pipe &amp; vents not included in depr study - group # 100818</t>
  </si>
  <si>
    <t>G366 - Gas Transmission not included in depr study</t>
  </si>
  <si>
    <t>G367 - Gas Transmission not included in depr study</t>
  </si>
  <si>
    <t>G369 - Gas Transmission not included in depr study</t>
  </si>
  <si>
    <t>G372 - Gas Transmission not included in depr study</t>
  </si>
  <si>
    <t>G376 - Cathodic Protection, not included in depr study - group # 100933</t>
  </si>
  <si>
    <t>G380 - Cathodic Protection, not included in depr study - group # 100934</t>
  </si>
  <si>
    <t xml:space="preserve">C392 - cleared to cc300 </t>
  </si>
  <si>
    <t xml:space="preserve">C396 - cleared to cc300 </t>
  </si>
  <si>
    <t xml:space="preserve">G392 - cleared to cc300 </t>
  </si>
  <si>
    <t xml:space="preserve">C386 - cleared to cc300 </t>
  </si>
  <si>
    <t>Gas pipe &amp; vents (cleared to regulatory asset)</t>
  </si>
  <si>
    <t xml:space="preserve">C399 - Asset Retirement Cost (ARO Asset) - Not Recoverable </t>
  </si>
  <si>
    <t>Depreciation reclass to ARO (E317)</t>
  </si>
  <si>
    <t>Depreciation reclass to ARO (E359)</t>
  </si>
  <si>
    <t>Depreciation reclass to ARO (E374)</t>
  </si>
  <si>
    <t>group # 100933</t>
  </si>
  <si>
    <t>group # 100934</t>
  </si>
  <si>
    <t>TOTAL ELECTRIC PLANT WITH ARO RECLASSES</t>
  </si>
  <si>
    <t>ARO RECLASSES</t>
  </si>
  <si>
    <t>TOTAL GAS PLANT WITH ARO RECLASSES</t>
  </si>
  <si>
    <t>403.1 ARO Depreciation (from E311 to E317)</t>
  </si>
  <si>
    <t>403.1 ARO Depreciation (from E355 to E359)</t>
  </si>
  <si>
    <t>403.1 ARO Depreciation (from E364 to E374)</t>
  </si>
  <si>
    <t>403.1 ARO Depreciation (from E368 to E374)</t>
  </si>
  <si>
    <t>403.1 ARO Depreciation (from G376 to G388)</t>
  </si>
  <si>
    <t>Depreciation reclass to ARO (G388)</t>
  </si>
  <si>
    <t xml:space="preserve">   ** includes reclasses</t>
  </si>
  <si>
    <t>Notes:</t>
  </si>
  <si>
    <t>The following manual entries were made in the 4th quarter of 2006</t>
  </si>
  <si>
    <t>E337 - Easement, group # 100970, not included in depr. study</t>
  </si>
  <si>
    <t>Asset Retirement Cost (ARO Asset) - no reclass</t>
  </si>
  <si>
    <t>Misclass (adjustment) to balance to subledger</t>
  </si>
  <si>
    <t>Manual depreciation accrual (E364, E365, E366, E377)</t>
  </si>
  <si>
    <t>Manual depreciation accrual (G354)</t>
  </si>
  <si>
    <t>From E364-group # 100177 to E374-group # 101135</t>
  </si>
  <si>
    <t>From E368-group # 100181 to E374-group # 101136</t>
  </si>
  <si>
    <t>From G376-group # 100887 to G388-group # 101151</t>
  </si>
  <si>
    <t>E347 - Easement group # 100125 and ARO group # 101103,  not included in depreciation study</t>
  </si>
  <si>
    <t>From G376-group # 100900 to G388-group # 101106</t>
  </si>
  <si>
    <t>to reclass from 403 directly to 108 (for new and recalculated of AROs)</t>
  </si>
  <si>
    <t xml:space="preserve">STRUCTURES AND IMPROVEMENTS                 </t>
  </si>
  <si>
    <t xml:space="preserve">  EAST SIDE TELECOMMUNICATION OFFICE</t>
  </si>
  <si>
    <t xml:space="preserve">  FACTORIA</t>
  </si>
  <si>
    <t xml:space="preserve">  OTHER STRUCTURES</t>
  </si>
  <si>
    <t>TOTAL STRUCTURES AND IMPROVEMENTS</t>
  </si>
  <si>
    <t xml:space="preserve">OFFICE FURNITURE AND EQUIPMENT   </t>
  </si>
  <si>
    <t>OFFICE FURNITURE AND EQUIPMENT - COMPUTERS</t>
  </si>
  <si>
    <t xml:space="preserve">TRANSPORTATION EQUIPMENT                  </t>
  </si>
  <si>
    <t xml:space="preserve">STORES EQUIPMENT                          </t>
  </si>
  <si>
    <t xml:space="preserve">TOOLS, SHOP AND GARAGE EQUIPMENT           </t>
  </si>
  <si>
    <t xml:space="preserve">POWER OPERATED EQUIPMENT                  </t>
  </si>
  <si>
    <t xml:space="preserve">COMMUNICATION EQUIPMENT **                  </t>
  </si>
  <si>
    <t xml:space="preserve">  FULLY ACCRUED</t>
  </si>
  <si>
    <t xml:space="preserve">  AMORTIZED</t>
  </si>
  <si>
    <t xml:space="preserve">MISCELLANEOUS EQUIPMENT                   </t>
  </si>
  <si>
    <t>UNRECOVERED RESERVE TO BE AMORTIZED</t>
  </si>
  <si>
    <t xml:space="preserve">COMMUNICATION EQUIPMENT                   </t>
  </si>
  <si>
    <t>TOTAL UNRECOVERED RESERVE TO BE AMORTIZED</t>
  </si>
  <si>
    <t>NONDEPRECIABLE PLANT AND ACCOUNTS NOT STUDIED</t>
  </si>
  <si>
    <t>FRANCHISES AND CONSENTS</t>
  </si>
  <si>
    <t>MISCELLANEOUS INTANGIBLE PLANT</t>
  </si>
  <si>
    <t>LAND AND LAND RIGHTS</t>
  </si>
  <si>
    <t xml:space="preserve">STRUCTURES AND IMPROVEMENTS - LEASEHOLDS           </t>
  </si>
  <si>
    <t>AIRCRAFT</t>
  </si>
  <si>
    <t>AIRCRAFT ENGINE REBUILD</t>
  </si>
  <si>
    <t>ARO</t>
  </si>
  <si>
    <t xml:space="preserve">    TOTAL COMMON PLANT </t>
  </si>
  <si>
    <t xml:space="preserve">STRUCTURES AND IMPROVEMENTS      </t>
  </si>
  <si>
    <t xml:space="preserve">DISTRIBUTION PLANT </t>
  </si>
  <si>
    <t xml:space="preserve">GENERAL PLANT </t>
  </si>
  <si>
    <t xml:space="preserve">TRANSPORTATION EQUIPMENT       </t>
  </si>
  <si>
    <t xml:space="preserve">STORES EQUIPMENT               </t>
  </si>
  <si>
    <t>TOOLS, SHOP AND GARAGE EQUIPMENT</t>
  </si>
  <si>
    <t xml:space="preserve">LABORATORY EQUIPMENT           </t>
  </si>
  <si>
    <t xml:space="preserve">POWER OPERATED EQUIPMENT       </t>
  </si>
  <si>
    <t xml:space="preserve">MISCELLANEOUS EQUIPMENT        </t>
  </si>
  <si>
    <t xml:space="preserve">COMMUNICATION EQUIPMENT        </t>
  </si>
  <si>
    <t xml:space="preserve">STEAM PRODUCTION PLANT </t>
  </si>
  <si>
    <t xml:space="preserve">  COLSTRIP 1               </t>
  </si>
  <si>
    <t xml:space="preserve">  COLSTRIP 2               </t>
  </si>
  <si>
    <t xml:space="preserve">  COLSTRIP 3               </t>
  </si>
  <si>
    <t xml:space="preserve">  COLSTRIP 4               </t>
  </si>
  <si>
    <t xml:space="preserve">  COLSTRIP 1-2             </t>
  </si>
  <si>
    <t xml:space="preserve">  COLSTRIP 3-4             </t>
  </si>
  <si>
    <t xml:space="preserve">  FREDERICKSON 1/EPCOR</t>
  </si>
  <si>
    <t xml:space="preserve">  GOLDENDALE</t>
  </si>
  <si>
    <t xml:space="preserve">  MINT FARM</t>
  </si>
  <si>
    <t xml:space="preserve">  SUMAS</t>
  </si>
  <si>
    <t xml:space="preserve">  FERNDALE</t>
  </si>
  <si>
    <t xml:space="preserve">  COLSTRIP 1          </t>
  </si>
  <si>
    <t xml:space="preserve">  COLSTRIP 2          </t>
  </si>
  <si>
    <t xml:space="preserve">  COLSTRIP 3          </t>
  </si>
  <si>
    <t xml:space="preserve">  COLSTRIP 4          </t>
  </si>
  <si>
    <t xml:space="preserve">  COLSTRIP 1-2        </t>
  </si>
  <si>
    <t xml:space="preserve">  COLSTRIP 3-4        </t>
  </si>
  <si>
    <t xml:space="preserve">  ENCOGEN</t>
  </si>
  <si>
    <t>TOTAL BOILER PLANT EQUIPMENT</t>
  </si>
  <si>
    <t>TURBOGENERATOR UNITS</t>
  </si>
  <si>
    <t xml:space="preserve">  COLSTRIP 1        </t>
  </si>
  <si>
    <t xml:space="preserve">  COLSTRIP 2        </t>
  </si>
  <si>
    <t xml:space="preserve">  COLSTRIP 3        </t>
  </si>
  <si>
    <t xml:space="preserve">  COLSTRIP 4        </t>
  </si>
  <si>
    <t xml:space="preserve">  COLSTRIP 1-2      </t>
  </si>
  <si>
    <t>TOTAL TURBOGENERATOR UNITS</t>
  </si>
  <si>
    <t xml:space="preserve">  COLSTRIP 1                </t>
  </si>
  <si>
    <t xml:space="preserve">  COLSTRIP 2                </t>
  </si>
  <si>
    <t xml:space="preserve">  COLSTRIP 3                </t>
  </si>
  <si>
    <t xml:space="preserve">  COLSTRIP 4                </t>
  </si>
  <si>
    <t xml:space="preserve">  COLSTRIP 1-2              </t>
  </si>
  <si>
    <t xml:space="preserve">  COLSTRIP 3-4              </t>
  </si>
  <si>
    <t>TOTAL ACCESSORY ELECTRIC EQUIPMENT</t>
  </si>
  <si>
    <t>MISCELLANEOUS POWER PLANT EQUIPMENT</t>
  </si>
  <si>
    <t xml:space="preserve">  COLSTRIP 1                       </t>
  </si>
  <si>
    <t xml:space="preserve">  COLSTRIP 2                       </t>
  </si>
  <si>
    <t xml:space="preserve">  COLSTRIP 3                       </t>
  </si>
  <si>
    <t xml:space="preserve">  COLSTRIP 4                       </t>
  </si>
  <si>
    <t xml:space="preserve">  COLSTRIP 1-2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</si>
  <si>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</si>
  <si>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</si>
  <si>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</si>
  <si>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</si>
  <si>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 xml:space="preserve">HYDROELECTRIC PRODUCTION PLANT </t>
  </si>
  <si>
    <t xml:space="preserve">   LOWER BAKER              </t>
  </si>
  <si>
    <t xml:space="preserve">   UPPER BAKER              </t>
  </si>
  <si>
    <t xml:space="preserve">   SNOQUALMIE #1            </t>
  </si>
  <si>
    <t xml:space="preserve">   SNOQUALMIE #2            </t>
  </si>
  <si>
    <t>RESERVOIRS, DAMS AND WATERWAYS</t>
  </si>
  <si>
    <t xml:space="preserve">  LOWER BAKER              </t>
  </si>
  <si>
    <t xml:space="preserve">  UPPER BAKER              </t>
  </si>
  <si>
    <t xml:space="preserve">  SNOQUALMIE #1            </t>
  </si>
  <si>
    <t xml:space="preserve">  SNOQUALMIE #2            </t>
  </si>
  <si>
    <t>TOTAL RESERVOIRS, DAMS AND WATERWAYS</t>
  </si>
  <si>
    <t>WATER WHEELS, TURBINES AND GENERATORS</t>
  </si>
  <si>
    <t xml:space="preserve">  LOWER BAKER                      </t>
  </si>
  <si>
    <t xml:space="preserve">  UPPER BAKER                      </t>
  </si>
  <si>
    <t xml:space="preserve">  SNOQUALMIE #1                    </t>
  </si>
  <si>
    <t xml:space="preserve">  SNOQUALMIE #2                    </t>
  </si>
  <si>
    <t>TOTAL WATER WHEELS, TURBINES AND GENERATORS</t>
  </si>
  <si>
    <t xml:space="preserve">  LOWER BAKER               </t>
  </si>
  <si>
    <t xml:space="preserve">  SNOQUALMIE #1             </t>
  </si>
  <si>
    <t xml:space="preserve">  SNOQUALMIE #2             </t>
  </si>
  <si>
    <t xml:space="preserve">  LOWER BAKER      </t>
  </si>
  <si>
    <t xml:space="preserve">  UPPER BAKER      </t>
  </si>
  <si>
    <t xml:space="preserve">  SNOQUALMIE #1    </t>
  </si>
  <si>
    <t xml:space="preserve">  SNOQUALMIE #2    </t>
  </si>
  <si>
    <t>TOTAL MISCELLANEOUS TOOLS</t>
  </si>
  <si>
    <t>ROADS, RAILROADS AND BRIDGES</t>
  </si>
  <si>
    <t xml:space="preserve">  SNOQUALMIE #1</t>
  </si>
  <si>
    <t>TOTAL ROADS, RAILROADS AND BRIDGES</t>
  </si>
  <si>
    <t xml:space="preserve">    TOTAL HYDROELECTRIC PRODUCTION PLANT </t>
  </si>
  <si>
    <t xml:space="preserve"> </t>
  </si>
  <si>
    <t xml:space="preserve">  ENCOGEN                  </t>
  </si>
  <si>
    <t xml:space="preserve">  CRYSTAL MOUNTAIN         </t>
  </si>
  <si>
    <t xml:space="preserve">  FREDONIA                 </t>
  </si>
  <si>
    <t xml:space="preserve">  FREDERICKSON             </t>
  </si>
  <si>
    <t xml:space="preserve">  WHITEHORN 2-3            </t>
  </si>
  <si>
    <t>STRUCTURES AND IMPROVEMENTS - WIND</t>
  </si>
  <si>
    <t xml:space="preserve">  LOWER SNAKE RIVER</t>
  </si>
  <si>
    <t xml:space="preserve">  HOPKINS RIDGE</t>
  </si>
  <si>
    <t xml:space="preserve">  WILD HORSE</t>
  </si>
  <si>
    <t>TOTAL STRUCTURES AND IMPROVEMENTS - WIND</t>
  </si>
  <si>
    <t>FUEL HOLDERS, PRODUCERS AND ACCESSORIES</t>
  </si>
  <si>
    <t xml:space="preserve">  ENCOGEN                            </t>
  </si>
  <si>
    <t xml:space="preserve">  CRYSTAL MOUNTAIN                   </t>
  </si>
  <si>
    <t xml:space="preserve">  FREDONIA                           </t>
  </si>
  <si>
    <t xml:space="preserve">  FREDERICKSON                       </t>
  </si>
  <si>
    <t xml:space="preserve">  WHITEHORN 2-3                      </t>
  </si>
  <si>
    <t>TOTAL FUEL HOLDERS, PRODUCERS AND ACCESSORIES</t>
  </si>
  <si>
    <t xml:space="preserve">GENERATORS        </t>
  </si>
  <si>
    <t xml:space="preserve">  CRYSTAL MOUNTAIN</t>
  </si>
  <si>
    <t xml:space="preserve">  FREDONIA        </t>
  </si>
  <si>
    <t xml:space="preserve">  FREDERICKSON    </t>
  </si>
  <si>
    <t xml:space="preserve">  WHITEHORN 2-3   </t>
  </si>
  <si>
    <t>TOTAL GENERATORS</t>
  </si>
  <si>
    <t>GENERATORS - WIND</t>
  </si>
  <si>
    <t>TOTAL GENERATORS - WIND</t>
  </si>
  <si>
    <t>GENERATORS - COMBINED CYCLE</t>
  </si>
  <si>
    <t xml:space="preserve">  ENCOGEN          </t>
  </si>
  <si>
    <t>TOTAL GENERATORS - COMBINED CYCLE</t>
  </si>
  <si>
    <t xml:space="preserve">  ENCOGEN                   </t>
  </si>
  <si>
    <t xml:space="preserve">  CRYSTAL MOUNTAIN          </t>
  </si>
  <si>
    <t xml:space="preserve">  FREDONIA                  </t>
  </si>
  <si>
    <t xml:space="preserve">  FREDERICKSON              </t>
  </si>
  <si>
    <t xml:space="preserve">  WHITEHORN 2-3             </t>
  </si>
  <si>
    <t>ACCESSORY ELECTRIC EQUIPMENT - WIND</t>
  </si>
  <si>
    <t>TOTAL ACCESSORY ELECTRIC EQUIPMENT - WIND</t>
  </si>
  <si>
    <t xml:space="preserve">  ENCOGEN                          </t>
  </si>
  <si>
    <t xml:space="preserve">  FREDONIA                         </t>
  </si>
  <si>
    <t xml:space="preserve">  FREDERICKSON                     </t>
  </si>
  <si>
    <t>MISCELLANEOUS POWER PLANT EQUIPMENT - WIND</t>
  </si>
  <si>
    <t>TOTAL MISCELLANEOUS POWER PLANT EQUIPMENT - WIND</t>
  </si>
  <si>
    <t>MISCELLANEOUS TOOLS - WIND</t>
  </si>
  <si>
    <t>TOTAL MISCELLANEOUS TOOLS - WIND</t>
  </si>
  <si>
    <t xml:space="preserve">    TOTAL OTHER PRODUCTION PLANT </t>
  </si>
  <si>
    <t xml:space="preserve">TRANSMISSION PLANT </t>
  </si>
  <si>
    <t>EASEMENTS - HVD RECLASS</t>
  </si>
  <si>
    <t>EASEMENTS - SUBTRANSMISSION</t>
  </si>
  <si>
    <t>EASEMENTS - GIF</t>
  </si>
  <si>
    <t xml:space="preserve">STRUCTURES AND IMPROVEMENTS         </t>
  </si>
  <si>
    <t>STRUCTURES AND IMPROVEMENTS - SUBTRANSMISSION</t>
  </si>
  <si>
    <t>STRUCTURES AND IMPROVEMENTS - HVD RECLASS</t>
  </si>
  <si>
    <t>STRUCTURES AND IMPROVEMENTS - GIF</t>
  </si>
  <si>
    <t xml:space="preserve">STATION EQUIPMENT                   </t>
  </si>
  <si>
    <t>STATION EQUIPMENT - SUBTRANSMISSION</t>
  </si>
  <si>
    <t>STATION EQUIPMENT - HVD RECLASS</t>
  </si>
  <si>
    <t>STATION EQUIPMENT - LIF</t>
  </si>
  <si>
    <t xml:space="preserve">STATION EQUIPMENT - GIF  </t>
  </si>
  <si>
    <t xml:space="preserve">TOWERS AND FIXTURES                 </t>
  </si>
  <si>
    <t>TOWERS AND FIXTURES - HVD RECLASS</t>
  </si>
  <si>
    <t xml:space="preserve">TOWERS AND FIXTURES - GIF                 </t>
  </si>
  <si>
    <t xml:space="preserve">POLES AND FIXTURES                  </t>
  </si>
  <si>
    <t xml:space="preserve">POLES AND FIXTURES - SUBTRANSMISSION </t>
  </si>
  <si>
    <t xml:space="preserve">POLES AND FIXTURES - HVD RECLASS                  </t>
  </si>
  <si>
    <t xml:space="preserve">POLES AND FIXTURES - GIF                  </t>
  </si>
  <si>
    <t xml:space="preserve">OVERHEAD CONDUCTORS AND DEVICES     </t>
  </si>
  <si>
    <t>OVERHEAD CONDUCTORS AND DEVICES - SUBTRANSMISSION</t>
  </si>
  <si>
    <t xml:space="preserve">OVERHEAD CONDUCTORS AND DEVICES - HVD RECLASS    </t>
  </si>
  <si>
    <t xml:space="preserve">OVERHEAD CONDUCTORS AND DEVICES - GIF     </t>
  </si>
  <si>
    <t>UNDERGROUND CONDUIT - HVD RECLASS</t>
  </si>
  <si>
    <t>UNDERGROUND CONDUCTORS AND DEVICES - HVD RECLASS</t>
  </si>
  <si>
    <t xml:space="preserve">UNDERGROUND CONDUCTORS AND DEVICES - GIF </t>
  </si>
  <si>
    <t xml:space="preserve">ROADS AND TRAILS                    </t>
  </si>
  <si>
    <t xml:space="preserve">ROADS AND TRAILS - HVD RECLASS                   </t>
  </si>
  <si>
    <t xml:space="preserve">ROADS AND TRAILS - GIF                  </t>
  </si>
  <si>
    <t xml:space="preserve">    TOTAL TRANSMISSION PLANT </t>
  </si>
  <si>
    <t xml:space="preserve">STRUCTURES AND IMPROVEMENTS          </t>
  </si>
  <si>
    <t xml:space="preserve">POLES, TOWERS AND FIXTURES          </t>
  </si>
  <si>
    <t xml:space="preserve">UNDERGROUND CONDUIT                 </t>
  </si>
  <si>
    <t xml:space="preserve">UNDERGROUND CONDUCTORS AND DEVICES  </t>
  </si>
  <si>
    <t xml:space="preserve">LINE TRANSFORMERS                   </t>
  </si>
  <si>
    <t xml:space="preserve">SERVICES                            </t>
  </si>
  <si>
    <t xml:space="preserve">METERS **            </t>
  </si>
  <si>
    <t xml:space="preserve">STREET LIGHTING AND SIGNAL SYSTEMS  </t>
  </si>
  <si>
    <t xml:space="preserve">    TOTAL DISTRIBUTION PLANT </t>
  </si>
  <si>
    <t xml:space="preserve">  SKAGIT</t>
  </si>
  <si>
    <t>TOTAL OFFICE FURNITURE AND EQUIPMENT</t>
  </si>
  <si>
    <t xml:space="preserve">OFFICE FURNITURE AND EQUIPMENT - COMPUTERS  </t>
  </si>
  <si>
    <t xml:space="preserve">TOTAL STORES EQUIPMENT   </t>
  </si>
  <si>
    <t xml:space="preserve">TOTAL TOOLS, SHOP AND GARAGE EQUIPMENT   </t>
  </si>
  <si>
    <t xml:space="preserve">TOTAL LABORATORY EQUIPMENT   </t>
  </si>
  <si>
    <t xml:space="preserve">COMMUNICATION EQUIPMENT </t>
  </si>
  <si>
    <t xml:space="preserve">TOTAL COMMUNICATION EQUIPMENT   </t>
  </si>
  <si>
    <t xml:space="preserve">TOTAL MISCELLANEOUS EQUIPMENT   </t>
  </si>
  <si>
    <t xml:space="preserve">    TOTAL GENERAL PLANT </t>
  </si>
  <si>
    <t xml:space="preserve">    TOTAL UNRECOVERED RESERVE TO BE AMORTIZED</t>
  </si>
  <si>
    <t xml:space="preserve">    TOTAL DEPRECIABLE PLANT</t>
  </si>
  <si>
    <t>INCREASE</t>
  </si>
  <si>
    <t>(DECREASE)</t>
  </si>
  <si>
    <t>EXPENSE AMOUNT</t>
  </si>
  <si>
    <t>AMOUNT</t>
  </si>
  <si>
    <t>4 FACTOR</t>
  </si>
  <si>
    <t>ALLOCATOR</t>
  </si>
  <si>
    <t>PROPOSED GAS</t>
  </si>
  <si>
    <t>TOTAL  ADJUSTMENT TO RATEBASE</t>
  </si>
  <si>
    <t>ADJUSTMENT TO ACCUM. DEPREC. AT 50% DEPREC. EXPENSE LINE 19</t>
  </si>
  <si>
    <t>ADJUSTMENT TO RATE BASE</t>
  </si>
  <si>
    <t>INCREASE(DECREASE) NOI</t>
  </si>
  <si>
    <t>INCREASE(DECREASE) EXPENSE</t>
  </si>
  <si>
    <t>AMORTIZATION EXPENSE</t>
  </si>
  <si>
    <t>TOTAL DEPRECIATION EXPENSE</t>
  </si>
  <si>
    <t>SUBTOTAL DEPRECIATION EXPENSE 403.1</t>
  </si>
  <si>
    <t>403.1 DEPR. EXP - FAS 143 (NOT RECOVERED IN RATES)</t>
  </si>
  <si>
    <t>403.1 DEPR. EXP- FAS 143 (RECOVERED IN RATES)</t>
  </si>
  <si>
    <t>403 ELEC. PORTION OF COMMON</t>
  </si>
  <si>
    <t>403 ELEC. DEPRECIATION EXPENSE</t>
  </si>
  <si>
    <t>ADJUSTMENT</t>
  </si>
  <si>
    <t>RESTATED</t>
  </si>
  <si>
    <t>ACTUAL</t>
  </si>
  <si>
    <t>NO.</t>
  </si>
  <si>
    <t>LINE</t>
  </si>
  <si>
    <t>DEPRECIATION STUDY</t>
  </si>
  <si>
    <t>Current GAS</t>
  </si>
  <si>
    <t>Colstrip 1&amp;2</t>
  </si>
  <si>
    <t>Colstrip 3&amp;4</t>
  </si>
  <si>
    <t>Check</t>
  </si>
  <si>
    <t>PUGET SOUND ENERGY</t>
  </si>
  <si>
    <t>TABLE 1.  SUMMARY OF ESTIMATED SURVIVOR CURVES, NET SALVAGE, ORIGINAL COST, BOOK DEPRECIATION RESERVE</t>
  </si>
  <si>
    <t>PROBABLE</t>
  </si>
  <si>
    <t>NET</t>
  </si>
  <si>
    <t>ORIGINAL COST</t>
  </si>
  <si>
    <t>BOOK</t>
  </si>
  <si>
    <t xml:space="preserve">CALCULATED ANNUAL </t>
  </si>
  <si>
    <t>COMPOSITE</t>
  </si>
  <si>
    <t>RETIREMENT</t>
  </si>
  <si>
    <t>SURVIVOR</t>
  </si>
  <si>
    <t>SALVAGE</t>
  </si>
  <si>
    <t>AS OF</t>
  </si>
  <si>
    <t>FUTURE</t>
  </si>
  <si>
    <t xml:space="preserve">ACCRUAL </t>
  </si>
  <si>
    <t>ACCRUAL</t>
  </si>
  <si>
    <t>REMAINING</t>
  </si>
  <si>
    <t>DATE</t>
  </si>
  <si>
    <t>CURVE</t>
  </si>
  <si>
    <t>PERCENT</t>
  </si>
  <si>
    <t>RESERVE</t>
  </si>
  <si>
    <t>ACCRUALS</t>
  </si>
  <si>
    <t>LIFE</t>
  </si>
  <si>
    <t>(9)=(8)/(5)</t>
  </si>
  <si>
    <t>(10)=(7)/(8)</t>
  </si>
  <si>
    <t xml:space="preserve">ELECTRIC PLANT </t>
  </si>
  <si>
    <t>90-R2</t>
  </si>
  <si>
    <t>*</t>
  </si>
  <si>
    <t>45-R1.5</t>
  </si>
  <si>
    <t>60-S2</t>
  </si>
  <si>
    <t>50-R1.5</t>
  </si>
  <si>
    <t>SQUARE</t>
  </si>
  <si>
    <t>90-R1.5</t>
  </si>
  <si>
    <t>60-R2.5</t>
  </si>
  <si>
    <t>45-S1</t>
  </si>
  <si>
    <t>18-S4</t>
  </si>
  <si>
    <t>55-R4</t>
  </si>
  <si>
    <t>45-R3</t>
  </si>
  <si>
    <t>60-R3</t>
  </si>
  <si>
    <t>40-R2.5</t>
  </si>
  <si>
    <t>12-L0.5</t>
  </si>
  <si>
    <t>45-S1.5</t>
  </si>
  <si>
    <t>50-R2.5</t>
  </si>
  <si>
    <t>75-R4</t>
  </si>
  <si>
    <t>65-R4</t>
  </si>
  <si>
    <t>60-R2</t>
  </si>
  <si>
    <t>46-R1.5</t>
  </si>
  <si>
    <t>38-R2.5</t>
  </si>
  <si>
    <t>55-R3</t>
  </si>
  <si>
    <t>31-S0.5</t>
  </si>
  <si>
    <t>75-S1.5</t>
  </si>
  <si>
    <t>FULLY ACCRUED</t>
  </si>
  <si>
    <t>20-SQ</t>
  </si>
  <si>
    <t>5-SQ</t>
  </si>
  <si>
    <t>12-L3</t>
  </si>
  <si>
    <t>14-L3</t>
  </si>
  <si>
    <t>15-SQ</t>
  </si>
  <si>
    <t>ORGANIZATION</t>
  </si>
  <si>
    <t>MISCELLANEOUS INTANGIBLES</t>
  </si>
  <si>
    <t>STRUCTURES AND IMPROVEMENTS - LEASEHOLDS</t>
  </si>
  <si>
    <t>TOTAL NONDEPRECIABLE PLANT</t>
  </si>
  <si>
    <t xml:space="preserve">    TOTAL ELECTRIC PLANT </t>
  </si>
  <si>
    <t>*  LIFE SPAN PROCEDURE USED.  CURVE SHOWN IS INTERIM SURVIVOR CURVE.</t>
  </si>
  <si>
    <t xml:space="preserve">          </t>
  </si>
  <si>
    <t xml:space="preserve">TOTAL COMMUNICATION EQUIPMENT                   </t>
  </si>
  <si>
    <t>***</t>
  </si>
  <si>
    <t>TOTAL DEPRECIABLE PLANT</t>
  </si>
  <si>
    <t>***  5-YEAR AMORTIZATION OF UNRECOVERED RESERVE RELATED TO AMORTIZATION ACCOUNTING.</t>
  </si>
  <si>
    <t>**</t>
  </si>
  <si>
    <t>** FOR NEW ADDITIONS FOR AMI METERS, THE RECOMMENDATION IS A 20-S2.5 SURVIVOR CURVE, (10) NET SALVAGE AND A 5.50% DEPRECIATION RATE.</t>
  </si>
  <si>
    <t>LAND AND LAND RIGHTS - EASEMENTS</t>
  </si>
  <si>
    <t>60-R4</t>
  </si>
  <si>
    <t>OFFICE FURNITURE AND EQUIPMENT - COMPUTERS CAPITAL LEASE</t>
  </si>
  <si>
    <t>**  5-YEAR AMORTIZATION OF UNRECOVERED RESERVE RELATED TO AMORTIZATION ACCOUNTING.</t>
  </si>
  <si>
    <t>Expense</t>
  </si>
  <si>
    <t>+ prior month (n)</t>
  </si>
  <si>
    <t>(m) = (k) - (l)</t>
  </si>
  <si>
    <t>(l) = (b) + (i) +(j)</t>
  </si>
  <si>
    <t>(k) = (a) + (h)</t>
  </si>
  <si>
    <t>(j) = prior month - (g)</t>
  </si>
  <si>
    <t>(i) = prior month - (e)</t>
  </si>
  <si>
    <t>(h) = prior month - (d)</t>
  </si>
  <si>
    <t>(g) = (e) x (f)</t>
  </si>
  <si>
    <r>
      <t>¸</t>
    </r>
    <r>
      <rPr>
        <b/>
        <sz val="10"/>
        <rFont val="Arial"/>
        <family val="2"/>
      </rPr>
      <t xml:space="preserve"> 12 mos.</t>
    </r>
  </si>
  <si>
    <t>Table</t>
  </si>
  <si>
    <t>Net Difference</t>
  </si>
  <si>
    <t>(f) = (c) x 4.24%</t>
  </si>
  <si>
    <t>(e) = (b) x 4.24%</t>
  </si>
  <si>
    <t>(d) = (a) x Tax</t>
  </si>
  <si>
    <t>Book &gt; Tax</t>
  </si>
  <si>
    <t>Book</t>
  </si>
  <si>
    <t>Tax</t>
  </si>
  <si>
    <t>Using Tax Basis</t>
  </si>
  <si>
    <t>Book Depr.</t>
  </si>
  <si>
    <t>DFIT</t>
  </si>
  <si>
    <t>ADFIT</t>
  </si>
  <si>
    <t>NBV Diff</t>
  </si>
  <si>
    <t>Net Book Value</t>
  </si>
  <si>
    <t>Accummulated Depreciation</t>
  </si>
  <si>
    <t>Depreciation Expense</t>
  </si>
  <si>
    <t>Date</t>
  </si>
  <si>
    <t>FIT</t>
  </si>
  <si>
    <t xml:space="preserve">Difft % </t>
  </si>
  <si>
    <t xml:space="preserve">    TOTAL GENERAL PLANT IN SERVICE</t>
  </si>
  <si>
    <t>Total</t>
  </si>
  <si>
    <t>Total recoverable in rates</t>
  </si>
  <si>
    <t>Wild Horse Wind Project (New)</t>
  </si>
  <si>
    <t>Meteorological Towers -LSR</t>
  </si>
  <si>
    <t>Lower Snake River Wind</t>
  </si>
  <si>
    <t>Hopkins Ridge Wind Project</t>
  </si>
  <si>
    <t>Ferndale</t>
  </si>
  <si>
    <t>Recoverable in rates:</t>
  </si>
  <si>
    <t>Monthly depr. cost is $632.55 until  Jan. 2024 ( original termination date)</t>
  </si>
  <si>
    <t>E311 Colstrip 3&amp;4 Com (Ash Pond)</t>
  </si>
  <si>
    <t>No monthly depreciation because original termination date was Jan. 2015 &amp; ARO is fully depreciated.</t>
  </si>
  <si>
    <t>N/A</t>
  </si>
  <si>
    <t>E311 Colstrip 1&amp;2 Com (Ash Pond)</t>
  </si>
  <si>
    <t>Comments</t>
  </si>
  <si>
    <t>Prior Depr.</t>
  </si>
  <si>
    <t xml:space="preserve">Colstrip </t>
  </si>
  <si>
    <t xml:space="preserve">(2) ARC Recoverable portion: </t>
  </si>
  <si>
    <t>Ending Balance</t>
  </si>
  <si>
    <t>Accretion Exp.</t>
  </si>
  <si>
    <t>Prior ARO balance</t>
  </si>
  <si>
    <t xml:space="preserve">     - Colstrip 1&amp;2: Although Colstrip 1&amp;2 termination date was January 2015, reclass is needed because there is some ARO recovery built into rates.</t>
  </si>
  <si>
    <t xml:space="preserve">(1) ARO Recoverable portion: </t>
  </si>
  <si>
    <t>Total not recovered in rates</t>
  </si>
  <si>
    <t>Crystal Mtn. Generator Site</t>
  </si>
  <si>
    <t>South King Complex</t>
  </si>
  <si>
    <t>Not recovered in rates:</t>
  </si>
  <si>
    <t>Note</t>
  </si>
  <si>
    <t xml:space="preserve">Total ARO Depreciation </t>
  </si>
  <si>
    <t>Total not recoverable in rates</t>
  </si>
  <si>
    <t>Colstrip 3 &amp; 4 Ash Pond Capping</t>
  </si>
  <si>
    <t>Colstrip 1 &amp; 2 Ash Pond Capping</t>
  </si>
  <si>
    <t>Not recoverable in rates:</t>
  </si>
  <si>
    <t xml:space="preserve">Transmission Wood Poles </t>
  </si>
  <si>
    <t xml:space="preserve">Gas Mains </t>
  </si>
  <si>
    <t>85044/45</t>
  </si>
  <si>
    <t>Frederickson 1/Epcor</t>
  </si>
  <si>
    <t xml:space="preserve">Distribution Wood Poles </t>
  </si>
  <si>
    <t>Difference between Calculated vs. Recorded</t>
  </si>
  <si>
    <t>Recorded Reclass (negative sign in PP)</t>
  </si>
  <si>
    <t>Calculated (Depr + Accr.)</t>
  </si>
  <si>
    <t>FERC</t>
  </si>
  <si>
    <t>Vintage</t>
  </si>
  <si>
    <t>Asset ID</t>
  </si>
  <si>
    <t>SOUTH KING COMPLEX ELECTRIC PORTION</t>
  </si>
  <si>
    <t>TOTAL ELECTRIC ARO ACCRETION RECOVERED IN RATES</t>
  </si>
  <si>
    <t>ELECTRIC ARO ACCRETION RECOVERED IN RATES</t>
  </si>
  <si>
    <t>ELECTRIC ARO ACCRETION NOT RECOVERED IN RATES</t>
  </si>
  <si>
    <t>311 STRUCTURES AND IMPROVEMENTS</t>
  </si>
  <si>
    <t>%</t>
  </si>
  <si>
    <t>341 STRUCTURES AND IMPROVEMENTS</t>
  </si>
  <si>
    <t>341.01 STRUCTURES AND IMPROVEMENTS - WIND</t>
  </si>
  <si>
    <t xml:space="preserve">TOTAL GENERAL PLANT </t>
  </si>
  <si>
    <t xml:space="preserve">  LOWER SNAKE RIVER TEMPORARY MET TOWERS</t>
  </si>
  <si>
    <t xml:space="preserve">TOTAL STEAM PRODUCTION PLANT </t>
  </si>
  <si>
    <t>TOTAL ELECTRIC ARO ACCRETION NOT RECOVERED IN RATES</t>
  </si>
  <si>
    <t>chk sb 0</t>
  </si>
  <si>
    <t>TOTAL COMMON</t>
  </si>
  <si>
    <t>Needed to reconcile</t>
  </si>
  <si>
    <t>403 DEPR. EXP. ON ASSETS NOT INCLUDED IN STUDY</t>
  </si>
  <si>
    <t>Move ARC to separate line</t>
  </si>
  <si>
    <t xml:space="preserve">Diff % </t>
  </si>
  <si>
    <t>Amortization</t>
  </si>
  <si>
    <t>Total Common Depreciation and Amortization</t>
  </si>
  <si>
    <t>SUBTOTAL</t>
  </si>
  <si>
    <t>NOTE: FOR NEW ASSETS FOR THE COMPANY'S EQUIPMENT LEASE PROGRAM, THE FOLLOWING ESTIMATES AND DEPRECIATION RATES ARE RECOMMENDED:</t>
  </si>
  <si>
    <t>NET SALVAGE</t>
  </si>
  <si>
    <t>RESIDENTIAL HEAT PUMPS</t>
  </si>
  <si>
    <t>18-S3</t>
  </si>
  <si>
    <t>15-L3</t>
  </si>
  <si>
    <t>10-L3</t>
  </si>
  <si>
    <t xml:space="preserve">TOTAL NONDEPRECIABLE PLANT </t>
  </si>
  <si>
    <t>AND ACCOUNTS NOT STUDIED</t>
  </si>
  <si>
    <t>TOTAL DIRECT ELECTRIC EXPENSE</t>
  </si>
  <si>
    <t>PROPOSED ELEC</t>
  </si>
  <si>
    <t>CURRENT ELEC</t>
  </si>
  <si>
    <t>PRD ENERGY STORAGE EQUIPMENT</t>
  </si>
  <si>
    <t>BATTERY STORAGE EQUIPMENT</t>
  </si>
  <si>
    <t>FOR THE TWELVE MONTHS ENDED SEPTEMBER 30, 2016</t>
  </si>
  <si>
    <t>2017 GENERAL RATE CASE</t>
  </si>
  <si>
    <t>UNDERGROUND CONDUIT - TLN HPK</t>
  </si>
  <si>
    <t>AND CALCULATED ANNUAL DEPRECIATION RATES AS OF SEPTEMBER 30, 2016</t>
  </si>
  <si>
    <t>SEPTEMBER 30, 2016</t>
  </si>
  <si>
    <t>75-S0</t>
  </si>
  <si>
    <t>75-S1</t>
  </si>
  <si>
    <t>75-S0.5</t>
  </si>
  <si>
    <t>15-L4</t>
  </si>
  <si>
    <t>ENERGY STORAGE EQUIPMENT</t>
  </si>
  <si>
    <t>20-S3</t>
  </si>
  <si>
    <t>43-R1</t>
  </si>
  <si>
    <t>UNDERGROUND CONDUIT - GIF</t>
  </si>
  <si>
    <t>52-S0</t>
  </si>
  <si>
    <t>44-R2</t>
  </si>
  <si>
    <t>20-L1</t>
  </si>
  <si>
    <t>ARO GENERAL PLANT</t>
  </si>
  <si>
    <t>2. For the Transmission Wood Poles, additional accretion of $40,084.48 will be reclassed to the underlying assets in November 2016</t>
  </si>
  <si>
    <t>Add. Reclass AMT in Nov. 15</t>
  </si>
  <si>
    <t>ARO Accretion Adjustment 07-2015 Due to inflation/discount rate correction</t>
  </si>
  <si>
    <t>Accretion Adjustment</t>
  </si>
  <si>
    <t>Difference</t>
  </si>
  <si>
    <t>Updated Discount Rate (3.21%) - Should Be</t>
  </si>
  <si>
    <t>Current Discount Rate (3.14%)</t>
  </si>
  <si>
    <t>Updated monthly discount rate (should be)</t>
  </si>
  <si>
    <t xml:space="preserve">Current  monthly discount rate </t>
  </si>
  <si>
    <t>Colstrip unit 3&amp;4 ARO liability in July 2015 (recoverable in rate)</t>
  </si>
  <si>
    <t>Colstrip unit 3&amp;4: Underlying Asset Adjustment</t>
  </si>
  <si>
    <t>Colstrip unit 1&amp;2: Underlying Asset Adjustment</t>
  </si>
  <si>
    <t>While verifying the accuracy of ARO liabilities, Property Accounting noted that Colstrip AROs had an incorrect inflation/ discount rate was set up on PowerPlant because CAFRF should be the average of multiple years cash outflows (3.21%) instead of CARFR averages from 2015 to 2040 (3.14%).  Therefore, based on the revised inflation/ discount rate, we will adjust the monthly recoverable accretion amount. This amount is calculated based on the original ARO liability balance &amp; revised monthly discount rate because there is some ARO recovery built into rates.</t>
  </si>
  <si>
    <t>Total Accreation Expense</t>
  </si>
  <si>
    <t xml:space="preserve">E311 Colstrip 1&amp;2 Com </t>
  </si>
  <si>
    <t xml:space="preserve">E311 Colstrip 3&amp;4 Com </t>
  </si>
  <si>
    <t>in 2016</t>
  </si>
  <si>
    <t>in 2015</t>
  </si>
  <si>
    <t xml:space="preserve">     - Monthly recoverable accretion amount is calculated based on the original ARO liability balance &amp; revised monthly discount.</t>
  </si>
  <si>
    <t xml:space="preserve">     - Colstrip 3&amp;4: Monthly recoverable accretion amount is calculated based on the original ARO liability balance &amp; revised monthly discount rate.</t>
  </si>
  <si>
    <t xml:space="preserve">1. ARO / ARC Recoverable portion: </t>
  </si>
  <si>
    <t>Transmission Wood Poles (Site ARO)</t>
  </si>
  <si>
    <t>Electric Depreciation Study October 31, 2015 through September 30, 2016</t>
  </si>
  <si>
    <t>AMA 12/31/2018</t>
  </si>
  <si>
    <t>3. PA adjusted the depreciation expenses (decrease by $53,014.08 in December)</t>
  </si>
  <si>
    <t>Colstirp 1&amp;2 Monthly Discount Rate</t>
  </si>
  <si>
    <t>Colstirp 3&amp;4 Monthly Discount Rate</t>
  </si>
  <si>
    <t>G359</t>
  </si>
  <si>
    <t>check PP report</t>
  </si>
  <si>
    <t>Total Depr. AMT Oct 15 - Sep 16</t>
  </si>
  <si>
    <t>Depr. Adjustment in Jan ( note 4)</t>
  </si>
  <si>
    <t>Depr. Adjustment in Dec ( note 3)</t>
  </si>
  <si>
    <t>Chk</t>
  </si>
  <si>
    <t>Electric Portion S King Complex</t>
  </si>
  <si>
    <t>Gas Portion S King Complex</t>
  </si>
  <si>
    <t>2017 GRC Four Factor Alloacator For South King 403.1 Depr.</t>
  </si>
  <si>
    <t>403 Adj. Depr</t>
  </si>
  <si>
    <t>411 Adj. Accretion ARO-1000</t>
  </si>
  <si>
    <t>2017 GRC Four Factor Alloacator For South King 411.1 Depr.</t>
  </si>
  <si>
    <t xml:space="preserve">TOTAL TRANSPORTATION EQUIPMENT   </t>
  </si>
  <si>
    <t>STUDY FROM JOHN SPANOS</t>
  </si>
  <si>
    <t>Before Colsrip 1 &amp; 2 changes</t>
  </si>
  <si>
    <t>311 Structures and improvements. - (Steam Production)</t>
  </si>
  <si>
    <t>312 Boiler plant equipment. - (Steam Production)</t>
  </si>
  <si>
    <t>314 Turbogenerator units. - (Steam Production)</t>
  </si>
  <si>
    <t>315 Accessory electric equipment. - (Steam Production)</t>
  </si>
  <si>
    <t>316 Miscellaneous power plant equipment - (Steam Production)</t>
  </si>
  <si>
    <t>330 Land and land rights. - (Hydraulic Production)</t>
  </si>
  <si>
    <t>331 Structures and improvements. - (Hydraulic Production)</t>
  </si>
  <si>
    <t>332 Reservoirs, dams, and waterways. - (Hydraulic Production)</t>
  </si>
  <si>
    <t>333 Water wheels, turbines and generators. - (Hydraulic Production)</t>
  </si>
  <si>
    <t>334 Accessory electric equipment. - (Hydraulic Production)</t>
  </si>
  <si>
    <t>335 Miscellaneous power plant equipment. - (Hydraulic Production)</t>
  </si>
  <si>
    <t>336 Roads, railroads and bridges. - (Hydraulic Production)</t>
  </si>
  <si>
    <t>340 Land and land rights. - (Other Production)</t>
  </si>
  <si>
    <t>341 Structures and improvements. - (Other Production)</t>
  </si>
  <si>
    <t>342 Fuel holders, producers, and accessories. - (Other Production)</t>
  </si>
  <si>
    <t>344 Generators. - (Other Production)</t>
  </si>
  <si>
    <t>345 Accessory electric equipment. - (Other Production)</t>
  </si>
  <si>
    <t>346 Miscellaneous power plant equipment. - (Other Production)</t>
  </si>
  <si>
    <t>Common</t>
  </si>
  <si>
    <t>ARC</t>
  </si>
  <si>
    <t xml:space="preserve">1. PA adjusted the accretion expense (decrease by $168,185.14) because ,after 2007 conversion, incorrect inflation/discount rate set up on PowerPlant in July 2015.  In November 2015, PA found that </t>
  </si>
  <si>
    <t xml:space="preserve"> additional JE will be needed to reclass from the underlying asset to accumulated reserve for ARO recoverable in rates (-$173,127.02).</t>
  </si>
  <si>
    <t>403.1 Recalss in Nov. 2015  (note 1)</t>
  </si>
  <si>
    <t>TABLE 3.  SUMMARY OF ESTIMATED SURVIVOR CURVES, NET SALVAGE PERCENT, ORIGINAL COST, BOOK DEPRECIATION RESERVE</t>
  </si>
  <si>
    <t>55-R2.5</t>
  </si>
  <si>
    <t>12ME Sep 2015 D&amp;A Expense</t>
  </si>
  <si>
    <t>In New Depr Study</t>
  </si>
  <si>
    <t>Not Part of Study</t>
  </si>
  <si>
    <t>Common Includes Landis &amp; Gyr $756,461.72 and ARO $157,468.21</t>
  </si>
  <si>
    <t>PP D&amp;A Expense per 1085 Combined</t>
  </si>
  <si>
    <t>Not in GAAP D&amp;A Expense</t>
  </si>
  <si>
    <t>CC300 WO 40309300</t>
  </si>
  <si>
    <t>Capital Lease WO 90201001</t>
  </si>
  <si>
    <t>SAP Transaction</t>
  </si>
  <si>
    <t>Booked as a depreciation expense in SAP, but a reserve expense in PP.</t>
  </si>
  <si>
    <t>Total Utility Plant D&amp;A</t>
  </si>
  <si>
    <t>GAAP D&amp;A Expense - Utility Plant</t>
  </si>
  <si>
    <t>*****   Total Depreciation Expense</t>
  </si>
  <si>
    <t>**      Total Amortization Expense</t>
  </si>
  <si>
    <t>Total Utility Plant D&amp;A per GAAP IS</t>
  </si>
  <si>
    <t>Add back Accretion Expense</t>
  </si>
  <si>
    <t>Actual GAAP Expense - Total</t>
  </si>
  <si>
    <t>TOTAL TRANSPORTATION &amp; PWR EQUIPMENT</t>
  </si>
  <si>
    <t>PORTION NOT IN INCOME STATEMENT</t>
  </si>
  <si>
    <t>% NOT INCLUDED IN INCOME STATEMENT</t>
  </si>
  <si>
    <t>% INCLUDED IN INCOME STATEMENT</t>
  </si>
  <si>
    <t>Remove CC300 depreciation not booked to 403 - to be adjusted separately</t>
  </si>
  <si>
    <t>392 *</t>
  </si>
  <si>
    <t>396 **</t>
  </si>
  <si>
    <t xml:space="preserve">ADJUSTED SUBTOTAL </t>
  </si>
  <si>
    <t xml:space="preserve">Allocate for CC 300 </t>
  </si>
  <si>
    <t>portion of I/S</t>
  </si>
  <si>
    <t xml:space="preserve">* 392 </t>
  </si>
  <si>
    <t>Transportation Equipment</t>
  </si>
  <si>
    <t xml:space="preserve">** 396 </t>
  </si>
  <si>
    <t>Power Operated Equipment</t>
  </si>
  <si>
    <t>CC 300 Depr. Exp. portion of Income Statement</t>
  </si>
  <si>
    <t xml:space="preserve">Test Year </t>
  </si>
  <si>
    <t>Restated</t>
  </si>
  <si>
    <t>Remove CC300 depreciation not booked</t>
  </si>
  <si>
    <t xml:space="preserve"> to 403 to be adjusted separately</t>
  </si>
  <si>
    <t>SUBTOTAL (excludes CC 300)</t>
  </si>
  <si>
    <t xml:space="preserve">* C392 </t>
  </si>
  <si>
    <t xml:space="preserve">** C396 </t>
  </si>
  <si>
    <t>411.10 ACCRETION EXP. - FAS 143 (RECOVERED IN RATES)</t>
  </si>
  <si>
    <t>411.10 ACCRETION EXP. - FAS 143 (NOT RECOVERED IN RATES)</t>
  </si>
  <si>
    <t>SUBTOTAL ACCRETION EXPENSE 411.10</t>
  </si>
  <si>
    <t>Landis &amp; Gyr Reclassified to 902</t>
  </si>
  <si>
    <t>404 DEPR. EXP. ON ASSETS NOT INCLUDED IN STUDY</t>
  </si>
  <si>
    <t xml:space="preserve">Permanent </t>
  </si>
  <si>
    <t>curr month (n)</t>
  </si>
  <si>
    <t xml:space="preserve">(o) = - </t>
  </si>
  <si>
    <t>Depre report 1604 ARO 1000 report</t>
  </si>
  <si>
    <t>Manual JE's to 411.10</t>
  </si>
  <si>
    <t>SUBTOTAL DEPRECIATION EXPENSE</t>
  </si>
  <si>
    <t>For Production Adjustment</t>
  </si>
  <si>
    <t>Above Prod Depreciation</t>
  </si>
  <si>
    <t>Tot Prod Depreciation</t>
  </si>
  <si>
    <t>Tot Prod Ratebase</t>
  </si>
  <si>
    <t xml:space="preserve">4. Depreciation expense was decrease by $8k because Colstrip AROs had an incorrect inflation/ discount rate was set up on PowerPlant because CAFRF should be the average of multiple years cash outflows </t>
  </si>
  <si>
    <t>(3.21%) instead of CARFR averages from 2015 to 2040 (3.14%).  Going forward, ARO depreciation will automatically reallocate over remaining life from 2016 to 2040.</t>
  </si>
  <si>
    <t>Portion allocated to Fleeg Overheads</t>
  </si>
  <si>
    <t>FLEET DEPRECIATION EXPENSE IN FERC 403</t>
  </si>
  <si>
    <t>398 Miscellaneous equipment. - (General Plant)</t>
  </si>
  <si>
    <t>397 Communication equipment. - (General Plant)</t>
  </si>
  <si>
    <t>396 Power operated equipment. - (General Plant)</t>
  </si>
  <si>
    <t>395 Laboratory equipment. - (General Plant)</t>
  </si>
  <si>
    <t>394 Tools, shop and garage equipment. - (General Plant)</t>
  </si>
  <si>
    <t>393 Stores equipment. - (General Plant)</t>
  </si>
  <si>
    <t>392 Transportation equipment. - (General Plant)</t>
  </si>
  <si>
    <t>391 Office furniture and equipment. - (General Plant)</t>
  </si>
  <si>
    <t>390 Structures and improvements. - (General Plant)</t>
  </si>
  <si>
    <t>373 Street lighting and signal systems. - (Distribution Plant)</t>
  </si>
  <si>
    <t>370 Meters. - (Distribution Plant)</t>
  </si>
  <si>
    <t>369 Services. - (Distribution Plant)</t>
  </si>
  <si>
    <t>368 Line transformers. - (Distribution Plant)</t>
  </si>
  <si>
    <t>367 Underground conductors and devices - (Distribution Plant)</t>
  </si>
  <si>
    <t>366 Underground conduit. - (Distribution Plant)</t>
  </si>
  <si>
    <t>365 Overhead conductors and devices - (Distribution Plant)</t>
  </si>
  <si>
    <t>364 Poles, towers and fixtures. - (Distribution Plant)</t>
  </si>
  <si>
    <t>363 Storage battery equipment. - (Distribution Plant)</t>
  </si>
  <si>
    <t>362 Station equipment. - (Distribution Plant)</t>
  </si>
  <si>
    <t>361 Structures and improvements. - (Distribution Plant)</t>
  </si>
  <si>
    <t>360 Land and land rights. - (Distribution Plant)</t>
  </si>
  <si>
    <t>359 Roads and trails. - (Transmission Plant)</t>
  </si>
  <si>
    <t>358 Underground conductors and devices. - (Transmission Plant)</t>
  </si>
  <si>
    <t>357 Underground conduit. - (Transmission Plant)</t>
  </si>
  <si>
    <t>356 Overhead conductors and devices. - (Transmission Plant)</t>
  </si>
  <si>
    <t>355 Poles and fixtures. - (Transmission Plant)</t>
  </si>
  <si>
    <t>354 Towers and fixtures. - (Transmission Plant)</t>
  </si>
  <si>
    <t>353 Station equipment. - (Transmission Plant)</t>
  </si>
  <si>
    <t>352 Structures and improvements. - (Transmission Plant)</t>
  </si>
  <si>
    <t>350 Land and land rights. - (Transmission Plant)</t>
  </si>
  <si>
    <t>348   Energy Storage Equipment—Production - (Other Production)</t>
  </si>
  <si>
    <t>Direct Electric</t>
  </si>
  <si>
    <t>RB by FERC</t>
  </si>
  <si>
    <t>IS by FERC</t>
  </si>
  <si>
    <t>check</t>
  </si>
  <si>
    <t>In Service</t>
  </si>
  <si>
    <t>Life Span</t>
  </si>
  <si>
    <t>Age at 12/2017</t>
  </si>
  <si>
    <t>Remaining Life</t>
  </si>
  <si>
    <t>Current rate</t>
  </si>
  <si>
    <t>Original Cost</t>
  </si>
  <si>
    <t>Book Depr. Reserve (9/2016)</t>
  </si>
  <si>
    <t>Plant Balance 9/2016</t>
  </si>
  <si>
    <t>Proporational Annual Allocation of Original Cost</t>
  </si>
  <si>
    <t>Proportional Allocation (4.5 years)</t>
  </si>
  <si>
    <t>Depr. Rate</t>
  </si>
  <si>
    <t>Colstrip 1</t>
  </si>
  <si>
    <t>Goal Seek</t>
  </si>
  <si>
    <t>Subtotal</t>
  </si>
  <si>
    <t>Colstrip 2</t>
  </si>
  <si>
    <t>Colstrip 1-2</t>
  </si>
  <si>
    <t>Plant Balance 09/2016</t>
  </si>
  <si>
    <t>Annual depreciation</t>
  </si>
  <si>
    <t>Allocated Future Accurals (4.5 yrs)</t>
  </si>
  <si>
    <t>(Future Accruals)/ (Remaining Life)</t>
  </si>
  <si>
    <t>TABLE 1.  SUMMARY OF ESTIMATED SURVIVOR CURVES, NET SALVAGE PERCENT, ORIGINAL COST, BOOK DEPRECIATION RESERVE</t>
  </si>
  <si>
    <t>RETIREMENT DATE OF 2027 FOR COLSTRIP UNITS 3 AND 4</t>
  </si>
  <si>
    <t>PUGET SOUND ENERGY - ELECTRIC (PER SETTLEMENT)</t>
  </si>
  <si>
    <t>(n) = - (m) *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</si>
</sst>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0.0"/>
    <numFmt numFmtId="168" formatCode="0.0000%"/>
    <numFmt numFmtId="169" formatCode="0.000000"/>
    <numFmt numFmtId="170" formatCode="[$-409]mmmm\ d\,\ yyyy;@"/>
    <numFmt numFmtId="171" formatCode="mm\-yyyy"/>
    <numFmt numFmtId="172" formatCode="#,##0.0"/>
    <numFmt numFmtId="173" formatCode="_(&quot;$&quot;* #,##0_);_(&quot;$&quot;* \(#,##0\);_(&quot;$&quot;* &quot;-&quot;??_);_(@_)"/>
    <numFmt numFmtId="174" formatCode="0.000%"/>
    <numFmt numFmtId="175" formatCode="_(* #,##0.000000_);_(* \(#,##0.000000\);_(* &quot;-&quot;??????_);_(@_)"/>
    <numFmt numFmtId="176" formatCode="0.0000000%"/>
    <numFmt numFmtId="177" formatCode="#,##0.000"/>
    <numFmt numFmtId="178" formatCode="0.0000"/>
  </numFmts>
  <fonts count="4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double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 style="thick">
        <color theme="0"/>
      </right>
      <top style="thin">
        <color theme="0"/>
      </top>
      <bottom style="double">
        <color theme="0"/>
      </bottom>
      <diagonal/>
    </border>
    <border>
      <left style="thick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thick">
        <color theme="0"/>
      </right>
      <top/>
      <bottom style="double">
        <color theme="0"/>
      </bottom>
      <diagonal/>
    </border>
  </borders>
  <cellStyleXfs count="9">
    <xf numFmtId="0" fontId="0" fillId="0" borderId="0"/>
    <xf numFmtId="43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</cellStyleXfs>
  <cellXfs count="9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166" fontId="1" fillId="0" borderId="0" xfId="0" applyNumberFormat="1" applyFont="1" applyFill="1" applyAlignment="1">
      <alignment horizontal="center"/>
    </xf>
    <xf numFmtId="0" fontId="6" fillId="0" borderId="0" xfId="0" applyFont="1" applyFill="1"/>
    <xf numFmtId="166" fontId="4" fillId="0" borderId="0" xfId="0" applyNumberFormat="1" applyFont="1" applyFill="1"/>
    <xf numFmtId="166" fontId="1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166" fontId="1" fillId="2" borderId="0" xfId="0" applyNumberFormat="1" applyFont="1" applyFill="1" applyAlignment="1">
      <alignment horizontal="center"/>
    </xf>
    <xf numFmtId="166" fontId="1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6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ont="1" applyFill="1"/>
    <xf numFmtId="39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39" fontId="0" fillId="0" borderId="0" xfId="0" applyNumberFormat="1" applyFill="1"/>
    <xf numFmtId="165" fontId="0" fillId="0" borderId="0" xfId="0" applyNumberFormat="1" applyFont="1" applyFill="1" applyBorder="1"/>
    <xf numFmtId="0" fontId="0" fillId="0" borderId="0" xfId="0" applyAlignment="1">
      <alignment horizontal="center"/>
    </xf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166" fontId="5" fillId="0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39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0" applyNumberFormat="1" applyFont="1"/>
    <xf numFmtId="43" fontId="0" fillId="0" borderId="0" xfId="0" applyNumberFormat="1" applyFont="1" applyFill="1"/>
    <xf numFmtId="43" fontId="0" fillId="0" borderId="0" xfId="0" applyNumberFormat="1"/>
    <xf numFmtId="43" fontId="0" fillId="0" borderId="3" xfId="0" applyNumberFormat="1" applyFont="1" applyBorder="1"/>
    <xf numFmtId="0" fontId="7" fillId="0" borderId="0" xfId="0" applyFont="1" applyFill="1" applyAlignment="1">
      <alignment horizontal="center"/>
    </xf>
    <xf numFmtId="43" fontId="1" fillId="0" borderId="0" xfId="0" applyNumberFormat="1" applyFont="1" applyFill="1" applyBorder="1"/>
    <xf numFmtId="43" fontId="0" fillId="0" borderId="0" xfId="0" applyNumberFormat="1" applyFont="1" applyBorder="1"/>
    <xf numFmtId="43" fontId="0" fillId="0" borderId="1" xfId="0" applyNumberFormat="1" applyFont="1" applyBorder="1"/>
    <xf numFmtId="43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2" fillId="0" borderId="0" xfId="0" applyNumberFormat="1" applyFont="1" applyFill="1"/>
    <xf numFmtId="43" fontId="0" fillId="2" borderId="0" xfId="0" applyNumberFormat="1" applyFont="1" applyFill="1" applyBorder="1"/>
    <xf numFmtId="43" fontId="0" fillId="2" borderId="1" xfId="0" applyNumberFormat="1" applyFont="1" applyFill="1" applyBorder="1"/>
    <xf numFmtId="43" fontId="0" fillId="0" borderId="0" xfId="0" applyNumberFormat="1" applyFont="1" applyFill="1" applyBorder="1"/>
    <xf numFmtId="43" fontId="1" fillId="2" borderId="0" xfId="0" applyNumberFormat="1" applyFont="1" applyFill="1" applyBorder="1"/>
    <xf numFmtId="43" fontId="3" fillId="0" borderId="0" xfId="0" applyNumberFormat="1" applyFont="1"/>
    <xf numFmtId="43" fontId="0" fillId="0" borderId="4" xfId="0" applyNumberFormat="1" applyFont="1" applyBorder="1"/>
    <xf numFmtId="43" fontId="0" fillId="2" borderId="0" xfId="0" applyNumberFormat="1" applyFont="1" applyFill="1"/>
    <xf numFmtId="43" fontId="0" fillId="0" borderId="4" xfId="0" applyNumberFormat="1" applyFont="1" applyFill="1" applyBorder="1"/>
    <xf numFmtId="43" fontId="1" fillId="2" borderId="0" xfId="0" applyNumberFormat="1" applyFont="1" applyFill="1"/>
    <xf numFmtId="43" fontId="1" fillId="2" borderId="1" xfId="0" applyNumberFormat="1" applyFont="1" applyFill="1" applyBorder="1"/>
    <xf numFmtId="43" fontId="3" fillId="0" borderId="1" xfId="0" applyNumberFormat="1" applyFont="1" applyFill="1" applyBorder="1"/>
    <xf numFmtId="43" fontId="3" fillId="0" borderId="0" xfId="0" applyNumberFormat="1" applyFont="1" applyFill="1" applyBorder="1"/>
    <xf numFmtId="43" fontId="0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5" xfId="0" applyNumberFormat="1" applyFont="1" applyBorder="1"/>
    <xf numFmtId="43" fontId="3" fillId="0" borderId="5" xfId="0" applyNumberFormat="1" applyFont="1" applyFill="1" applyBorder="1"/>
    <xf numFmtId="43" fontId="0" fillId="0" borderId="5" xfId="0" applyNumberFormat="1" applyFont="1" applyBorder="1"/>
    <xf numFmtId="0" fontId="8" fillId="0" borderId="0" xfId="0" applyFont="1" applyFill="1"/>
    <xf numFmtId="0" fontId="0" fillId="0" borderId="0" xfId="0" applyAlignment="1">
      <alignment horizontal="left"/>
    </xf>
    <xf numFmtId="43" fontId="7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43" fontId="9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Fill="1"/>
    <xf numFmtId="166" fontId="5" fillId="0" borderId="0" xfId="0" applyNumberFormat="1" applyFont="1" applyFill="1" applyAlignment="1"/>
    <xf numFmtId="0" fontId="5" fillId="0" borderId="0" xfId="0" applyFont="1" applyAlignment="1">
      <alignment horizontal="left"/>
    </xf>
    <xf numFmtId="43" fontId="1" fillId="0" borderId="0" xfId="0" applyNumberFormat="1" applyFont="1" applyBorder="1"/>
    <xf numFmtId="43" fontId="1" fillId="0" borderId="1" xfId="0" applyNumberFormat="1" applyFont="1" applyBorder="1"/>
    <xf numFmtId="43" fontId="10" fillId="0" borderId="0" xfId="0" applyNumberFormat="1" applyFont="1" applyFill="1"/>
    <xf numFmtId="43" fontId="10" fillId="0" borderId="1" xfId="0" applyNumberFormat="1" applyFont="1" applyFill="1" applyBorder="1"/>
    <xf numFmtId="43" fontId="3" fillId="0" borderId="0" xfId="0" applyNumberFormat="1" applyFont="1" applyFill="1"/>
    <xf numFmtId="2" fontId="0" fillId="0" borderId="0" xfId="0" applyNumberFormat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0" fillId="0" borderId="0" xfId="0" applyNumberFormat="1" applyFont="1" applyAlignment="1">
      <alignment horizontal="right"/>
    </xf>
    <xf numFmtId="43" fontId="0" fillId="0" borderId="0" xfId="0" applyNumberFormat="1" applyFill="1"/>
    <xf numFmtId="43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5" xfId="0" applyBorder="1"/>
    <xf numFmtId="0" fontId="5" fillId="0" borderId="0" xfId="0" applyFont="1" applyAlignment="1"/>
    <xf numFmtId="43" fontId="0" fillId="0" borderId="5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/>
    </xf>
    <xf numFmtId="43" fontId="5" fillId="0" borderId="0" xfId="0" applyNumberFormat="1" applyFont="1" applyFill="1" applyBorder="1"/>
    <xf numFmtId="43" fontId="0" fillId="0" borderId="0" xfId="0" applyNumberFormat="1" applyFont="1" applyAlignment="1">
      <alignment horizontal="center"/>
    </xf>
    <xf numFmtId="43" fontId="5" fillId="0" borderId="3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16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/>
    <xf numFmtId="37" fontId="5" fillId="0" borderId="0" xfId="0" applyNumberFormat="1" applyFont="1" applyFill="1"/>
    <xf numFmtId="167" fontId="5" fillId="0" borderId="0" xfId="0" applyNumberFormat="1" applyFont="1" applyFill="1"/>
    <xf numFmtId="0" fontId="3" fillId="0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0" fontId="5" fillId="0" borderId="0" xfId="0" applyFont="1" applyFill="1" applyBorder="1" applyAlignment="1"/>
    <xf numFmtId="37" fontId="5" fillId="0" borderId="0" xfId="0" applyNumberFormat="1" applyFont="1" applyFill="1" applyBorder="1"/>
    <xf numFmtId="0" fontId="5" fillId="0" borderId="0" xfId="0" applyNumberFormat="1" applyFont="1" applyFill="1" applyBorder="1" applyAlignment="1"/>
    <xf numFmtId="2" fontId="5" fillId="0" borderId="0" xfId="0" applyNumberFormat="1" applyFont="1" applyFill="1"/>
    <xf numFmtId="0" fontId="15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 applyAlignment="1"/>
    <xf numFmtId="0" fontId="5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horizontal="left"/>
    </xf>
    <xf numFmtId="0" fontId="5" fillId="0" borderId="7" xfId="0" applyFont="1" applyFill="1" applyBorder="1"/>
    <xf numFmtId="2" fontId="5" fillId="0" borderId="0" xfId="0" quotePrefix="1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3" fillId="0" borderId="0" xfId="0" applyNumberFormat="1" applyFont="1" applyFill="1" applyAlignment="1"/>
    <xf numFmtId="0" fontId="15" fillId="0" borderId="0" xfId="0" applyNumberFormat="1" applyFont="1" applyFill="1" applyAlignment="1"/>
    <xf numFmtId="0" fontId="5" fillId="0" borderId="0" xfId="0" applyNumberFormat="1" applyFont="1" applyFill="1" applyAlignment="1"/>
    <xf numFmtId="43" fontId="5" fillId="0" borderId="0" xfId="0" applyNumberFormat="1" applyFont="1"/>
    <xf numFmtId="43" fontId="17" fillId="0" borderId="0" xfId="0" applyNumberFormat="1" applyFont="1" applyFill="1" applyAlignment="1">
      <alignment horizontal="center"/>
    </xf>
    <xf numFmtId="43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Border="1" applyAlignment="1"/>
    <xf numFmtId="39" fontId="16" fillId="0" borderId="0" xfId="0" applyNumberFormat="1" applyFont="1" applyFill="1" applyBorder="1"/>
    <xf numFmtId="39" fontId="16" fillId="0" borderId="1" xfId="0" applyNumberFormat="1" applyFont="1" applyFill="1" applyBorder="1"/>
    <xf numFmtId="39" fontId="17" fillId="0" borderId="0" xfId="0" applyNumberFormat="1" applyFont="1" applyFill="1" applyBorder="1"/>
    <xf numFmtId="39" fontId="16" fillId="0" borderId="0" xfId="0" applyNumberFormat="1" applyFont="1" applyFill="1"/>
    <xf numFmtId="39" fontId="17" fillId="0" borderId="0" xfId="0" applyNumberFormat="1" applyFont="1" applyFill="1"/>
    <xf numFmtId="0" fontId="16" fillId="0" borderId="0" xfId="0" applyFont="1" applyFill="1"/>
    <xf numFmtId="43" fontId="16" fillId="0" borderId="0" xfId="0" applyNumberFormat="1" applyFont="1" applyFill="1"/>
    <xf numFmtId="43" fontId="6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/>
    <xf numFmtId="43" fontId="5" fillId="0" borderId="0" xfId="0" applyNumberFormat="1" applyFont="1"/>
    <xf numFmtId="168" fontId="5" fillId="0" borderId="0" xfId="0" applyNumberFormat="1" applyFont="1"/>
    <xf numFmtId="43" fontId="5" fillId="0" borderId="1" xfId="0" applyNumberFormat="1" applyFont="1" applyBorder="1"/>
    <xf numFmtId="39" fontId="5" fillId="0" borderId="0" xfId="0" applyNumberFormat="1" applyFont="1"/>
    <xf numFmtId="10" fontId="5" fillId="0" borderId="0" xfId="0" applyNumberFormat="1" applyFont="1"/>
    <xf numFmtId="10" fontId="3" fillId="0" borderId="0" xfId="0" applyNumberFormat="1" applyFont="1"/>
    <xf numFmtId="0" fontId="5" fillId="0" borderId="1" xfId="0" applyFont="1" applyBorder="1"/>
    <xf numFmtId="2" fontId="5" fillId="0" borderId="1" xfId="0" applyNumberFormat="1" applyFont="1" applyFill="1" applyBorder="1"/>
    <xf numFmtId="0" fontId="1" fillId="0" borderId="0" xfId="0" applyFont="1" applyFill="1"/>
    <xf numFmtId="0" fontId="19" fillId="0" borderId="0" xfId="0" applyFont="1" applyFill="1" applyAlignment="1"/>
    <xf numFmtId="37" fontId="19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42" fontId="19" fillId="0" borderId="0" xfId="0" applyNumberFormat="1" applyFont="1" applyFill="1" applyBorder="1" applyAlignment="1"/>
    <xf numFmtId="9" fontId="19" fillId="0" borderId="0" xfId="0" applyNumberFormat="1" applyFont="1" applyFill="1" applyAlignment="1"/>
    <xf numFmtId="41" fontId="19" fillId="0" borderId="0" xfId="0" applyNumberFormat="1" applyFont="1" applyFill="1" applyAlignment="1" applyProtection="1">
      <protection locked="0"/>
    </xf>
    <xf numFmtId="9" fontId="19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41" fontId="19" fillId="0" borderId="0" xfId="0" applyNumberFormat="1" applyFont="1" applyFill="1" applyAlignment="1"/>
    <xf numFmtId="42" fontId="19" fillId="0" borderId="0" xfId="0" applyNumberFormat="1" applyFont="1" applyFill="1" applyBorder="1"/>
    <xf numFmtId="169" fontId="19" fillId="0" borderId="0" xfId="0" applyNumberFormat="1" applyFont="1" applyFill="1" applyAlignment="1">
      <alignment horizontal="left"/>
    </xf>
    <xf numFmtId="42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169" fontId="20" fillId="0" borderId="0" xfId="0" applyNumberFormat="1" applyFont="1" applyFill="1" applyAlignment="1"/>
    <xf numFmtId="169" fontId="19" fillId="0" borderId="0" xfId="0" applyNumberFormat="1" applyFont="1" applyFill="1" applyAlignment="1"/>
    <xf numFmtId="41" fontId="19" fillId="0" borderId="0" xfId="0" applyNumberFormat="1" applyFont="1" applyFill="1" applyBorder="1" applyAlignment="1" applyProtection="1">
      <protection locked="0"/>
    </xf>
    <xf numFmtId="42" fontId="19" fillId="0" borderId="0" xfId="0" applyNumberFormat="1" applyFont="1" applyFill="1" applyAlignment="1" applyProtection="1"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>
      <alignment horizontal="centerContinuous"/>
    </xf>
    <xf numFmtId="0" fontId="21" fillId="0" borderId="0" xfId="0" quotePrefix="1" applyFont="1" applyFill="1" applyAlignment="1">
      <alignment horizontal="centerContinuous"/>
    </xf>
    <xf numFmtId="0" fontId="21" fillId="0" borderId="0" xfId="0" applyFont="1" applyFill="1" applyAlignment="1" applyProtection="1">
      <alignment horizontal="centerContinuous"/>
      <protection locked="0"/>
    </xf>
    <xf numFmtId="18" fontId="21" fillId="0" borderId="0" xfId="0" applyNumberFormat="1" applyFont="1" applyFill="1" applyAlignment="1">
      <alignment horizontal="centerContinuous"/>
    </xf>
    <xf numFmtId="18" fontId="21" fillId="0" borderId="0" xfId="0" quotePrefix="1" applyNumberFormat="1" applyFont="1" applyFill="1" applyAlignment="1">
      <alignment horizontal="centerContinuous"/>
    </xf>
    <xf numFmtId="15" fontId="21" fillId="0" borderId="0" xfId="0" applyNumberFormat="1" applyFont="1" applyFill="1" applyAlignment="1">
      <alignment horizontal="centerContinuous"/>
    </xf>
    <xf numFmtId="15" fontId="21" fillId="0" borderId="0" xfId="0" quotePrefix="1" applyNumberFormat="1" applyFont="1" applyFill="1" applyAlignment="1">
      <alignment horizontal="centerContinuous"/>
    </xf>
    <xf numFmtId="0" fontId="21" fillId="0" borderId="0" xfId="0" quotePrefix="1" applyFont="1" applyFill="1" applyBorder="1" applyAlignment="1">
      <alignment horizontal="right"/>
    </xf>
    <xf numFmtId="0" fontId="21" fillId="0" borderId="0" xfId="0" applyFont="1" applyFill="1" applyAlignment="1">
      <alignment horizontal="right"/>
    </xf>
    <xf numFmtId="0" fontId="22" fillId="0" borderId="0" xfId="0" applyFont="1" applyFill="1" applyAlignment="1"/>
    <xf numFmtId="4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4" fontId="3" fillId="0" borderId="14" xfId="0" applyNumberFormat="1" applyFont="1" applyBorder="1"/>
    <xf numFmtId="0" fontId="3" fillId="0" borderId="0" xfId="0" applyFont="1"/>
    <xf numFmtId="43" fontId="1" fillId="0" borderId="0" xfId="0" applyNumberFormat="1" applyFont="1"/>
    <xf numFmtId="43" fontId="1" fillId="0" borderId="1" xfId="0" applyNumberFormat="1" applyFont="1" applyBorder="1"/>
    <xf numFmtId="0" fontId="2" fillId="0" borderId="0" xfId="0" applyFont="1" applyFill="1" applyAlignment="1"/>
    <xf numFmtId="0" fontId="1" fillId="0" borderId="0" xfId="0" applyFont="1" applyBorder="1"/>
    <xf numFmtId="1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0" fontId="5" fillId="0" borderId="0" xfId="0" applyNumberFormat="1" applyFont="1"/>
    <xf numFmtId="39" fontId="24" fillId="0" borderId="0" xfId="0" applyNumberFormat="1" applyFont="1"/>
    <xf numFmtId="44" fontId="17" fillId="0" borderId="2" xfId="0" applyNumberFormat="1" applyFont="1" applyFill="1" applyBorder="1"/>
    <xf numFmtId="0" fontId="24" fillId="0" borderId="0" xfId="0" applyFont="1"/>
    <xf numFmtId="0" fontId="25" fillId="0" borderId="0" xfId="0" applyFont="1"/>
    <xf numFmtId="43" fontId="24" fillId="0" borderId="0" xfId="0" applyNumberFormat="1" applyFont="1"/>
    <xf numFmtId="0" fontId="27" fillId="0" borderId="0" xfId="0" applyFont="1"/>
    <xf numFmtId="43" fontId="25" fillId="3" borderId="0" xfId="0" applyNumberFormat="1" applyFont="1" applyFill="1"/>
    <xf numFmtId="44" fontId="5" fillId="0" borderId="0" xfId="0" applyNumberFormat="1" applyFont="1"/>
    <xf numFmtId="0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39" fontId="14" fillId="0" borderId="0" xfId="0" applyNumberFormat="1" applyFont="1" applyFill="1" applyBorder="1"/>
    <xf numFmtId="0" fontId="14" fillId="0" borderId="0" xfId="0" applyFont="1" applyFill="1" applyBorder="1"/>
    <xf numFmtId="37" fontId="14" fillId="0" borderId="0" xfId="0" applyNumberFormat="1" applyFont="1" applyFill="1" applyBorder="1"/>
    <xf numFmtId="39" fontId="14" fillId="0" borderId="1" xfId="0" applyNumberFormat="1" applyFont="1" applyFill="1" applyBorder="1"/>
    <xf numFmtId="37" fontId="14" fillId="0" borderId="1" xfId="0" applyNumberFormat="1" applyFont="1" applyFill="1" applyBorder="1"/>
    <xf numFmtId="39" fontId="23" fillId="0" borderId="0" xfId="0" applyNumberFormat="1" applyFont="1" applyFill="1" applyBorder="1"/>
    <xf numFmtId="37" fontId="23" fillId="0" borderId="0" xfId="0" applyNumberFormat="1" applyFont="1" applyFill="1" applyBorder="1"/>
    <xf numFmtId="39" fontId="14" fillId="0" borderId="0" xfId="0" applyNumberFormat="1" applyFont="1" applyFill="1"/>
    <xf numFmtId="39" fontId="23" fillId="0" borderId="0" xfId="0" applyNumberFormat="1" applyFont="1" applyFill="1"/>
    <xf numFmtId="37" fontId="14" fillId="0" borderId="0" xfId="0" applyNumberFormat="1" applyFont="1" applyFill="1"/>
    <xf numFmtId="43" fontId="14" fillId="0" borderId="0" xfId="0" applyNumberFormat="1" applyFont="1" applyFill="1"/>
    <xf numFmtId="43" fontId="14" fillId="0" borderId="0" xfId="0" applyNumberFormat="1" applyFont="1" applyFill="1" applyAlignment="1"/>
    <xf numFmtId="165" fontId="0" fillId="0" borderId="0" xfId="0" applyNumberFormat="1" applyFont="1" applyFill="1"/>
    <xf numFmtId="37" fontId="23" fillId="0" borderId="1" xfId="0" applyNumberFormat="1" applyFont="1" applyFill="1" applyBorder="1"/>
    <xf numFmtId="39" fontId="23" fillId="0" borderId="2" xfId="0" applyNumberFormat="1" applyFont="1" applyFill="1" applyBorder="1"/>
    <xf numFmtId="165" fontId="14" fillId="0" borderId="0" xfId="0" applyNumberFormat="1" applyFont="1" applyFill="1" applyAlignment="1"/>
    <xf numFmtId="165" fontId="14" fillId="0" borderId="0" xfId="0" applyNumberFormat="1" applyFont="1" applyFill="1" applyBorder="1" applyAlignment="1"/>
    <xf numFmtId="39" fontId="23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4" fontId="1" fillId="0" borderId="14" xfId="0" applyNumberFormat="1" applyFont="1" applyBorder="1"/>
    <xf numFmtId="44" fontId="1" fillId="0" borderId="0" xfId="0" applyNumberFormat="1" applyFont="1"/>
    <xf numFmtId="10" fontId="5" fillId="0" borderId="0" xfId="0" applyNumberFormat="1" applyFont="1" applyFill="1"/>
    <xf numFmtId="10" fontId="5" fillId="0" borderId="1" xfId="0" applyNumberFormat="1" applyFont="1" applyFill="1" applyBorder="1"/>
    <xf numFmtId="10" fontId="3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43" fontId="1" fillId="0" borderId="0" xfId="0" applyNumberFormat="1" applyFont="1" applyFill="1" applyAlignment="1"/>
    <xf numFmtId="10" fontId="0" fillId="0" borderId="0" xfId="0" applyNumberFormat="1" applyFont="1" applyFill="1"/>
    <xf numFmtId="43" fontId="1" fillId="0" borderId="0" xfId="0" applyNumberFormat="1" applyFont="1" applyFill="1"/>
    <xf numFmtId="10" fontId="0" fillId="0" borderId="0" xfId="0" applyNumberFormat="1" applyFont="1"/>
    <xf numFmtId="0" fontId="26" fillId="0" borderId="0" xfId="0" applyFont="1"/>
    <xf numFmtId="0" fontId="1" fillId="0" borderId="0" xfId="0" applyNumberFormat="1" applyFont="1" applyAlignment="1"/>
    <xf numFmtId="41" fontId="1" fillId="0" borderId="18" xfId="0" applyNumberFormat="1" applyFont="1" applyBorder="1" applyAlignment="1"/>
    <xf numFmtId="41" fontId="1" fillId="0" borderId="19" xfId="0" applyNumberFormat="1" applyFont="1" applyBorder="1" applyAlignment="1"/>
    <xf numFmtId="0" fontId="1" fillId="0" borderId="19" xfId="0" applyNumberFormat="1" applyFont="1" applyBorder="1" applyAlignment="1"/>
    <xf numFmtId="41" fontId="1" fillId="0" borderId="19" xfId="0" applyNumberFormat="1" applyFont="1" applyFill="1" applyBorder="1" applyAlignment="1"/>
    <xf numFmtId="170" fontId="1" fillId="0" borderId="18" xfId="0" applyNumberFormat="1" applyFont="1" applyBorder="1" applyAlignment="1">
      <alignment horizontal="right"/>
    </xf>
    <xf numFmtId="170" fontId="1" fillId="0" borderId="18" xfId="0" applyNumberFormat="1" applyFont="1" applyFill="1" applyBorder="1" applyAlignment="1">
      <alignment horizontal="right"/>
    </xf>
    <xf numFmtId="0" fontId="1" fillId="0" borderId="19" xfId="0" applyNumberFormat="1" applyFont="1" applyFill="1" applyBorder="1" applyAlignment="1"/>
    <xf numFmtId="41" fontId="30" fillId="0" borderId="19" xfId="0" applyNumberFormat="1" applyFont="1" applyBorder="1" applyAlignment="1"/>
    <xf numFmtId="41" fontId="30" fillId="0" borderId="19" xfId="0" applyNumberFormat="1" applyFont="1" applyFill="1" applyBorder="1" applyAlignment="1"/>
    <xf numFmtId="170" fontId="1" fillId="0" borderId="19" xfId="0" applyNumberFormat="1" applyFont="1" applyFill="1" applyBorder="1" applyAlignment="1">
      <alignment horizontal="right"/>
    </xf>
    <xf numFmtId="9" fontId="3" fillId="0" borderId="2" xfId="0" applyNumberFormat="1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0" borderId="16" xfId="0" applyNumberFormat="1" applyFont="1" applyBorder="1" applyAlignment="1">
      <alignment horizontal="center"/>
    </xf>
    <xf numFmtId="0" fontId="1" fillId="0" borderId="2" xfId="0" applyNumberFormat="1" applyFont="1" applyBorder="1" applyAlignment="1"/>
    <xf numFmtId="0" fontId="3" fillId="0" borderId="20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1" fillId="0" borderId="20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169" fontId="3" fillId="0" borderId="22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69" fontId="3" fillId="0" borderId="22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3" fillId="0" borderId="11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0" fontId="1" fillId="0" borderId="22" xfId="0" applyNumberFormat="1" applyFont="1" applyBorder="1" applyAlignment="1"/>
    <xf numFmtId="169" fontId="3" fillId="0" borderId="0" xfId="0" applyNumberFormat="1" applyFont="1" applyBorder="1" applyAlignment="1">
      <alignment horizontal="centerContinuous"/>
    </xf>
    <xf numFmtId="0" fontId="3" fillId="0" borderId="11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11" xfId="0" applyNumberFormat="1" applyFont="1" applyBorder="1" applyAlignment="1">
      <alignment horizontal="center" vertical="top"/>
    </xf>
    <xf numFmtId="0" fontId="3" fillId="0" borderId="22" xfId="0" applyNumberFormat="1" applyFont="1" applyBorder="1" applyAlignment="1">
      <alignment horizontal="center"/>
    </xf>
    <xf numFmtId="169" fontId="3" fillId="0" borderId="17" xfId="0" applyNumberFormat="1" applyFont="1" applyBorder="1" applyAlignment="1">
      <alignment horizontal="center"/>
    </xf>
    <xf numFmtId="169" fontId="3" fillId="0" borderId="15" xfId="0" applyNumberFormat="1" applyFont="1" applyBorder="1" applyAlignment="1">
      <alignment horizontal="centerContinuous"/>
    </xf>
    <xf numFmtId="0" fontId="1" fillId="0" borderId="15" xfId="0" applyNumberFormat="1" applyFont="1" applyBorder="1" applyAlignment="1"/>
    <xf numFmtId="0" fontId="3" fillId="0" borderId="23" xfId="0" applyNumberFormat="1" applyFont="1" applyBorder="1" applyAlignment="1">
      <alignment horizontal="centerContinuous" vertical="center"/>
    </xf>
    <xf numFmtId="0" fontId="3" fillId="0" borderId="24" xfId="0" applyNumberFormat="1" applyFont="1" applyBorder="1" applyAlignment="1">
      <alignment horizontal="centerContinuous" vertical="center"/>
    </xf>
    <xf numFmtId="0" fontId="3" fillId="0" borderId="15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horizontal="centerContinuous" vertical="center"/>
    </xf>
    <xf numFmtId="0" fontId="3" fillId="0" borderId="17" xfId="0" applyNumberFormat="1" applyFont="1" applyBorder="1" applyAlignment="1">
      <alignment horizontal="center"/>
    </xf>
    <xf numFmtId="0" fontId="1" fillId="0" borderId="0" xfId="0" applyFont="1"/>
    <xf numFmtId="169" fontId="1" fillId="0" borderId="0" xfId="0" applyNumberFormat="1" applyFont="1" applyAlignment="1">
      <alignment horizontal="left"/>
    </xf>
    <xf numFmtId="174" fontId="3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left"/>
    </xf>
    <xf numFmtId="173" fontId="1" fillId="0" borderId="0" xfId="0" applyNumberFormat="1" applyFont="1"/>
    <xf numFmtId="0" fontId="1" fillId="0" borderId="0" xfId="0" applyFont="1" applyAlignment="1">
      <alignment horizontal="right"/>
    </xf>
    <xf numFmtId="169" fontId="1" fillId="0" borderId="0" xfId="0" applyNumberFormat="1" applyFont="1" applyAlignment="1">
      <alignment horizontal="right"/>
    </xf>
    <xf numFmtId="173" fontId="1" fillId="0" borderId="0" xfId="0" applyNumberFormat="1" applyFont="1"/>
    <xf numFmtId="43" fontId="1" fillId="0" borderId="0" xfId="0" applyNumberFormat="1" applyFont="1"/>
    <xf numFmtId="42" fontId="3" fillId="0" borderId="0" xfId="0" applyNumberFormat="1" applyFont="1" applyFill="1" applyAlignment="1"/>
    <xf numFmtId="9" fontId="1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169" fontId="3" fillId="0" borderId="0" xfId="0" applyNumberFormat="1" applyFont="1" applyFill="1" applyAlignment="1">
      <alignment horizontal="left"/>
    </xf>
    <xf numFmtId="169" fontId="3" fillId="0" borderId="0" xfId="0" applyNumberFormat="1" applyFont="1" applyFill="1" applyAlignment="1">
      <alignment horizontal="center"/>
    </xf>
    <xf numFmtId="169" fontId="1" fillId="0" borderId="0" xfId="0" applyNumberFormat="1" applyFont="1" applyFill="1" applyAlignment="1">
      <alignment horizontal="left"/>
    </xf>
    <xf numFmtId="42" fontId="1" fillId="0" borderId="0" xfId="0" applyNumberFormat="1" applyFont="1"/>
    <xf numFmtId="0" fontId="3" fillId="0" borderId="0" xfId="0" applyFont="1" applyAlignment="1"/>
    <xf numFmtId="169" fontId="1" fillId="0" borderId="0" xfId="0" applyNumberFormat="1" applyFont="1" applyFill="1" applyAlignment="1">
      <alignment horizontal="right"/>
    </xf>
    <xf numFmtId="42" fontId="19" fillId="0" borderId="5" xfId="0" applyNumberFormat="1" applyFont="1" applyFill="1" applyBorder="1" applyAlignment="1"/>
    <xf numFmtId="41" fontId="19" fillId="0" borderId="0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69" fontId="5" fillId="0" borderId="0" xfId="0" applyNumberFormat="1" applyFont="1"/>
    <xf numFmtId="175" fontId="5" fillId="0" borderId="0" xfId="0" applyNumberFormat="1" applyFont="1"/>
    <xf numFmtId="39" fontId="5" fillId="0" borderId="0" xfId="0" applyNumberFormat="1" applyFont="1" applyFill="1"/>
    <xf numFmtId="43" fontId="5" fillId="0" borderId="0" xfId="0" applyNumberFormat="1" applyFont="1" applyFill="1"/>
    <xf numFmtId="43" fontId="5" fillId="0" borderId="1" xfId="0" applyNumberFormat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10" fontId="5" fillId="0" borderId="0" xfId="0" applyNumberFormat="1" applyFont="1" applyFill="1"/>
    <xf numFmtId="39" fontId="24" fillId="0" borderId="0" xfId="0" applyNumberFormat="1" applyFont="1" applyFill="1"/>
    <xf numFmtId="10" fontId="5" fillId="0" borderId="0" xfId="0" applyNumberFormat="1" applyFont="1" applyFill="1" applyBorder="1"/>
    <xf numFmtId="10" fontId="1" fillId="0" borderId="0" xfId="0" applyNumberFormat="1" applyFont="1" applyFill="1"/>
    <xf numFmtId="0" fontId="5" fillId="0" borderId="1" xfId="0" applyFont="1" applyFill="1" applyBorder="1"/>
    <xf numFmtId="43" fontId="1" fillId="0" borderId="1" xfId="0" applyNumberFormat="1" applyFont="1" applyFill="1" applyBorder="1"/>
    <xf numFmtId="0" fontId="3" fillId="0" borderId="0" xfId="0" applyFont="1" applyFill="1"/>
    <xf numFmtId="44" fontId="3" fillId="0" borderId="0" xfId="0" applyNumberFormat="1" applyFont="1" applyFill="1"/>
    <xf numFmtId="0" fontId="1" fillId="0" borderId="0" xfId="0" applyFont="1" applyFill="1" applyAlignment="1">
      <alignment horizontal="left"/>
    </xf>
    <xf numFmtId="43" fontId="30" fillId="0" borderId="0" xfId="0" applyNumberFormat="1" applyFont="1" applyAlignment="1">
      <alignment horizontal="right"/>
    </xf>
    <xf numFmtId="43" fontId="30" fillId="0" borderId="0" xfId="0" applyNumberFormat="1" applyFont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3" fontId="33" fillId="0" borderId="5" xfId="0" applyNumberFormat="1" applyFont="1" applyBorder="1"/>
    <xf numFmtId="43" fontId="32" fillId="0" borderId="0" xfId="0" applyNumberFormat="1" applyFont="1"/>
    <xf numFmtId="43" fontId="32" fillId="0" borderId="1" xfId="0" applyNumberFormat="1" applyFont="1" applyBorder="1" applyAlignment="1">
      <alignment horizontal="center" vertical="center"/>
    </xf>
    <xf numFmtId="43" fontId="32" fillId="7" borderId="0" xfId="0" applyNumberFormat="1" applyFont="1" applyFill="1" applyAlignment="1">
      <alignment horizontal="center"/>
    </xf>
    <xf numFmtId="43" fontId="34" fillId="6" borderId="3" xfId="0" applyNumberFormat="1" applyFont="1" applyFill="1" applyBorder="1"/>
    <xf numFmtId="43" fontId="32" fillId="0" borderId="0" xfId="0" applyNumberFormat="1" applyFont="1" applyBorder="1" applyAlignment="1">
      <alignment horizontal="center"/>
    </xf>
    <xf numFmtId="43" fontId="32" fillId="7" borderId="1" xfId="0" applyNumberFormat="1" applyFont="1" applyFill="1" applyBorder="1" applyAlignment="1">
      <alignment horizontal="center"/>
    </xf>
    <xf numFmtId="43" fontId="32" fillId="0" borderId="1" xfId="0" applyNumberFormat="1" applyFont="1" applyBorder="1" applyAlignment="1">
      <alignment horizontal="center"/>
    </xf>
    <xf numFmtId="43" fontId="32" fillId="0" borderId="0" xfId="0" applyNumberFormat="1" applyFont="1" applyAlignment="1">
      <alignment horizontal="center"/>
    </xf>
    <xf numFmtId="43" fontId="32" fillId="0" borderId="0" xfId="0" applyNumberFormat="1" applyFont="1" applyBorder="1"/>
    <xf numFmtId="43" fontId="32" fillId="0" borderId="0" xfId="0" applyNumberFormat="1" applyFont="1" applyFill="1" applyBorder="1" applyAlignment="1">
      <alignment horizontal="center"/>
    </xf>
    <xf numFmtId="43" fontId="32" fillId="0" borderId="1" xfId="0" applyNumberFormat="1" applyFont="1" applyBorder="1"/>
    <xf numFmtId="43" fontId="32" fillId="7" borderId="0" xfId="0" applyNumberFormat="1" applyFont="1" applyFill="1" applyBorder="1" applyAlignment="1">
      <alignment horizontal="center"/>
    </xf>
    <xf numFmtId="43" fontId="32" fillId="7" borderId="0" xfId="0" applyNumberFormat="1" applyFont="1" applyFill="1"/>
    <xf numFmtId="43" fontId="34" fillId="6" borderId="3" xfId="0" applyNumberFormat="1" applyFont="1" applyFill="1" applyBorder="1" applyAlignment="1">
      <alignment horizontal="left" wrapText="1"/>
    </xf>
    <xf numFmtId="43" fontId="33" fillId="0" borderId="5" xfId="0" applyNumberFormat="1" applyFont="1" applyFill="1" applyBorder="1" applyAlignment="1">
      <alignment horizontal="center"/>
    </xf>
    <xf numFmtId="0" fontId="33" fillId="0" borderId="5" xfId="0" applyFont="1" applyFill="1" applyBorder="1"/>
    <xf numFmtId="0" fontId="33" fillId="0" borderId="6" xfId="0" applyFont="1" applyBorder="1"/>
    <xf numFmtId="43" fontId="33" fillId="0" borderId="5" xfId="0" applyNumberFormat="1" applyFont="1" applyBorder="1" applyAlignment="1">
      <alignment vertical="top"/>
    </xf>
    <xf numFmtId="43" fontId="33" fillId="0" borderId="0" xfId="0" applyNumberFormat="1" applyFont="1" applyBorder="1" applyAlignment="1">
      <alignment vertical="top"/>
    </xf>
    <xf numFmtId="43" fontId="33" fillId="0" borderId="3" xfId="0" applyNumberFormat="1" applyFont="1" applyBorder="1" applyAlignment="1">
      <alignment vertical="top"/>
    </xf>
    <xf numFmtId="43" fontId="32" fillId="0" borderId="0" xfId="0" applyNumberFormat="1" applyFont="1" applyBorder="1" applyAlignment="1">
      <alignment vertical="top"/>
    </xf>
    <xf numFmtId="43" fontId="32" fillId="7" borderId="0" xfId="0" applyNumberFormat="1" applyFont="1" applyFill="1" applyBorder="1" applyAlignment="1">
      <alignment vertical="top"/>
    </xf>
    <xf numFmtId="43" fontId="32" fillId="0" borderId="0" xfId="0" applyNumberFormat="1" applyFont="1" applyFill="1" applyBorder="1" applyAlignment="1">
      <alignment vertical="top"/>
    </xf>
    <xf numFmtId="43" fontId="32" fillId="0" borderId="0" xfId="0" applyNumberFormat="1" applyFont="1" applyBorder="1" applyAlignment="1">
      <alignment horizontal="center" vertical="top"/>
    </xf>
    <xf numFmtId="0" fontId="32" fillId="0" borderId="0" xfId="0" applyFont="1" applyFill="1"/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43" fontId="33" fillId="0" borderId="0" xfId="0" applyNumberFormat="1" applyFont="1" applyBorder="1" applyAlignment="1">
      <alignment horizontal="center" vertical="top" wrapText="1"/>
    </xf>
    <xf numFmtId="0" fontId="33" fillId="7" borderId="0" xfId="0" applyFont="1" applyFill="1" applyAlignment="1">
      <alignment horizontal="center" wrapText="1"/>
    </xf>
    <xf numFmtId="17" fontId="33" fillId="7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5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/>
    <xf numFmtId="43" fontId="5" fillId="0" borderId="0" xfId="0" applyNumberFormat="1" applyFont="1" applyBorder="1"/>
    <xf numFmtId="0" fontId="5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0" applyNumberFormat="1" applyFont="1"/>
    <xf numFmtId="44" fontId="3" fillId="0" borderId="14" xfId="0" applyNumberFormat="1" applyFont="1" applyFill="1" applyBorder="1"/>
    <xf numFmtId="44" fontId="3" fillId="0" borderId="2" xfId="0" applyNumberFormat="1" applyFont="1" applyFill="1" applyBorder="1"/>
    <xf numFmtId="43" fontId="3" fillId="0" borderId="0" xfId="0" applyNumberFormat="1" applyFont="1"/>
    <xf numFmtId="44" fontId="3" fillId="0" borderId="4" xfId="0" applyNumberFormat="1" applyFont="1" applyFill="1" applyBorder="1"/>
    <xf numFmtId="2" fontId="5" fillId="0" borderId="4" xfId="0" applyNumberFormat="1" applyFont="1" applyFill="1" applyBorder="1"/>
    <xf numFmtId="43" fontId="5" fillId="0" borderId="4" xfId="0" applyNumberFormat="1" applyFont="1" applyBorder="1"/>
    <xf numFmtId="43" fontId="5" fillId="0" borderId="4" xfId="0" applyNumberFormat="1" applyFont="1" applyBorder="1"/>
    <xf numFmtId="0" fontId="5" fillId="0" borderId="4" xfId="0" applyFont="1" applyBorder="1"/>
    <xf numFmtId="10" fontId="0" fillId="0" borderId="4" xfId="0" applyNumberFormat="1" applyFont="1" applyBorder="1"/>
    <xf numFmtId="0" fontId="0" fillId="0" borderId="0" xfId="0" applyFill="1" applyBorder="1"/>
    <xf numFmtId="43" fontId="1" fillId="0" borderId="0" xfId="0" applyNumberFormat="1" applyFont="1" applyFill="1" applyBorder="1"/>
    <xf numFmtId="43" fontId="1" fillId="0" borderId="0" xfId="0" applyNumberFormat="1" applyFont="1" applyFill="1" applyBorder="1" applyAlignment="1">
      <alignment horizontal="center" wrapText="1"/>
    </xf>
    <xf numFmtId="10" fontId="3" fillId="0" borderId="0" xfId="0" applyNumberFormat="1" applyFont="1" applyFill="1" applyBorder="1" applyAlignment="1">
      <alignment horizontal="center"/>
    </xf>
    <xf numFmtId="43" fontId="0" fillId="0" borderId="0" xfId="0" applyNumberFormat="1" applyFill="1" applyBorder="1"/>
    <xf numFmtId="0" fontId="24" fillId="0" borderId="0" xfId="0" applyFont="1" applyFill="1" applyBorder="1" applyAlignment="1">
      <alignment horizontal="left"/>
    </xf>
    <xf numFmtId="43" fontId="16" fillId="0" borderId="0" xfId="0" applyNumberFormat="1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" fillId="0" borderId="0" xfId="0" applyNumberFormat="1" applyFont="1" applyFill="1" applyBorder="1"/>
    <xf numFmtId="43" fontId="3" fillId="0" borderId="0" xfId="0" applyNumberFormat="1" applyFont="1" applyFill="1"/>
    <xf numFmtId="41" fontId="1" fillId="0" borderId="0" xfId="0" applyNumberFormat="1" applyFont="1"/>
    <xf numFmtId="43" fontId="3" fillId="0" borderId="0" xfId="0" applyNumberFormat="1" applyFont="1" applyAlignment="1">
      <alignment horizontal="center"/>
    </xf>
    <xf numFmtId="39" fontId="5" fillId="0" borderId="0" xfId="0" applyNumberFormat="1" applyFont="1" applyFill="1" applyBorder="1" applyAlignment="1"/>
    <xf numFmtId="0" fontId="5" fillId="0" borderId="4" xfId="0" applyFont="1" applyFill="1" applyBorder="1" applyAlignment="1"/>
    <xf numFmtId="0" fontId="23" fillId="0" borderId="0" xfId="0" applyFont="1" applyFill="1" applyAlignment="1">
      <alignment horizontal="centerContinuous"/>
    </xf>
    <xf numFmtId="0" fontId="39" fillId="0" borderId="0" xfId="0" applyFont="1" applyFill="1"/>
    <xf numFmtId="0" fontId="39" fillId="0" borderId="0" xfId="0" applyFont="1" applyFill="1" applyAlignment="1"/>
    <xf numFmtId="164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Continuous"/>
    </xf>
    <xf numFmtId="0" fontId="39" fillId="0" borderId="0" xfId="0" applyNumberFormat="1" applyFont="1" applyFill="1" applyAlignment="1">
      <alignment horizontal="center"/>
    </xf>
    <xf numFmtId="164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>
      <alignment horizontal="centerContinuous"/>
    </xf>
    <xf numFmtId="37" fontId="39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/>
    </xf>
    <xf numFmtId="164" fontId="39" fillId="0" borderId="0" xfId="0" applyNumberFormat="1" applyFont="1" applyFill="1" applyAlignment="1"/>
    <xf numFmtId="37" fontId="39" fillId="0" borderId="0" xfId="0" applyNumberFormat="1" applyFont="1" applyFill="1"/>
    <xf numFmtId="167" fontId="39" fillId="0" borderId="0" xfId="0" applyNumberFormat="1" applyFont="1" applyFill="1"/>
    <xf numFmtId="2" fontId="39" fillId="0" borderId="0" xfId="0" applyNumberFormat="1" applyFont="1" applyFill="1"/>
    <xf numFmtId="2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37" fontId="14" fillId="0" borderId="0" xfId="0" applyNumberFormat="1" applyFont="1" applyFill="1" applyBorder="1"/>
    <xf numFmtId="0" fontId="14" fillId="0" borderId="0" xfId="0" applyFont="1" applyFill="1" applyAlignment="1"/>
    <xf numFmtId="0" fontId="14" fillId="0" borderId="0" xfId="0" applyFont="1" applyFill="1"/>
    <xf numFmtId="0" fontId="14" fillId="0" borderId="0" xfId="0" applyNumberFormat="1" applyFont="1" applyFill="1" applyBorder="1" applyAlignment="1"/>
    <xf numFmtId="171" fontId="39" fillId="0" borderId="0" xfId="0" applyNumberFormat="1" applyFont="1" applyFill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/>
    <xf numFmtId="167" fontId="14" fillId="0" borderId="0" xfId="0" applyNumberFormat="1" applyFont="1" applyFill="1"/>
    <xf numFmtId="0" fontId="28" fillId="0" borderId="0" xfId="0" applyNumberFormat="1" applyFont="1" applyFill="1" applyBorder="1" applyAlignment="1"/>
    <xf numFmtId="0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23" fillId="0" borderId="0" xfId="0" applyFont="1" applyFill="1" applyBorder="1" applyAlignment="1"/>
    <xf numFmtId="37" fontId="23" fillId="0" borderId="0" xfId="0" applyNumberFormat="1" applyFont="1" applyFill="1" applyBorder="1" applyAlignment="1"/>
    <xf numFmtId="2" fontId="23" fillId="0" borderId="0" xfId="0" applyNumberFormat="1" applyFont="1" applyFill="1"/>
    <xf numFmtId="37" fontId="23" fillId="0" borderId="0" xfId="0" applyNumberFormat="1" applyFont="1" applyFill="1" applyAlignment="1"/>
    <xf numFmtId="0" fontId="14" fillId="0" borderId="0" xfId="0" applyNumberFormat="1" applyFont="1" applyFill="1" applyAlignment="1">
      <alignment horizontal="left"/>
    </xf>
    <xf numFmtId="37" fontId="14" fillId="0" borderId="0" xfId="0" applyNumberFormat="1" applyFont="1" applyFill="1" applyAlignment="1"/>
    <xf numFmtId="0" fontId="23" fillId="0" borderId="1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0" fontId="39" fillId="0" borderId="7" xfId="0" applyFont="1" applyFill="1" applyBorder="1"/>
    <xf numFmtId="167" fontId="14" fillId="0" borderId="0" xfId="0" applyNumberFormat="1" applyFont="1" applyFill="1" applyBorder="1"/>
    <xf numFmtId="2" fontId="14" fillId="0" borderId="0" xfId="0" quotePrefix="1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3" fillId="0" borderId="0" xfId="0" applyNumberFormat="1" applyFont="1" applyFill="1" applyAlignment="1"/>
    <xf numFmtId="37" fontId="39" fillId="0" borderId="0" xfId="0" applyNumberFormat="1" applyFont="1" applyFill="1" applyBorder="1"/>
    <xf numFmtId="37" fontId="39" fillId="0" borderId="1" xfId="0" applyNumberFormat="1" applyFont="1" applyFill="1" applyBorder="1"/>
    <xf numFmtId="37" fontId="39" fillId="0" borderId="7" xfId="0" applyNumberFormat="1" applyFont="1" applyFill="1" applyBorder="1"/>
    <xf numFmtId="167" fontId="23" fillId="0" borderId="0" xfId="0" applyNumberFormat="1" applyFont="1" applyFill="1" applyAlignment="1"/>
    <xf numFmtId="0" fontId="39" fillId="0" borderId="0" xfId="0" applyFont="1" applyFill="1" applyBorder="1" applyAlignment="1"/>
    <xf numFmtId="37" fontId="39" fillId="0" borderId="0" xfId="0" applyNumberFormat="1" applyFont="1" applyFill="1" applyBorder="1" applyAlignment="1"/>
    <xf numFmtId="0" fontId="28" fillId="0" borderId="0" xfId="0" applyNumberFormat="1" applyFont="1" applyFill="1" applyAlignment="1"/>
    <xf numFmtId="3" fontId="39" fillId="0" borderId="0" xfId="0" applyNumberFormat="1" applyFont="1" applyFill="1"/>
    <xf numFmtId="0" fontId="14" fillId="0" borderId="0" xfId="0" applyNumberFormat="1" applyFont="1" applyFill="1" applyAlignment="1"/>
    <xf numFmtId="3" fontId="39" fillId="0" borderId="0" xfId="0" applyNumberFormat="1" applyFont="1" applyFill="1" applyBorder="1"/>
    <xf numFmtId="37" fontId="14" fillId="0" borderId="1" xfId="0" applyNumberFormat="1" applyFont="1" applyFill="1" applyBorder="1" applyAlignment="1"/>
    <xf numFmtId="37" fontId="23" fillId="0" borderId="2" xfId="0" applyNumberFormat="1" applyFont="1" applyFill="1" applyBorder="1" applyAlignment="1"/>
    <xf numFmtId="0" fontId="23" fillId="0" borderId="1" xfId="0" applyFont="1" applyFill="1" applyBorder="1" applyAlignment="1"/>
    <xf numFmtId="39" fontId="39" fillId="0" borderId="0" xfId="0" applyNumberFormat="1" applyFont="1" applyFill="1" applyAlignment="1"/>
    <xf numFmtId="0" fontId="29" fillId="0" borderId="0" xfId="0" applyFont="1" applyFill="1"/>
    <xf numFmtId="2" fontId="14" fillId="0" borderId="0" xfId="0" applyNumberFormat="1" applyFont="1" applyFill="1" applyAlignment="1">
      <alignment horizontal="center"/>
    </xf>
    <xf numFmtId="0" fontId="29" fillId="0" borderId="0" xfId="0" applyFont="1" applyFill="1" applyAlignment="1"/>
    <xf numFmtId="0" fontId="38" fillId="0" borderId="1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39" fontId="14" fillId="0" borderId="0" xfId="0" applyNumberFormat="1" applyFont="1" applyFill="1" applyAlignment="1">
      <alignment horizontal="center"/>
    </xf>
    <xf numFmtId="37" fontId="0" fillId="0" borderId="1" xfId="0" applyNumberFormat="1" applyFont="1" applyBorder="1"/>
    <xf numFmtId="43" fontId="14" fillId="0" borderId="1" xfId="0" applyNumberFormat="1" applyFont="1" applyFill="1" applyBorder="1"/>
    <xf numFmtId="37" fontId="0" fillId="0" borderId="0" xfId="0" applyNumberFormat="1" applyFont="1" applyBorder="1"/>
    <xf numFmtId="43" fontId="14" fillId="0" borderId="0" xfId="0" applyNumberFormat="1" applyFont="1" applyFill="1" applyBorder="1"/>
    <xf numFmtId="37" fontId="0" fillId="0" borderId="0" xfId="0" applyNumberFormat="1" applyFont="1" applyFill="1"/>
    <xf numFmtId="37" fontId="0" fillId="0" borderId="0" xfId="0" applyNumberFormat="1" applyFont="1"/>
    <xf numFmtId="43" fontId="14" fillId="0" borderId="0" xfId="0" applyNumberFormat="1" applyFont="1" applyFill="1" applyProtection="1"/>
    <xf numFmtId="37" fontId="23" fillId="0" borderId="2" xfId="0" applyNumberFormat="1" applyFont="1" applyFill="1" applyBorder="1"/>
    <xf numFmtId="37" fontId="0" fillId="0" borderId="1" xfId="0" applyNumberFormat="1" applyFont="1" applyFill="1" applyBorder="1"/>
    <xf numFmtId="165" fontId="0" fillId="0" borderId="0" xfId="0" applyNumberFormat="1" applyFont="1" applyFill="1" applyAlignment="1"/>
    <xf numFmtId="43" fontId="0" fillId="0" borderId="0" xfId="0" applyNumberFormat="1" applyFont="1" applyFill="1"/>
    <xf numFmtId="43" fontId="0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43" fontId="1" fillId="0" borderId="0" xfId="0" applyNumberFormat="1" applyFont="1" applyFill="1" applyBorder="1"/>
    <xf numFmtId="39" fontId="16" fillId="0" borderId="0" xfId="0" applyNumberFormat="1" applyFont="1" applyFill="1" applyBorder="1"/>
    <xf numFmtId="43" fontId="1" fillId="0" borderId="1" xfId="0" applyNumberFormat="1" applyFont="1" applyFill="1" applyBorder="1"/>
    <xf numFmtId="10" fontId="1" fillId="0" borderId="0" xfId="0" applyNumberFormat="1" applyFont="1"/>
    <xf numFmtId="0" fontId="32" fillId="0" borderId="0" xfId="0" applyFont="1"/>
    <xf numFmtId="0" fontId="32" fillId="0" borderId="0" xfId="0" applyFont="1" applyFill="1" applyBorder="1"/>
    <xf numFmtId="0" fontId="32" fillId="0" borderId="0" xfId="0" applyFont="1" applyAlignment="1">
      <alignment horizontal="center"/>
    </xf>
    <xf numFmtId="0" fontId="32" fillId="0" borderId="5" xfId="0" applyFont="1" applyBorder="1"/>
    <xf numFmtId="43" fontId="32" fillId="0" borderId="0" xfId="0" applyNumberFormat="1" applyFont="1"/>
    <xf numFmtId="0" fontId="33" fillId="0" borderId="0" xfId="0" applyFont="1"/>
    <xf numFmtId="165" fontId="37" fillId="0" borderId="5" xfId="0" applyNumberFormat="1" applyFont="1" applyBorder="1" applyAlignment="1">
      <alignment horizontal="right"/>
    </xf>
    <xf numFmtId="43" fontId="37" fillId="0" borderId="1" xfId="0" applyNumberFormat="1" applyFont="1" applyBorder="1"/>
    <xf numFmtId="43" fontId="37" fillId="0" borderId="0" xfId="0" applyNumberFormat="1" applyFont="1"/>
    <xf numFmtId="165" fontId="34" fillId="0" borderId="0" xfId="0" applyNumberFormat="1" applyFont="1" applyFill="1" applyBorder="1" applyAlignment="1"/>
    <xf numFmtId="165" fontId="37" fillId="0" borderId="0" xfId="0" applyNumberFormat="1" applyFont="1"/>
    <xf numFmtId="168" fontId="37" fillId="0" borderId="0" xfId="0" applyNumberFormat="1" applyFont="1" applyAlignment="1">
      <alignment horizontal="right"/>
    </xf>
    <xf numFmtId="10" fontId="37" fillId="0" borderId="0" xfId="0" applyNumberFormat="1" applyFont="1" applyBorder="1" applyAlignment="1">
      <alignment horizontal="right"/>
    </xf>
    <xf numFmtId="176" fontId="37" fillId="0" borderId="0" xfId="0" applyNumberFormat="1" applyFont="1"/>
    <xf numFmtId="43" fontId="37" fillId="0" borderId="0" xfId="0" applyNumberFormat="1" applyFont="1" applyBorder="1" applyAlignment="1">
      <alignment horizontal="left"/>
    </xf>
    <xf numFmtId="165" fontId="34" fillId="0" borderId="0" xfId="0" applyNumberFormat="1" applyFont="1" applyFill="1" applyAlignment="1"/>
    <xf numFmtId="43" fontId="32" fillId="0" borderId="0" xfId="0" applyNumberFormat="1" applyFont="1" applyBorder="1" applyAlignment="1">
      <alignment horizontal="center" vertical="center"/>
    </xf>
    <xf numFmtId="0" fontId="32" fillId="7" borderId="0" xfId="0" applyFont="1" applyFill="1"/>
    <xf numFmtId="43" fontId="34" fillId="6" borderId="1" xfId="0" applyNumberFormat="1" applyFont="1" applyFill="1" applyBorder="1"/>
    <xf numFmtId="10" fontId="32" fillId="0" borderId="0" xfId="0" applyNumberFormat="1" applyFont="1" applyFill="1" applyBorder="1" applyAlignment="1">
      <alignment horizontal="left"/>
    </xf>
    <xf numFmtId="43" fontId="32" fillId="0" borderId="5" xfId="0" applyNumberFormat="1" applyFont="1" applyBorder="1"/>
    <xf numFmtId="43" fontId="32" fillId="0" borderId="5" xfId="0" applyNumberFormat="1" applyFont="1" applyFill="1" applyBorder="1" applyAlignment="1">
      <alignment horizontal="center"/>
    </xf>
    <xf numFmtId="43" fontId="32" fillId="0" borderId="5" xfId="0" applyNumberFormat="1" applyFont="1" applyBorder="1" applyAlignment="1">
      <alignment horizontal="center"/>
    </xf>
    <xf numFmtId="43" fontId="32" fillId="7" borderId="4" xfId="0" applyNumberFormat="1" applyFont="1" applyFill="1" applyBorder="1" applyAlignment="1">
      <alignment horizontal="center"/>
    </xf>
    <xf numFmtId="43" fontId="32" fillId="0" borderId="0" xfId="0" applyNumberFormat="1" applyFont="1" applyFill="1" applyBorder="1"/>
    <xf numFmtId="43" fontId="32" fillId="0" borderId="5" xfId="0" applyNumberFormat="1" applyFont="1" applyFill="1" applyBorder="1"/>
    <xf numFmtId="43" fontId="32" fillId="7" borderId="3" xfId="0" applyNumberFormat="1" applyFont="1" applyFill="1" applyBorder="1" applyAlignment="1">
      <alignment horizontal="center"/>
    </xf>
    <xf numFmtId="43" fontId="32" fillId="0" borderId="3" xfId="0" applyNumberFormat="1" applyFont="1" applyBorder="1"/>
    <xf numFmtId="43" fontId="32" fillId="0" borderId="3" xfId="0" applyNumberFormat="1" applyFont="1" applyBorder="1" applyAlignment="1">
      <alignment horizontal="center"/>
    </xf>
    <xf numFmtId="43" fontId="32" fillId="0" borderId="4" xfId="0" applyNumberFormat="1" applyFont="1" applyBorder="1"/>
    <xf numFmtId="43" fontId="32" fillId="0" borderId="4" xfId="0" applyNumberFormat="1" applyFont="1" applyBorder="1" applyAlignment="1">
      <alignment horizontal="center"/>
    </xf>
    <xf numFmtId="43" fontId="32" fillId="0" borderId="1" xfId="0" applyNumberFormat="1" applyFont="1" applyBorder="1"/>
    <xf numFmtId="43" fontId="32" fillId="0" borderId="3" xfId="0" applyNumberFormat="1" applyFont="1" applyBorder="1"/>
    <xf numFmtId="43" fontId="32" fillId="0" borderId="0" xfId="0" applyNumberFormat="1" applyFont="1" applyBorder="1"/>
    <xf numFmtId="43" fontId="32" fillId="0" borderId="0" xfId="0" applyNumberFormat="1" applyFont="1" applyBorder="1" applyAlignment="1">
      <alignment horizontal="left"/>
    </xf>
    <xf numFmtId="43" fontId="32" fillId="0" borderId="0" xfId="0" applyNumberFormat="1" applyFont="1" applyBorder="1" applyAlignment="1">
      <alignment horizontal="right"/>
    </xf>
    <xf numFmtId="168" fontId="32" fillId="8" borderId="0" xfId="0" applyNumberFormat="1" applyFont="1" applyFill="1" applyBorder="1" applyAlignment="1">
      <alignment horizontal="left"/>
    </xf>
    <xf numFmtId="10" fontId="32" fillId="0" borderId="0" xfId="0" applyNumberFormat="1" applyFont="1" applyFill="1" applyBorder="1" applyAlignment="1">
      <alignment horizontal="center"/>
    </xf>
    <xf numFmtId="9" fontId="32" fillId="0" borderId="0" xfId="0" applyNumberFormat="1" applyFont="1" applyBorder="1"/>
    <xf numFmtId="0" fontId="32" fillId="0" borderId="0" xfId="0" applyFont="1" applyBorder="1" applyAlignment="1">
      <alignment horizontal="center" vertical="top"/>
    </xf>
    <xf numFmtId="43" fontId="32" fillId="12" borderId="0" xfId="0" applyNumberFormat="1" applyFont="1" applyFill="1"/>
    <xf numFmtId="43" fontId="32" fillId="12" borderId="0" xfId="0" applyNumberFormat="1" applyFont="1" applyFill="1" applyBorder="1"/>
    <xf numFmtId="43" fontId="32" fillId="12" borderId="0" xfId="0" applyNumberFormat="1" applyFont="1" applyFill="1" applyBorder="1" applyAlignment="1">
      <alignment horizontal="right"/>
    </xf>
    <xf numFmtId="43" fontId="32" fillId="12" borderId="0" xfId="0" applyNumberFormat="1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/>
    </xf>
    <xf numFmtId="0" fontId="32" fillId="12" borderId="0" xfId="0" applyFont="1" applyFill="1" applyBorder="1" applyAlignment="1">
      <alignment horizontal="center" vertical="top"/>
    </xf>
    <xf numFmtId="0" fontId="32" fillId="12" borderId="0" xfId="0" applyFont="1" applyFill="1" applyBorder="1" applyAlignment="1">
      <alignment horizontal="left"/>
    </xf>
    <xf numFmtId="0" fontId="33" fillId="7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41" fontId="3" fillId="0" borderId="19" xfId="0" applyNumberFormat="1" applyFont="1" applyBorder="1" applyAlignment="1"/>
    <xf numFmtId="41" fontId="1" fillId="0" borderId="26" xfId="0" applyNumberFormat="1" applyFont="1" applyBorder="1" applyAlignment="1"/>
    <xf numFmtId="0" fontId="3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Fill="1" applyBorder="1"/>
    <xf numFmtId="0" fontId="32" fillId="0" borderId="0" xfId="0" applyNumberFormat="1" applyFont="1" applyAlignment="1">
      <alignment horizontal="center"/>
    </xf>
    <xf numFmtId="0" fontId="32" fillId="0" borderId="0" xfId="0" applyFont="1" applyFill="1"/>
    <xf numFmtId="0" fontId="32" fillId="0" borderId="0" xfId="0" applyFont="1" applyAlignment="1">
      <alignment horizontal="center"/>
    </xf>
    <xf numFmtId="8" fontId="32" fillId="0" borderId="0" xfId="0" applyNumberFormat="1" applyFont="1"/>
    <xf numFmtId="8" fontId="0" fillId="0" borderId="0" xfId="0" applyNumberFormat="1"/>
    <xf numFmtId="39" fontId="32" fillId="0" borderId="0" xfId="0" applyNumberFormat="1" applyFont="1" applyFill="1"/>
    <xf numFmtId="43" fontId="37" fillId="0" borderId="5" xfId="0" applyNumberFormat="1" applyFont="1" applyBorder="1"/>
    <xf numFmtId="0" fontId="37" fillId="0" borderId="0" xfId="0" applyFont="1"/>
    <xf numFmtId="17" fontId="32" fillId="0" borderId="1" xfId="0" applyNumberFormat="1" applyFont="1" applyBorder="1"/>
    <xf numFmtId="17" fontId="32" fillId="0" borderId="0" xfId="0" applyNumberFormat="1" applyFont="1"/>
    <xf numFmtId="0" fontId="32" fillId="0" borderId="0" xfId="0" applyNumberFormat="1" applyFont="1" applyFill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/>
    </xf>
    <xf numFmtId="0" fontId="34" fillId="6" borderId="4" xfId="0" applyFont="1" applyFill="1" applyBorder="1"/>
    <xf numFmtId="0" fontId="34" fillId="6" borderId="3" xfId="0" applyFont="1" applyFill="1" applyBorder="1"/>
    <xf numFmtId="0" fontId="37" fillId="11" borderId="0" xfId="0" applyFont="1" applyFill="1"/>
    <xf numFmtId="0" fontId="37" fillId="0" borderId="0" xfId="0" applyFont="1" applyBorder="1"/>
    <xf numFmtId="0" fontId="37" fillId="0" borderId="0" xfId="0" applyFont="1" applyBorder="1" applyAlignment="1">
      <alignment horizontal="right"/>
    </xf>
    <xf numFmtId="0" fontId="40" fillId="0" borderId="0" xfId="0" applyFont="1" applyBorder="1" applyAlignment="1">
      <alignment vertical="center"/>
    </xf>
    <xf numFmtId="0" fontId="37" fillId="0" borderId="5" xfId="0" applyFont="1" applyBorder="1"/>
    <xf numFmtId="0" fontId="32" fillId="0" borderId="0" xfId="0" applyNumberFormat="1" applyFont="1"/>
    <xf numFmtId="0" fontId="34" fillId="11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32" fillId="0" borderId="0" xfId="0" applyNumberFormat="1" applyFont="1" applyBorder="1"/>
    <xf numFmtId="0" fontId="32" fillId="0" borderId="0" xfId="0" applyFont="1" applyBorder="1" applyAlignment="1">
      <alignment horizontal="left" wrapText="1"/>
    </xf>
    <xf numFmtId="0" fontId="32" fillId="0" borderId="0" xfId="0" applyFont="1" applyBorder="1"/>
    <xf numFmtId="0" fontId="32" fillId="0" borderId="1" xfId="0" applyNumberFormat="1" applyFont="1" applyBorder="1"/>
    <xf numFmtId="0" fontId="32" fillId="0" borderId="1" xfId="0" applyFont="1" applyBorder="1"/>
    <xf numFmtId="0" fontId="32" fillId="7" borderId="0" xfId="0" applyFont="1" applyFill="1"/>
    <xf numFmtId="0" fontId="34" fillId="6" borderId="1" xfId="0" applyFont="1" applyFill="1" applyBorder="1" applyAlignment="1">
      <alignment horizontal="center"/>
    </xf>
    <xf numFmtId="0" fontId="34" fillId="6" borderId="1" xfId="0" applyFont="1" applyFill="1" applyBorder="1"/>
    <xf numFmtId="0" fontId="32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wrapText="1"/>
    </xf>
    <xf numFmtId="0" fontId="32" fillId="0" borderId="0" xfId="0" applyNumberFormat="1" applyFont="1" applyFill="1"/>
    <xf numFmtId="17" fontId="32" fillId="0" borderId="5" xfId="0" applyNumberFormat="1" applyFont="1" applyFill="1" applyBorder="1"/>
    <xf numFmtId="0" fontId="32" fillId="0" borderId="0" xfId="0" applyFont="1" applyFill="1" applyBorder="1" applyAlignment="1">
      <alignment horizontal="left"/>
    </xf>
    <xf numFmtId="17" fontId="32" fillId="0" borderId="3" xfId="0" applyNumberFormat="1" applyFont="1" applyBorder="1"/>
    <xf numFmtId="17" fontId="32" fillId="0" borderId="4" xfId="0" applyNumberFormat="1" applyFont="1" applyBorder="1"/>
    <xf numFmtId="17" fontId="32" fillId="0" borderId="0" xfId="0" applyNumberFormat="1" applyFont="1" applyBorder="1"/>
    <xf numFmtId="0" fontId="34" fillId="6" borderId="4" xfId="0" applyFont="1" applyFill="1" applyBorder="1" applyAlignment="1">
      <alignment horizontal="center"/>
    </xf>
    <xf numFmtId="168" fontId="32" fillId="8" borderId="0" xfId="0" applyNumberFormat="1" applyFont="1" applyFill="1" applyAlignment="1">
      <alignment horizontal="left"/>
    </xf>
    <xf numFmtId="0" fontId="32" fillId="0" borderId="0" xfId="0" applyFont="1" applyFill="1" applyBorder="1" applyAlignment="1"/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/>
    </xf>
    <xf numFmtId="0" fontId="33" fillId="0" borderId="5" xfId="0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horizontal="right"/>
    </xf>
    <xf numFmtId="0" fontId="33" fillId="0" borderId="3" xfId="0" applyFont="1" applyBorder="1" applyAlignment="1">
      <alignment vertical="top"/>
    </xf>
    <xf numFmtId="0" fontId="33" fillId="0" borderId="3" xfId="0" applyFont="1" applyBorder="1" applyAlignment="1">
      <alignment horizontal="right"/>
    </xf>
    <xf numFmtId="0" fontId="33" fillId="0" borderId="3" xfId="0" applyFont="1" applyFill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top"/>
    </xf>
    <xf numFmtId="39" fontId="32" fillId="0" borderId="0" xfId="0" applyNumberFormat="1" applyFont="1" applyBorder="1" applyAlignment="1">
      <alignment vertical="top"/>
    </xf>
    <xf numFmtId="39" fontId="32" fillId="12" borderId="0" xfId="0" applyNumberFormat="1" applyFont="1" applyFill="1" applyBorder="1" applyAlignment="1">
      <alignment vertical="top"/>
    </xf>
    <xf numFmtId="43" fontId="32" fillId="12" borderId="0" xfId="0" applyNumberFormat="1" applyFont="1" applyFill="1"/>
    <xf numFmtId="0" fontId="32" fillId="0" borderId="0" xfId="0" applyFont="1" applyFill="1" applyAlignment="1">
      <alignment horizontal="right"/>
    </xf>
    <xf numFmtId="0" fontId="36" fillId="0" borderId="0" xfId="0" applyFont="1"/>
    <xf numFmtId="39" fontId="32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39" fontId="33" fillId="0" borderId="0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right" wrapText="1"/>
    </xf>
    <xf numFmtId="43" fontId="32" fillId="13" borderId="0" xfId="0" applyNumberFormat="1" applyFont="1" applyFill="1"/>
    <xf numFmtId="43" fontId="5" fillId="13" borderId="0" xfId="0" applyNumberFormat="1" applyFont="1" applyFill="1"/>
    <xf numFmtId="43" fontId="5" fillId="13" borderId="0" xfId="0" applyNumberFormat="1" applyFont="1" applyFill="1" applyBorder="1"/>
    <xf numFmtId="43" fontId="5" fillId="13" borderId="1" xfId="0" applyNumberFormat="1" applyFont="1" applyFill="1" applyBorder="1"/>
    <xf numFmtId="43" fontId="5" fillId="4" borderId="0" xfId="0" applyNumberFormat="1" applyFont="1" applyFill="1"/>
    <xf numFmtId="43" fontId="32" fillId="4" borderId="0" xfId="0" applyNumberFormat="1" applyFont="1" applyFill="1"/>
    <xf numFmtId="43" fontId="5" fillId="4" borderId="1" xfId="0" applyNumberFormat="1" applyFont="1" applyFill="1" applyBorder="1"/>
    <xf numFmtId="10" fontId="32" fillId="0" borderId="0" xfId="0" applyNumberFormat="1" applyFont="1" applyFill="1" applyBorder="1" applyAlignment="1">
      <alignment horizontal="center"/>
    </xf>
    <xf numFmtId="39" fontId="5" fillId="4" borderId="1" xfId="0" applyNumberFormat="1" applyFont="1" applyFill="1" applyBorder="1"/>
    <xf numFmtId="0" fontId="33" fillId="0" borderId="0" xfId="0" applyFont="1" applyFill="1" applyBorder="1" applyAlignment="1">
      <alignment horizontal="right"/>
    </xf>
    <xf numFmtId="43" fontId="32" fillId="0" borderId="1" xfId="0" applyNumberFormat="1" applyFont="1" applyFill="1" applyBorder="1"/>
    <xf numFmtId="43" fontId="36" fillId="0" borderId="0" xfId="0" applyNumberFormat="1" applyFont="1"/>
    <xf numFmtId="43" fontId="32" fillId="4" borderId="0" xfId="0" applyNumberFormat="1" applyFont="1" applyFill="1" applyBorder="1"/>
    <xf numFmtId="43" fontId="5" fillId="14" borderId="0" xfId="0" applyNumberFormat="1" applyFont="1" applyFill="1"/>
    <xf numFmtId="43" fontId="32" fillId="14" borderId="0" xfId="0" applyNumberFormat="1" applyFont="1" applyFill="1"/>
    <xf numFmtId="43" fontId="5" fillId="14" borderId="0" xfId="0" applyNumberFormat="1" applyFont="1" applyFill="1" applyBorder="1"/>
    <xf numFmtId="43" fontId="5" fillId="14" borderId="1" xfId="0" applyNumberFormat="1" applyFont="1" applyFill="1" applyBorder="1"/>
    <xf numFmtId="43" fontId="5" fillId="15" borderId="0" xfId="0" applyNumberFormat="1" applyFont="1" applyFill="1"/>
    <xf numFmtId="43" fontId="5" fillId="15" borderId="1" xfId="0" applyNumberFormat="1" applyFont="1" applyFill="1" applyBorder="1"/>
    <xf numFmtId="43" fontId="32" fillId="15" borderId="0" xfId="0" applyNumberFormat="1" applyFont="1" applyFill="1"/>
    <xf numFmtId="43" fontId="32" fillId="15" borderId="0" xfId="0" applyNumberFormat="1" applyFont="1" applyFill="1" applyBorder="1"/>
    <xf numFmtId="39" fontId="5" fillId="15" borderId="1" xfId="0" applyNumberFormat="1" applyFont="1" applyFill="1" applyBorder="1"/>
    <xf numFmtId="43" fontId="5" fillId="0" borderId="0" xfId="0" applyNumberFormat="1" applyFont="1"/>
    <xf numFmtId="39" fontId="17" fillId="0" borderId="4" xfId="0" applyNumberFormat="1" applyFont="1" applyFill="1" applyBorder="1"/>
    <xf numFmtId="43" fontId="1" fillId="0" borderId="0" xfId="0" applyNumberFormat="1" applyFont="1" applyBorder="1"/>
    <xf numFmtId="10" fontId="0" fillId="0" borderId="0" xfId="0" applyNumberFormat="1" applyFont="1" applyBorder="1"/>
    <xf numFmtId="0" fontId="2" fillId="0" borderId="4" xfId="0" applyFont="1" applyFill="1" applyBorder="1" applyAlignment="1"/>
    <xf numFmtId="44" fontId="1" fillId="0" borderId="3" xfId="0" applyNumberFormat="1" applyFont="1" applyFill="1" applyBorder="1"/>
    <xf numFmtId="44" fontId="3" fillId="0" borderId="3" xfId="0" applyNumberFormat="1" applyFont="1" applyFill="1" applyBorder="1"/>
    <xf numFmtId="0" fontId="39" fillId="0" borderId="0" xfId="0" applyFont="1" applyFill="1" applyAlignment="1">
      <alignment horizontal="centerContinuous"/>
    </xf>
    <xf numFmtId="164" fontId="23" fillId="0" borderId="1" xfId="0" applyNumberFormat="1" applyFont="1" applyFill="1" applyBorder="1" applyAlignment="1">
      <alignment horizontal="centerContinuous"/>
    </xf>
    <xf numFmtId="37" fontId="39" fillId="0" borderId="1" xfId="0" applyNumberFormat="1" applyFont="1" applyFill="1" applyBorder="1" applyAlignment="1">
      <alignment horizontal="centerContinuous"/>
    </xf>
    <xf numFmtId="0" fontId="39" fillId="0" borderId="1" xfId="0" applyFont="1" applyFill="1" applyBorder="1" applyAlignment="1">
      <alignment horizontal="centerContinuous"/>
    </xf>
    <xf numFmtId="2" fontId="14" fillId="7" borderId="0" xfId="0" applyNumberFormat="1" applyFont="1" applyFill="1" applyBorder="1"/>
    <xf numFmtId="0" fontId="14" fillId="7" borderId="0" xfId="0" applyFont="1" applyFill="1" applyBorder="1" applyAlignment="1"/>
    <xf numFmtId="0" fontId="14" fillId="7" borderId="0" xfId="0" applyNumberFormat="1" applyFont="1" applyFill="1" applyBorder="1" applyAlignment="1"/>
    <xf numFmtId="171" fontId="39" fillId="7" borderId="0" xfId="0" applyNumberFormat="1" applyFont="1" applyFill="1" applyAlignment="1">
      <alignment horizontal="center"/>
    </xf>
    <xf numFmtId="0" fontId="14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/>
    </xf>
    <xf numFmtId="39" fontId="14" fillId="7" borderId="0" xfId="0" applyNumberFormat="1" applyFont="1" applyFill="1" applyBorder="1"/>
    <xf numFmtId="0" fontId="14" fillId="7" borderId="0" xfId="0" applyFont="1" applyFill="1" applyBorder="1"/>
    <xf numFmtId="37" fontId="14" fillId="7" borderId="0" xfId="0" applyNumberFormat="1" applyFont="1" applyFill="1" applyBorder="1"/>
    <xf numFmtId="0" fontId="14" fillId="7" borderId="0" xfId="0" applyFont="1" applyFill="1" applyAlignment="1"/>
    <xf numFmtId="2" fontId="14" fillId="7" borderId="0" xfId="0" applyNumberFormat="1" applyFont="1" applyFill="1"/>
    <xf numFmtId="167" fontId="14" fillId="7" borderId="0" xfId="0" applyNumberFormat="1" applyFont="1" applyFill="1"/>
    <xf numFmtId="177" fontId="41" fillId="7" borderId="0" xfId="0" applyNumberFormat="1" applyFont="1" applyFill="1" applyAlignment="1">
      <alignment horizontal="left"/>
    </xf>
    <xf numFmtId="177" fontId="41" fillId="0" borderId="0" xfId="0" applyNumberFormat="1" applyFont="1" applyFill="1" applyAlignment="1">
      <alignment horizontal="left"/>
    </xf>
    <xf numFmtId="177" fontId="42" fillId="0" borderId="0" xfId="0" applyNumberFormat="1" applyFont="1" applyFill="1" applyAlignment="1">
      <alignment horizontal="left"/>
    </xf>
    <xf numFmtId="39" fontId="41" fillId="0" borderId="0" xfId="0" applyNumberFormat="1" applyFont="1" applyBorder="1"/>
    <xf numFmtId="2" fontId="5" fillId="0" borderId="0" xfId="0" applyNumberFormat="1" applyFont="1"/>
    <xf numFmtId="0" fontId="32" fillId="0" borderId="0" xfId="0" applyFont="1" applyFill="1" applyAlignment="1">
      <alignment horizontal="left"/>
    </xf>
    <xf numFmtId="43" fontId="32" fillId="0" borderId="0" xfId="0" applyNumberFormat="1" applyFont="1" applyFill="1" applyBorder="1"/>
    <xf numFmtId="0" fontId="23" fillId="0" borderId="0" xfId="0" applyFont="1" applyFill="1" applyAlignment="1">
      <alignment horizontal="centerContinuous"/>
    </xf>
    <xf numFmtId="0" fontId="43" fillId="0" borderId="0" xfId="0" applyFont="1" applyFill="1"/>
    <xf numFmtId="0" fontId="43" fillId="0" borderId="0" xfId="0" applyFont="1" applyFill="1" applyAlignment="1"/>
    <xf numFmtId="0" fontId="2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Continuous"/>
    </xf>
    <xf numFmtId="0" fontId="43" fillId="0" borderId="0" xfId="0" applyNumberFormat="1" applyFont="1" applyFill="1" applyAlignment="1">
      <alignment horizontal="center"/>
    </xf>
    <xf numFmtId="164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>
      <alignment horizontal="centerContinuous"/>
    </xf>
    <xf numFmtId="37" fontId="43" fillId="0" borderId="0" xfId="0" applyNumberFormat="1" applyFont="1" applyFill="1" applyAlignment="1"/>
    <xf numFmtId="0" fontId="23" fillId="0" borderId="0" xfId="0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"/>
    </xf>
    <xf numFmtId="37" fontId="23" fillId="0" borderId="0" xfId="0" applyNumberFormat="1" applyFont="1" applyFill="1" applyAlignment="1">
      <alignment horizontal="centerContinuous"/>
    </xf>
    <xf numFmtId="0" fontId="14" fillId="0" borderId="0" xfId="0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7" fontId="23" fillId="0" borderId="7" xfId="0" applyNumberFormat="1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70" fontId="23" fillId="0" borderId="0" xfId="0" quotePrefix="1" applyNumberFormat="1" applyFont="1" applyAlignment="1">
      <alignment horizontal="center"/>
    </xf>
    <xf numFmtId="3" fontId="23" fillId="0" borderId="0" xfId="0" applyNumberFormat="1" applyFont="1" applyFill="1" applyAlignment="1">
      <alignment horizontal="center"/>
    </xf>
    <xf numFmtId="164" fontId="23" fillId="0" borderId="7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3" fontId="23" fillId="0" borderId="0" xfId="0" applyNumberFormat="1" applyFont="1" applyFill="1" applyAlignment="1">
      <alignment horizontal="left"/>
    </xf>
    <xf numFmtId="0" fontId="43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/>
    <xf numFmtId="37" fontId="23" fillId="0" borderId="0" xfId="0" applyNumberFormat="1" applyFont="1" applyFill="1" applyAlignment="1"/>
    <xf numFmtId="3" fontId="43" fillId="0" borderId="0" xfId="0" applyNumberFormat="1" applyFont="1" applyFill="1"/>
    <xf numFmtId="0" fontId="14" fillId="0" borderId="0" xfId="0" applyFont="1" applyFill="1" applyAlignment="1"/>
    <xf numFmtId="0" fontId="14" fillId="0" borderId="7" xfId="0" applyNumberFormat="1" applyFont="1" applyFill="1" applyBorder="1" applyAlignment="1">
      <alignment horizontal="left"/>
    </xf>
    <xf numFmtId="3" fontId="14" fillId="0" borderId="0" xfId="0" applyNumberFormat="1" applyFont="1" applyFill="1" applyAlignment="1"/>
    <xf numFmtId="37" fontId="14" fillId="0" borderId="0" xfId="0" applyNumberFormat="1" applyFont="1" applyFill="1" applyAlignment="1"/>
    <xf numFmtId="2" fontId="14" fillId="0" borderId="0" xfId="0" applyNumberFormat="1" applyFont="1" applyFill="1" applyAlignment="1"/>
    <xf numFmtId="0" fontId="43" fillId="0" borderId="0" xfId="0" applyNumberFormat="1" applyFont="1" applyFill="1" applyAlignment="1">
      <alignment horizontal="left"/>
    </xf>
    <xf numFmtId="4" fontId="14" fillId="0" borderId="0" xfId="0" applyNumberFormat="1" applyFont="1" applyFill="1" applyAlignment="1"/>
    <xf numFmtId="172" fontId="14" fillId="0" borderId="0" xfId="0" applyNumberFormat="1" applyFont="1" applyFill="1" applyAlignment="1"/>
    <xf numFmtId="0" fontId="14" fillId="0" borderId="0" xfId="0" applyNumberFormat="1" applyFont="1" applyFill="1" applyBorder="1" applyAlignment="1">
      <alignment horizontal="left"/>
    </xf>
    <xf numFmtId="2" fontId="43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167" fontId="43" fillId="0" borderId="0" xfId="0" applyNumberFormat="1" applyFont="1" applyFill="1"/>
    <xf numFmtId="0" fontId="14" fillId="0" borderId="0" xfId="0" applyNumberFormat="1" applyFont="1" applyFill="1" applyAlignment="1">
      <alignment horizontal="left"/>
    </xf>
    <xf numFmtId="171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37" fontId="14" fillId="0" borderId="1" xfId="0" applyNumberFormat="1" applyFont="1" applyFill="1" applyBorder="1" applyAlignment="1"/>
    <xf numFmtId="37" fontId="14" fillId="0" borderId="0" xfId="0" applyNumberFormat="1" applyFont="1" applyFill="1" applyBorder="1" applyAlignment="1"/>
    <xf numFmtId="0" fontId="28" fillId="0" borderId="0" xfId="0" applyNumberFormat="1" applyFont="1" applyFill="1" applyAlignment="1">
      <alignment horizontal="left"/>
    </xf>
    <xf numFmtId="2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167" fontId="29" fillId="0" borderId="0" xfId="0" applyNumberFormat="1" applyFont="1" applyFill="1"/>
    <xf numFmtId="0" fontId="14" fillId="0" borderId="0" xfId="0" applyNumberFormat="1" applyFont="1" applyFill="1" applyAlignment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left"/>
    </xf>
    <xf numFmtId="2" fontId="23" fillId="0" borderId="0" xfId="0" applyNumberFormat="1" applyFont="1" applyFill="1"/>
    <xf numFmtId="0" fontId="23" fillId="0" borderId="1" xfId="0" applyNumberFormat="1" applyFont="1" applyFill="1" applyBorder="1" applyAlignment="1">
      <alignment horizontal="center"/>
    </xf>
    <xf numFmtId="37" fontId="23" fillId="0" borderId="0" xfId="0" applyNumberFormat="1" applyFont="1" applyFill="1" applyBorder="1" applyAlignment="1"/>
    <xf numFmtId="3" fontId="23" fillId="0" borderId="0" xfId="0" applyNumberFormat="1" applyFont="1" applyFill="1" applyBorder="1" applyAlignment="1"/>
    <xf numFmtId="37" fontId="23" fillId="0" borderId="2" xfId="0" applyNumberFormat="1" applyFont="1" applyFill="1" applyBorder="1" applyAlignment="1"/>
    <xf numFmtId="37" fontId="43" fillId="0" borderId="0" xfId="0" applyNumberFormat="1" applyFont="1" applyFill="1"/>
    <xf numFmtId="0" fontId="14" fillId="0" borderId="0" xfId="0" applyFont="1" applyFill="1"/>
    <xf numFmtId="164" fontId="43" fillId="0" borderId="0" xfId="0" applyNumberFormat="1" applyFont="1" applyFill="1" applyAlignment="1"/>
    <xf numFmtId="43" fontId="1" fillId="0" borderId="1" xfId="0" applyNumberFormat="1" applyFont="1" applyFill="1" applyBorder="1" applyAlignment="1"/>
    <xf numFmtId="10" fontId="0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165" fontId="0" fillId="0" borderId="0" xfId="0" applyNumberFormat="1" applyFont="1"/>
    <xf numFmtId="165" fontId="0" fillId="0" borderId="0" xfId="0" applyNumberFormat="1" applyFont="1" applyBorder="1"/>
    <xf numFmtId="165" fontId="24" fillId="0" borderId="0" xfId="0" applyNumberFormat="1" applyFont="1"/>
    <xf numFmtId="0" fontId="1" fillId="0" borderId="0" xfId="0" applyFont="1"/>
    <xf numFmtId="43" fontId="3" fillId="0" borderId="0" xfId="0" applyNumberFormat="1" applyFont="1" applyBorder="1"/>
    <xf numFmtId="165" fontId="0" fillId="0" borderId="5" xfId="0" applyNumberFormat="1" applyFont="1" applyBorder="1"/>
    <xf numFmtId="0" fontId="3" fillId="0" borderId="0" xfId="0" applyFont="1" applyBorder="1" applyAlignment="1"/>
    <xf numFmtId="0" fontId="1" fillId="0" borderId="0" xfId="0" applyFont="1" applyBorder="1"/>
    <xf numFmtId="0" fontId="3" fillId="0" borderId="5" xfId="0" applyFont="1" applyBorder="1"/>
    <xf numFmtId="0" fontId="24" fillId="0" borderId="0" xfId="0" applyFont="1"/>
    <xf numFmtId="0" fontId="0" fillId="0" borderId="0" xfId="0" applyFill="1" applyAlignment="1">
      <alignment horizontal="right"/>
    </xf>
    <xf numFmtId="0" fontId="1" fillId="0" borderId="0" xfId="0" applyFont="1" applyAlignment="1">
      <alignment horizontal="right"/>
    </xf>
    <xf numFmtId="39" fontId="1" fillId="0" borderId="0" xfId="0" applyNumberFormat="1" applyFont="1"/>
    <xf numFmtId="39" fontId="1" fillId="0" borderId="1" xfId="0" applyNumberFormat="1" applyFont="1" applyBorder="1"/>
    <xf numFmtId="10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3" fontId="5" fillId="0" borderId="1" xfId="0" applyNumberFormat="1" applyFont="1" applyBorder="1"/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43" fontId="1" fillId="0" borderId="28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7" xfId="0" applyFill="1" applyBorder="1"/>
    <xf numFmtId="0" fontId="0" fillId="0" borderId="2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0" fillId="0" borderId="22" xfId="0" applyNumberFormat="1" applyBorder="1"/>
    <xf numFmtId="43" fontId="1" fillId="0" borderId="22" xfId="0" applyNumberFormat="1" applyFont="1" applyFill="1" applyBorder="1"/>
    <xf numFmtId="9" fontId="3" fillId="0" borderId="29" xfId="0" applyNumberFormat="1" applyFont="1" applyFill="1" applyBorder="1"/>
    <xf numFmtId="43" fontId="3" fillId="0" borderId="30" xfId="0" applyNumberFormat="1" applyFont="1" applyBorder="1"/>
    <xf numFmtId="0" fontId="19" fillId="0" borderId="0" xfId="0" applyFont="1" applyFill="1" applyAlignment="1"/>
    <xf numFmtId="43" fontId="1" fillId="0" borderId="22" xfId="0" applyNumberFormat="1" applyFont="1" applyFill="1" applyBorder="1"/>
    <xf numFmtId="43" fontId="1" fillId="0" borderId="22" xfId="0" applyNumberFormat="1" applyFont="1" applyFill="1" applyBorder="1" applyAlignment="1">
      <alignment horizontal="center"/>
    </xf>
    <xf numFmtId="43" fontId="1" fillId="0" borderId="29" xfId="0" applyNumberFormat="1" applyFont="1" applyFill="1" applyBorder="1" applyAlignment="1">
      <alignment horizontal="center"/>
    </xf>
    <xf numFmtId="43" fontId="3" fillId="0" borderId="30" xfId="0" applyNumberFormat="1" applyFont="1" applyFill="1" applyBorder="1" applyAlignment="1">
      <alignment horizontal="center"/>
    </xf>
    <xf numFmtId="41" fontId="19" fillId="0" borderId="3" xfId="0" applyNumberFormat="1" applyFont="1" applyFill="1" applyBorder="1" applyAlignment="1" applyProtection="1">
      <protection locked="0"/>
    </xf>
    <xf numFmtId="41" fontId="19" fillId="0" borderId="0" xfId="0" applyNumberFormat="1" applyFont="1" applyFill="1" applyBorder="1" applyAlignment="1" applyProtection="1">
      <protection locked="0"/>
    </xf>
    <xf numFmtId="41" fontId="19" fillId="0" borderId="1" xfId="0" applyNumberFormat="1" applyFont="1" applyFill="1" applyBorder="1" applyAlignment="1" applyProtection="1">
      <protection locked="0"/>
    </xf>
    <xf numFmtId="43" fontId="32" fillId="0" borderId="0" xfId="0" applyNumberFormat="1" applyFont="1"/>
    <xf numFmtId="0" fontId="3" fillId="0" borderId="21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169" fontId="3" fillId="0" borderId="16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43" fontId="5" fillId="0" borderId="0" xfId="1" applyFont="1"/>
    <xf numFmtId="0" fontId="45" fillId="16" borderId="0" xfId="0" applyFont="1" applyFill="1" applyAlignment="1">
      <alignment horizontal="left"/>
    </xf>
    <xf numFmtId="0" fontId="45" fillId="16" borderId="0" xfId="0" applyFont="1" applyFill="1"/>
    <xf numFmtId="0" fontId="45" fillId="16" borderId="0" xfId="0" applyFont="1" applyFill="1" applyAlignment="1">
      <alignment horizontal="center" vertical="center" wrapText="1"/>
    </xf>
    <xf numFmtId="165" fontId="5" fillId="0" borderId="0" xfId="1" applyNumberFormat="1" applyFont="1"/>
    <xf numFmtId="37" fontId="5" fillId="0" borderId="5" xfId="0" applyNumberFormat="1" applyFont="1" applyBorder="1"/>
    <xf numFmtId="0" fontId="1" fillId="0" borderId="0" xfId="0" applyNumberFormat="1" applyFont="1" applyFill="1" applyAlignment="1"/>
    <xf numFmtId="0" fontId="33" fillId="5" borderId="31" xfId="0" applyFont="1" applyFill="1" applyBorder="1" applyAlignment="1">
      <alignment horizontal="centerContinuous"/>
    </xf>
    <xf numFmtId="0" fontId="33" fillId="5" borderId="32" xfId="0" applyFont="1" applyFill="1" applyBorder="1" applyAlignment="1">
      <alignment horizontal="centerContinuous"/>
    </xf>
    <xf numFmtId="0" fontId="33" fillId="5" borderId="33" xfId="0" applyFont="1" applyFill="1" applyBorder="1" applyAlignment="1">
      <alignment horizontal="centerContinuous"/>
    </xf>
    <xf numFmtId="0" fontId="33" fillId="5" borderId="36" xfId="0" applyFont="1" applyFill="1" applyBorder="1" applyAlignment="1">
      <alignment horizontal="center"/>
    </xf>
    <xf numFmtId="0" fontId="33" fillId="5" borderId="37" xfId="0" applyFont="1" applyFill="1" applyBorder="1" applyAlignment="1">
      <alignment horizontal="center"/>
    </xf>
    <xf numFmtId="0" fontId="33" fillId="5" borderId="38" xfId="0" applyFont="1" applyFill="1" applyBorder="1" applyAlignment="1">
      <alignment horizontal="center"/>
    </xf>
    <xf numFmtId="43" fontId="33" fillId="5" borderId="34" xfId="0" applyNumberFormat="1" applyFont="1" applyFill="1" applyBorder="1"/>
    <xf numFmtId="0" fontId="33" fillId="5" borderId="0" xfId="0" applyFont="1" applyFill="1" applyBorder="1"/>
    <xf numFmtId="43" fontId="33" fillId="5" borderId="35" xfId="0" applyNumberFormat="1" applyFont="1" applyFill="1" applyBorder="1"/>
    <xf numFmtId="43" fontId="33" fillId="5" borderId="31" xfId="0" applyNumberFormat="1" applyFont="1" applyFill="1" applyBorder="1"/>
    <xf numFmtId="43" fontId="33" fillId="5" borderId="0" xfId="0" applyNumberFormat="1" applyFont="1" applyFill="1" applyBorder="1"/>
    <xf numFmtId="0" fontId="33" fillId="5" borderId="34" xfId="0" applyFont="1" applyFill="1" applyBorder="1"/>
    <xf numFmtId="0" fontId="33" fillId="5" borderId="35" xfId="0" applyFont="1" applyFill="1" applyBorder="1"/>
    <xf numFmtId="43" fontId="33" fillId="5" borderId="39" xfId="0" applyNumberFormat="1" applyFont="1" applyFill="1" applyBorder="1"/>
    <xf numFmtId="43" fontId="33" fillId="5" borderId="40" xfId="0" applyNumberFormat="1" applyFont="1" applyFill="1" applyBorder="1"/>
    <xf numFmtId="43" fontId="33" fillId="5" borderId="41" xfId="0" applyNumberFormat="1" applyFont="1" applyFill="1" applyBorder="1"/>
    <xf numFmtId="43" fontId="33" fillId="5" borderId="42" xfId="0" applyNumberFormat="1" applyFont="1" applyFill="1" applyBorder="1"/>
    <xf numFmtId="43" fontId="33" fillId="5" borderId="43" xfId="0" applyNumberFormat="1" applyFont="1" applyFill="1" applyBorder="1"/>
    <xf numFmtId="43" fontId="33" fillId="5" borderId="44" xfId="0" applyNumberFormat="1" applyFont="1" applyFill="1" applyBorder="1"/>
    <xf numFmtId="39" fontId="33" fillId="5" borderId="34" xfId="0" applyNumberFormat="1" applyFont="1" applyFill="1" applyBorder="1"/>
    <xf numFmtId="37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39" fillId="0" borderId="0" xfId="2" applyNumberFormat="1" applyFont="1" applyFill="1"/>
    <xf numFmtId="10" fontId="14" fillId="0" borderId="0" xfId="2" applyNumberFormat="1" applyFont="1" applyFill="1"/>
    <xf numFmtId="10" fontId="39" fillId="0" borderId="0" xfId="2" applyNumberFormat="1" applyFont="1" applyFill="1" applyAlignment="1"/>
    <xf numFmtId="0" fontId="0" fillId="0" borderId="0" xfId="0" applyAlignment="1">
      <alignment horizontal="center"/>
    </xf>
    <xf numFmtId="2" fontId="1" fillId="0" borderId="0" xfId="0" applyNumberFormat="1" applyFont="1"/>
    <xf numFmtId="43" fontId="0" fillId="17" borderId="0" xfId="0" applyNumberFormat="1" applyFill="1"/>
    <xf numFmtId="39" fontId="0" fillId="0" borderId="0" xfId="0" applyNumberFormat="1"/>
    <xf numFmtId="43" fontId="0" fillId="3" borderId="0" xfId="0" applyNumberFormat="1" applyFill="1"/>
    <xf numFmtId="0" fontId="41" fillId="0" borderId="0" xfId="0" applyFont="1"/>
    <xf numFmtId="2" fontId="1" fillId="0" borderId="0" xfId="0" applyNumberFormat="1" applyFont="1" applyFill="1" applyAlignment="1"/>
    <xf numFmtId="39" fontId="24" fillId="0" borderId="0" xfId="0" applyNumberFormat="1" applyFont="1" applyBorder="1"/>
    <xf numFmtId="39" fontId="24" fillId="0" borderId="0" xfId="0" applyNumberFormat="1" applyFont="1" applyFill="1" applyBorder="1"/>
    <xf numFmtId="39" fontId="1" fillId="0" borderId="0" xfId="0" applyNumberFormat="1" applyFont="1" applyFill="1" applyBorder="1"/>
    <xf numFmtId="37" fontId="1" fillId="0" borderId="0" xfId="0" applyNumberFormat="1" applyFont="1" applyFill="1" applyBorder="1"/>
    <xf numFmtId="0" fontId="1" fillId="0" borderId="0" xfId="3"/>
    <xf numFmtId="0" fontId="1" fillId="0" borderId="0" xfId="3" applyAlignment="1">
      <alignment wrapText="1"/>
    </xf>
    <xf numFmtId="10" fontId="1" fillId="0" borderId="0" xfId="3" applyNumberFormat="1"/>
    <xf numFmtId="3" fontId="1" fillId="0" borderId="0" xfId="3" applyNumberFormat="1"/>
    <xf numFmtId="3" fontId="1" fillId="18" borderId="0" xfId="3" applyNumberFormat="1" applyFill="1"/>
    <xf numFmtId="178" fontId="1" fillId="0" borderId="0" xfId="3" applyNumberFormat="1"/>
    <xf numFmtId="0" fontId="1" fillId="0" borderId="1" xfId="3" applyBorder="1"/>
    <xf numFmtId="10" fontId="1" fillId="0" borderId="1" xfId="3" applyNumberFormat="1" applyBorder="1"/>
    <xf numFmtId="3" fontId="1" fillId="0" borderId="1" xfId="3" applyNumberFormat="1" applyBorder="1"/>
    <xf numFmtId="178" fontId="1" fillId="0" borderId="1" xfId="3" applyNumberFormat="1" applyBorder="1"/>
    <xf numFmtId="173" fontId="0" fillId="0" borderId="0" xfId="4" applyNumberFormat="1" applyFont="1"/>
    <xf numFmtId="0" fontId="4" fillId="0" borderId="1" xfId="3" applyFont="1" applyBorder="1" applyAlignment="1">
      <alignment wrapText="1"/>
    </xf>
    <xf numFmtId="0" fontId="4" fillId="0" borderId="0" xfId="3" applyFont="1" applyAlignment="1">
      <alignment wrapText="1"/>
    </xf>
    <xf numFmtId="0" fontId="3" fillId="0" borderId="0" xfId="3" applyFont="1"/>
    <xf numFmtId="0" fontId="4" fillId="0" borderId="0" xfId="3" applyFont="1"/>
    <xf numFmtId="1" fontId="1" fillId="0" borderId="0" xfId="3" applyNumberFormat="1"/>
    <xf numFmtId="0" fontId="23" fillId="0" borderId="0" xfId="6" applyFont="1" applyFill="1" applyAlignment="1">
      <alignment horizontal="centerContinuous"/>
    </xf>
    <xf numFmtId="0" fontId="14" fillId="0" borderId="0" xfId="6" applyAlignment="1"/>
    <xf numFmtId="164" fontId="23" fillId="0" borderId="0" xfId="6" applyNumberFormat="1" applyFont="1" applyFill="1" applyAlignment="1">
      <alignment horizontal="centerContinuous"/>
    </xf>
    <xf numFmtId="0" fontId="23" fillId="0" borderId="0" xfId="6" applyNumberFormat="1" applyFont="1" applyFill="1" applyAlignment="1">
      <alignment horizontal="centerContinuous"/>
    </xf>
    <xf numFmtId="0" fontId="14" fillId="0" borderId="0" xfId="6" applyNumberFormat="1" applyFill="1" applyAlignment="1">
      <alignment horizontal="centerContinuous"/>
    </xf>
    <xf numFmtId="0" fontId="14" fillId="0" borderId="0" xfId="6" applyNumberFormat="1" applyFill="1" applyAlignment="1">
      <alignment horizontal="center"/>
    </xf>
    <xf numFmtId="164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>
      <alignment horizontal="centerContinuous"/>
    </xf>
    <xf numFmtId="37" fontId="14" fillId="0" borderId="0" xfId="6" applyNumberFormat="1" applyFill="1" applyAlignment="1"/>
    <xf numFmtId="0" fontId="14" fillId="0" borderId="0" xfId="6" applyFill="1" applyAlignment="1"/>
    <xf numFmtId="0" fontId="14" fillId="0" borderId="0" xfId="6" applyFill="1"/>
    <xf numFmtId="0" fontId="23" fillId="0" borderId="0" xfId="6" applyFont="1" applyFill="1" applyAlignment="1"/>
    <xf numFmtId="0" fontId="23" fillId="0" borderId="0" xfId="6" applyNumberFormat="1" applyFont="1" applyFill="1" applyAlignment="1">
      <alignment horizontal="center"/>
    </xf>
    <xf numFmtId="0" fontId="23" fillId="0" borderId="0" xfId="6" applyFont="1" applyFill="1" applyAlignment="1">
      <alignment horizontal="center"/>
    </xf>
    <xf numFmtId="0" fontId="23" fillId="0" borderId="0" xfId="6" applyFont="1" applyFill="1" applyBorder="1" applyAlignment="1">
      <alignment horizontal="center"/>
    </xf>
    <xf numFmtId="164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"/>
    </xf>
    <xf numFmtId="37" fontId="23" fillId="0" borderId="0" xfId="6" applyNumberFormat="1" applyFont="1" applyFill="1" applyAlignment="1">
      <alignment horizontal="centerContinuous"/>
    </xf>
    <xf numFmtId="0" fontId="14" fillId="0" borderId="0" xfId="6" applyNumberFormat="1" applyFont="1" applyFill="1" applyAlignment="1">
      <alignment horizontal="centerContinuous"/>
    </xf>
    <xf numFmtId="0" fontId="14" fillId="0" borderId="0" xfId="6" applyFont="1" applyFill="1" applyAlignment="1">
      <alignment horizontal="center"/>
    </xf>
    <xf numFmtId="37" fontId="23" fillId="0" borderId="7" xfId="6" applyNumberFormat="1" applyFont="1" applyFill="1" applyBorder="1" applyAlignment="1">
      <alignment horizontal="center"/>
    </xf>
    <xf numFmtId="0" fontId="23" fillId="0" borderId="7" xfId="6" applyFont="1" applyFill="1" applyBorder="1" applyAlignment="1">
      <alignment horizontal="center"/>
    </xf>
    <xf numFmtId="0" fontId="23" fillId="0" borderId="7" xfId="6" applyNumberFormat="1" applyFont="1" applyFill="1" applyBorder="1" applyAlignment="1">
      <alignment horizontal="center"/>
    </xf>
    <xf numFmtId="0" fontId="14" fillId="0" borderId="1" xfId="6" applyFill="1" applyBorder="1" applyAlignment="1">
      <alignment horizontal="center"/>
    </xf>
    <xf numFmtId="0" fontId="23" fillId="0" borderId="1" xfId="6" applyFont="1" applyFill="1" applyBorder="1" applyAlignment="1">
      <alignment horizontal="center"/>
    </xf>
    <xf numFmtId="164" fontId="23" fillId="0" borderId="1" xfId="6" applyNumberFormat="1" applyFont="1" applyFill="1" applyBorder="1" applyAlignment="1">
      <alignment horizontal="center"/>
    </xf>
    <xf numFmtId="170" fontId="23" fillId="0" borderId="1" xfId="6" quotePrefix="1" applyNumberFormat="1" applyFont="1" applyBorder="1" applyAlignment="1">
      <alignment horizontal="center"/>
    </xf>
    <xf numFmtId="37" fontId="23" fillId="0" borderId="1" xfId="6" applyNumberFormat="1" applyFont="1" applyFill="1" applyBorder="1" applyAlignment="1">
      <alignment horizontal="center"/>
    </xf>
    <xf numFmtId="0" fontId="23" fillId="0" borderId="1" xfId="6" applyNumberFormat="1" applyFont="1" applyFill="1" applyBorder="1" applyAlignment="1">
      <alignment horizontal="center"/>
    </xf>
    <xf numFmtId="2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/>
    <xf numFmtId="0" fontId="14" fillId="0" borderId="0" xfId="6" applyNumberFormat="1" applyFont="1" applyFill="1" applyBorder="1" applyAlignment="1"/>
    <xf numFmtId="171" fontId="14" fillId="0" borderId="0" xfId="6" applyNumberFormat="1" applyFill="1" applyAlignment="1">
      <alignment horizontal="center"/>
    </xf>
    <xf numFmtId="0" fontId="14" fillId="0" borderId="0" xfId="6" applyNumberFormat="1" applyFont="1" applyFill="1" applyBorder="1" applyAlignment="1">
      <alignment horizontal="center"/>
    </xf>
    <xf numFmtId="164" fontId="14" fillId="0" borderId="0" xfId="6" applyNumberFormat="1" applyFont="1" applyFill="1" applyBorder="1" applyAlignment="1">
      <alignment horizontal="center"/>
    </xf>
    <xf numFmtId="39" fontId="14" fillId="0" borderId="0" xfId="8" applyNumberFormat="1" applyFont="1" applyFill="1" applyBorder="1"/>
    <xf numFmtId="0" fontId="14" fillId="0" borderId="0" xfId="8" applyFont="1" applyFill="1" applyBorder="1"/>
    <xf numFmtId="37" fontId="14" fillId="0" borderId="0" xfId="8" applyNumberFormat="1" applyFont="1" applyFill="1" applyBorder="1"/>
    <xf numFmtId="0" fontId="14" fillId="0" borderId="0" xfId="6" applyFont="1" applyFill="1" applyAlignment="1"/>
    <xf numFmtId="2" fontId="14" fillId="0" borderId="0" xfId="6" applyNumberFormat="1" applyFont="1" applyFill="1"/>
    <xf numFmtId="167" fontId="14" fillId="0" borderId="0" xfId="6" applyNumberFormat="1" applyFont="1" applyFill="1" applyAlignment="1">
      <alignment horizontal="center"/>
    </xf>
    <xf numFmtId="43" fontId="14" fillId="0" borderId="0" xfId="6" applyNumberFormat="1" applyAlignment="1"/>
    <xf numFmtId="37" fontId="14" fillId="19" borderId="0" xfId="0" applyNumberFormat="1" applyFont="1" applyFill="1" applyBorder="1"/>
    <xf numFmtId="167" fontId="14" fillId="19" borderId="0" xfId="0" applyNumberFormat="1" applyFont="1" applyFill="1"/>
    <xf numFmtId="0" fontId="14" fillId="19" borderId="0" xfId="0" applyFont="1" applyFill="1" applyAlignment="1"/>
    <xf numFmtId="43" fontId="5" fillId="19" borderId="0" xfId="0" applyNumberFormat="1" applyFont="1" applyFill="1"/>
    <xf numFmtId="10" fontId="5" fillId="3" borderId="0" xfId="0" applyNumberFormat="1" applyFont="1" applyFill="1"/>
    <xf numFmtId="9" fontId="19" fillId="0" borderId="0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2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horizontal="center"/>
    </xf>
    <xf numFmtId="165" fontId="34" fillId="10" borderId="1" xfId="0" applyNumberFormat="1" applyFont="1" applyFill="1" applyBorder="1" applyAlignment="1">
      <alignment horizontal="center"/>
    </xf>
    <xf numFmtId="0" fontId="34" fillId="6" borderId="0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43" fontId="33" fillId="7" borderId="0" xfId="0" applyNumberFormat="1" applyFont="1" applyFill="1" applyAlignment="1">
      <alignment horizontal="center" vertical="center" wrapText="1"/>
    </xf>
    <xf numFmtId="0" fontId="32" fillId="7" borderId="0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left" wrapText="1"/>
    </xf>
    <xf numFmtId="0" fontId="32" fillId="0" borderId="0" xfId="0" applyFont="1" applyFill="1" applyBorder="1" applyAlignment="1">
      <alignment horizontal="left" wrapText="1"/>
    </xf>
  </cellXfs>
  <cellStyles count="9">
    <cellStyle name="Comma" xfId="1" builtinId="3"/>
    <cellStyle name="Comma 2" xfId="5"/>
    <cellStyle name="Currency 2" xfId="4"/>
    <cellStyle name="Normal" xfId="0" builtinId="0"/>
    <cellStyle name="Normal 2" xfId="3"/>
    <cellStyle name="Normal 3" xfId="6"/>
    <cellStyle name="Normal 5" xfId="7"/>
    <cellStyle name="Normal_Iowa ASL GPAMORT" xfId="8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5E-and-5.05G-Allocation-Method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1E-and-5.01G-Income-Statement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Meter count"/>
      <sheetName val="E &amp; G RB"/>
      <sheetName val="2016 Sept IS "/>
      <sheetName val="SAP DL Downld"/>
      <sheetName val="12ME Sept 16 ZRW_DLF1"/>
      <sheetName val="Electric"/>
      <sheetName val="Gas"/>
      <sheetName val="Pg 6a CustCount_Electric"/>
      <sheetName val="Pg 6b CustCount_Gas"/>
    </sheetNames>
    <sheetDataSet>
      <sheetData sheetId="0">
        <row r="8">
          <cell r="E8">
            <v>1115041</v>
          </cell>
        </row>
        <row r="35">
          <cell r="E35">
            <v>0.67179999999999995</v>
          </cell>
          <cell r="F35">
            <v>0.32819999999999999</v>
          </cell>
        </row>
      </sheetData>
      <sheetData sheetId="1" refreshError="1"/>
      <sheetData sheetId="2" refreshError="1"/>
      <sheetData sheetId="3" refreshError="1"/>
      <sheetData sheetId="4">
        <row r="35">
          <cell r="H35">
            <v>0.24872690840850872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9">
          <cell r="B9">
            <v>2146048308.1900001</v>
          </cell>
        </row>
      </sheetData>
      <sheetData sheetId="1" refreshError="1"/>
      <sheetData sheetId="2" refreshError="1"/>
      <sheetData sheetId="3">
        <row r="7">
          <cell r="C7">
            <v>0</v>
          </cell>
        </row>
        <row r="235">
          <cell r="G235">
            <v>2828141.4334780001</v>
          </cell>
          <cell r="H235">
            <v>225675.98652199999</v>
          </cell>
          <cell r="I235">
            <v>3053817.42</v>
          </cell>
        </row>
        <row r="240">
          <cell r="G240">
            <v>2572664.0860799998</v>
          </cell>
          <cell r="H240">
            <v>33662.933920000003</v>
          </cell>
          <cell r="I240">
            <v>2606327.02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8"/>
  <sheetViews>
    <sheetView topLeftCell="A424" workbookViewId="0"/>
  </sheetViews>
  <sheetFormatPr defaultRowHeight="13.2" x14ac:dyDescent="0.25"/>
  <cols>
    <col min="1" max="1" width="3.5546875" customWidth="1"/>
    <col min="2" max="2" width="9.88671875" style="26" customWidth="1"/>
    <col min="3" max="3" width="43.5546875" customWidth="1"/>
    <col min="4" max="4" width="1.6640625" customWidth="1"/>
    <col min="5" max="5" width="17.33203125" style="41" customWidth="1"/>
    <col min="6" max="6" width="17.44140625" style="41" customWidth="1"/>
    <col min="7" max="7" width="14" customWidth="1"/>
    <col min="8" max="8" width="1.6640625" customWidth="1"/>
    <col min="9" max="9" width="12.6640625" style="26" customWidth="1"/>
    <col min="11" max="11" width="16.109375" customWidth="1"/>
  </cols>
  <sheetData>
    <row r="2" spans="1:10" x14ac:dyDescent="0.25">
      <c r="A2" s="26"/>
      <c r="B2" s="31" t="s">
        <v>129</v>
      </c>
      <c r="C2" s="31"/>
      <c r="D2" s="31"/>
      <c r="E2" s="49" t="s">
        <v>132</v>
      </c>
      <c r="F2" s="49" t="s">
        <v>164</v>
      </c>
      <c r="G2" s="31" t="s">
        <v>134</v>
      </c>
      <c r="H2" s="31"/>
      <c r="I2" s="31" t="s">
        <v>136</v>
      </c>
    </row>
    <row r="3" spans="1:10" x14ac:dyDescent="0.25">
      <c r="A3" s="39"/>
      <c r="B3" s="40" t="s">
        <v>130</v>
      </c>
      <c r="C3" s="40" t="s">
        <v>131</v>
      </c>
      <c r="D3" s="40"/>
      <c r="E3" s="50" t="s">
        <v>133</v>
      </c>
      <c r="F3" s="50" t="s">
        <v>165</v>
      </c>
      <c r="G3" s="40" t="s">
        <v>135</v>
      </c>
      <c r="H3" s="40"/>
      <c r="I3" s="40" t="s">
        <v>135</v>
      </c>
    </row>
    <row r="4" spans="1:10" ht="8.25" customHeight="1" x14ac:dyDescent="0.25">
      <c r="B4" s="2"/>
      <c r="C4" s="1"/>
      <c r="D4" s="1"/>
      <c r="E4" s="27"/>
      <c r="F4" s="27"/>
      <c r="G4" s="3"/>
      <c r="H4" s="3"/>
      <c r="I4" s="4"/>
    </row>
    <row r="5" spans="1:10" x14ac:dyDescent="0.25">
      <c r="B5" s="2"/>
      <c r="C5" s="1"/>
      <c r="D5" s="1"/>
      <c r="E5" s="27"/>
      <c r="F5" s="27"/>
      <c r="G5" s="5"/>
      <c r="H5" s="2"/>
      <c r="I5" s="5"/>
    </row>
    <row r="6" spans="1:10" x14ac:dyDescent="0.25">
      <c r="A6" s="921" t="s">
        <v>0</v>
      </c>
      <c r="B6" s="921"/>
      <c r="C6" s="921"/>
      <c r="D6" s="921"/>
      <c r="E6" s="921"/>
      <c r="F6" s="921"/>
      <c r="G6" s="921"/>
      <c r="H6" s="921"/>
      <c r="I6" s="921"/>
    </row>
    <row r="7" spans="1:10" x14ac:dyDescent="0.25">
      <c r="B7" s="2"/>
      <c r="C7" s="7"/>
      <c r="D7" s="7"/>
      <c r="E7" s="51"/>
      <c r="F7" s="51"/>
      <c r="G7" s="5"/>
      <c r="H7" s="2"/>
      <c r="I7" s="5"/>
    </row>
    <row r="8" spans="1:10" x14ac:dyDescent="0.25">
      <c r="B8" s="2" t="s">
        <v>137</v>
      </c>
      <c r="C8" s="1" t="s">
        <v>25</v>
      </c>
      <c r="D8" s="1"/>
      <c r="E8" s="27">
        <f>24169908.79+6691875.73+4817438.67</f>
        <v>35679223.189999998</v>
      </c>
      <c r="F8" s="27">
        <f>767991.49+212162.17+159051.27</f>
        <v>1139204.93</v>
      </c>
      <c r="G8" s="5">
        <v>3.17</v>
      </c>
      <c r="H8" s="2"/>
      <c r="I8" s="5">
        <v>5.27</v>
      </c>
    </row>
    <row r="9" spans="1:10" x14ac:dyDescent="0.25">
      <c r="B9" s="2" t="s">
        <v>178</v>
      </c>
      <c r="C9" s="1" t="s">
        <v>155</v>
      </c>
      <c r="D9" s="1"/>
      <c r="E9" s="41">
        <f>1264710.76+27763.32</f>
        <v>1292474.08</v>
      </c>
      <c r="F9" s="41">
        <f>51963.49+1143.85</f>
        <v>53107.34</v>
      </c>
      <c r="G9" s="5">
        <v>4.12</v>
      </c>
      <c r="H9" s="2"/>
      <c r="I9" s="5">
        <v>5</v>
      </c>
    </row>
    <row r="10" spans="1:10" x14ac:dyDescent="0.25">
      <c r="B10" s="2" t="s">
        <v>178</v>
      </c>
      <c r="C10" s="1" t="s">
        <v>156</v>
      </c>
      <c r="D10" s="1"/>
      <c r="E10" s="27">
        <f>591341.71+6407314.77</f>
        <v>6998656.4799999995</v>
      </c>
      <c r="F10" s="27">
        <f>20199.13+226681.03</f>
        <v>246880.16</v>
      </c>
      <c r="G10" s="5">
        <v>3.57</v>
      </c>
      <c r="H10" s="2"/>
      <c r="I10" s="5">
        <v>5</v>
      </c>
    </row>
    <row r="11" spans="1:10" x14ac:dyDescent="0.25">
      <c r="B11" s="2" t="s">
        <v>178</v>
      </c>
      <c r="C11" s="1" t="s">
        <v>157</v>
      </c>
      <c r="D11" s="1"/>
      <c r="E11" s="27">
        <v>3171926.71</v>
      </c>
      <c r="F11" s="27">
        <v>149267.13</v>
      </c>
      <c r="G11" s="5">
        <v>4.71</v>
      </c>
      <c r="H11" s="2"/>
      <c r="I11" s="5">
        <v>5</v>
      </c>
    </row>
    <row r="12" spans="1:10" x14ac:dyDescent="0.25">
      <c r="B12" s="2" t="s">
        <v>179</v>
      </c>
      <c r="C12" s="1" t="s">
        <v>158</v>
      </c>
      <c r="D12" s="1"/>
      <c r="E12" s="41">
        <f>247237.5+14142798.87</f>
        <v>14390036.369999999</v>
      </c>
      <c r="F12" s="41">
        <f>30981.73+1516897.5</f>
        <v>1547879.23</v>
      </c>
      <c r="G12" s="5">
        <v>13.1</v>
      </c>
      <c r="H12" s="2"/>
      <c r="I12" s="5">
        <v>20</v>
      </c>
    </row>
    <row r="13" spans="1:10" x14ac:dyDescent="0.25">
      <c r="B13" s="2" t="s">
        <v>179</v>
      </c>
      <c r="C13" s="1" t="s">
        <v>159</v>
      </c>
      <c r="D13" s="1"/>
      <c r="E13" s="27">
        <v>34301041.630000003</v>
      </c>
      <c r="F13" s="27">
        <v>1595469.3</v>
      </c>
      <c r="G13" s="5">
        <v>5.26</v>
      </c>
      <c r="H13" s="2"/>
      <c r="I13" s="5">
        <v>20</v>
      </c>
    </row>
    <row r="14" spans="1:10" x14ac:dyDescent="0.25">
      <c r="B14" s="2" t="s">
        <v>150</v>
      </c>
      <c r="C14" s="1" t="s">
        <v>94</v>
      </c>
      <c r="D14" s="1"/>
      <c r="E14" s="27">
        <v>34354.14</v>
      </c>
      <c r="F14" s="27">
        <v>3123.1</v>
      </c>
      <c r="G14" s="5">
        <v>9.09</v>
      </c>
      <c r="H14" s="2"/>
      <c r="I14" s="5">
        <v>9</v>
      </c>
      <c r="J14" t="s">
        <v>366</v>
      </c>
    </row>
    <row r="15" spans="1:10" x14ac:dyDescent="0.25">
      <c r="B15" s="2" t="s">
        <v>180</v>
      </c>
      <c r="C15" s="1" t="s">
        <v>160</v>
      </c>
      <c r="D15" s="1"/>
      <c r="E15" s="27">
        <v>38901.93</v>
      </c>
      <c r="F15" s="27">
        <v>1519.63</v>
      </c>
      <c r="G15" s="5">
        <v>3.12</v>
      </c>
      <c r="H15" s="2"/>
      <c r="I15" s="5">
        <v>5</v>
      </c>
    </row>
    <row r="16" spans="1:10" x14ac:dyDescent="0.25">
      <c r="B16" s="2" t="s">
        <v>181</v>
      </c>
      <c r="C16" s="1" t="s">
        <v>163</v>
      </c>
      <c r="D16" s="1"/>
      <c r="E16" s="27">
        <v>799876.74</v>
      </c>
      <c r="F16" s="27">
        <v>17862.3</v>
      </c>
      <c r="G16" s="5">
        <v>3.92</v>
      </c>
      <c r="H16" s="2"/>
      <c r="I16" s="5">
        <v>5</v>
      </c>
    </row>
    <row r="17" spans="1:10" x14ac:dyDescent="0.25">
      <c r="B17" s="2" t="s">
        <v>181</v>
      </c>
      <c r="C17" s="1" t="s">
        <v>116</v>
      </c>
      <c r="D17" s="1"/>
      <c r="E17" s="27">
        <v>433573.46</v>
      </c>
      <c r="F17" s="27">
        <v>83215.259999999995</v>
      </c>
      <c r="G17" s="5">
        <v>20</v>
      </c>
      <c r="H17" s="2"/>
      <c r="I17" s="5">
        <v>5</v>
      </c>
    </row>
    <row r="18" spans="1:10" x14ac:dyDescent="0.25">
      <c r="B18" s="2" t="s">
        <v>182</v>
      </c>
      <c r="C18" s="1" t="s">
        <v>118</v>
      </c>
      <c r="D18" s="1"/>
      <c r="E18" s="27">
        <v>71433.61</v>
      </c>
      <c r="F18" s="27">
        <v>-811.56</v>
      </c>
      <c r="G18" s="5">
        <v>14.28</v>
      </c>
      <c r="H18" s="2"/>
      <c r="I18" s="5">
        <v>6</v>
      </c>
      <c r="J18" t="s">
        <v>366</v>
      </c>
    </row>
    <row r="19" spans="1:10" x14ac:dyDescent="0.25">
      <c r="B19" s="2" t="s">
        <v>183</v>
      </c>
      <c r="C19" s="1" t="s">
        <v>162</v>
      </c>
      <c r="D19" s="1"/>
      <c r="E19" s="27">
        <f>1320468.6+308764.68</f>
        <v>1629233.28</v>
      </c>
      <c r="F19" s="27">
        <f>55712.11+12735.35</f>
        <v>68447.460000000006</v>
      </c>
      <c r="G19" s="5">
        <v>4.9800000000000004</v>
      </c>
      <c r="H19" s="2"/>
      <c r="I19" s="5">
        <v>6.67</v>
      </c>
    </row>
    <row r="20" spans="1:10" x14ac:dyDescent="0.25">
      <c r="B20" s="2" t="s">
        <v>183</v>
      </c>
      <c r="C20" s="1" t="s">
        <v>161</v>
      </c>
      <c r="D20" s="1"/>
      <c r="E20" s="27">
        <f>22887609.88+31199.84+306088.68+20037.12+1563305.65+164054.46+157042.12+10963188.72+2135669.36</f>
        <v>38228195.829999998</v>
      </c>
      <c r="F20" s="27">
        <f>1138452.85+1553.75+15243.22+997.85+75987.34+8169.91+14501.18+519357.87+103280.36</f>
        <v>1877544.3300000003</v>
      </c>
      <c r="G20" s="5">
        <v>4.3499999999999996</v>
      </c>
      <c r="H20" s="2"/>
      <c r="I20" s="5">
        <v>6.67</v>
      </c>
    </row>
    <row r="21" spans="1:10" x14ac:dyDescent="0.25">
      <c r="B21" s="2" t="s">
        <v>184</v>
      </c>
      <c r="C21" s="1" t="s">
        <v>154</v>
      </c>
      <c r="D21" s="1"/>
      <c r="E21" s="27">
        <v>26508.51</v>
      </c>
      <c r="F21" s="27">
        <v>1222.9100000000001</v>
      </c>
      <c r="G21" s="5">
        <v>4.58</v>
      </c>
      <c r="H21" s="8"/>
      <c r="I21" s="36">
        <v>6.67</v>
      </c>
    </row>
    <row r="22" spans="1:10" x14ac:dyDescent="0.25">
      <c r="B22" s="2" t="s">
        <v>184</v>
      </c>
      <c r="C22" s="1" t="s">
        <v>121</v>
      </c>
      <c r="D22" s="1"/>
      <c r="E22" s="28">
        <v>402665.84</v>
      </c>
      <c r="F22" s="28">
        <v>16194.62</v>
      </c>
      <c r="G22" s="5">
        <v>4</v>
      </c>
      <c r="H22" s="2"/>
      <c r="I22" s="36">
        <v>6.67</v>
      </c>
    </row>
    <row r="23" spans="1:10" x14ac:dyDescent="0.25">
      <c r="B23" s="2"/>
      <c r="C23" s="1"/>
      <c r="D23" s="1"/>
      <c r="E23" s="27"/>
      <c r="F23" s="27"/>
      <c r="G23" s="2"/>
      <c r="H23" s="2"/>
      <c r="I23" s="5"/>
    </row>
    <row r="24" spans="1:10" ht="13.8" thickBot="1" x14ac:dyDescent="0.3">
      <c r="B24" s="2"/>
      <c r="C24" s="45" t="s">
        <v>358</v>
      </c>
      <c r="D24" s="1"/>
      <c r="E24" s="29">
        <f>SUM(E8:E22)</f>
        <v>137498101.79999998</v>
      </c>
      <c r="F24" s="29">
        <f>SUM(F8:F23)</f>
        <v>6800126.1399999997</v>
      </c>
      <c r="G24" s="2"/>
      <c r="H24" s="2"/>
      <c r="I24" s="5"/>
    </row>
    <row r="25" spans="1:10" ht="13.8" thickTop="1" x14ac:dyDescent="0.25">
      <c r="B25" s="2"/>
      <c r="C25" s="1"/>
      <c r="D25" s="1"/>
      <c r="E25" s="27"/>
      <c r="F25" s="27"/>
      <c r="G25" s="1"/>
      <c r="H25" s="2"/>
      <c r="I25" s="5"/>
    </row>
    <row r="26" spans="1:10" x14ac:dyDescent="0.25">
      <c r="B26" s="2"/>
      <c r="C26" s="9"/>
      <c r="D26" s="1"/>
      <c r="E26" s="27"/>
      <c r="F26" s="27"/>
      <c r="G26" s="12"/>
      <c r="H26" s="3"/>
      <c r="I26" s="2"/>
    </row>
    <row r="27" spans="1:10" x14ac:dyDescent="0.25">
      <c r="A27" s="922" t="s">
        <v>122</v>
      </c>
      <c r="B27" s="922"/>
      <c r="C27" s="922"/>
      <c r="D27" s="922"/>
      <c r="E27" s="922"/>
      <c r="F27" s="922"/>
      <c r="G27" s="922"/>
      <c r="H27" s="922"/>
      <c r="I27" s="922"/>
    </row>
    <row r="28" spans="1:10" x14ac:dyDescent="0.25">
      <c r="B28" s="2"/>
      <c r="C28" s="11"/>
      <c r="D28" s="1"/>
      <c r="E28" s="27"/>
      <c r="F28" s="27"/>
      <c r="G28" s="1"/>
      <c r="H28" s="1"/>
      <c r="I28" s="2"/>
    </row>
    <row r="29" spans="1:10" x14ac:dyDescent="0.25">
      <c r="A29" s="32" t="s">
        <v>123</v>
      </c>
      <c r="B29" s="2"/>
      <c r="C29" s="11"/>
      <c r="D29" s="1"/>
      <c r="E29" s="27"/>
      <c r="F29" s="27"/>
      <c r="G29" s="1"/>
      <c r="H29" s="1"/>
      <c r="I29" s="2"/>
    </row>
    <row r="30" spans="1:10" x14ac:dyDescent="0.25">
      <c r="B30" s="9" t="s">
        <v>1</v>
      </c>
      <c r="C30" s="9"/>
      <c r="D30" s="1"/>
      <c r="E30" s="27"/>
      <c r="F30" s="27"/>
      <c r="G30" s="12"/>
      <c r="H30" s="3"/>
      <c r="I30" s="2"/>
    </row>
    <row r="31" spans="1:10" x14ac:dyDescent="0.25">
      <c r="A31" s="1"/>
      <c r="B31" s="2" t="s">
        <v>185</v>
      </c>
      <c r="C31" s="9" t="s">
        <v>2</v>
      </c>
      <c r="D31" s="1"/>
      <c r="E31" s="41">
        <v>7473867.75</v>
      </c>
      <c r="F31" s="41">
        <v>225493.59</v>
      </c>
      <c r="G31" s="10">
        <v>3.03</v>
      </c>
      <c r="H31" s="1"/>
      <c r="I31" s="5">
        <v>3.91</v>
      </c>
    </row>
    <row r="32" spans="1:10" x14ac:dyDescent="0.25">
      <c r="A32" s="1"/>
      <c r="B32" s="2" t="s">
        <v>186</v>
      </c>
      <c r="C32" s="9" t="s">
        <v>3</v>
      </c>
      <c r="D32" s="1"/>
      <c r="E32" s="41">
        <v>58163160.950000003</v>
      </c>
      <c r="F32" s="41">
        <v>1830647.86</v>
      </c>
      <c r="G32" s="10">
        <v>3.12</v>
      </c>
      <c r="H32" s="1"/>
      <c r="I32" s="5">
        <v>3.64</v>
      </c>
    </row>
    <row r="33" spans="1:9" x14ac:dyDescent="0.25">
      <c r="A33" s="1"/>
      <c r="B33" s="2" t="s">
        <v>187</v>
      </c>
      <c r="C33" s="9" t="s">
        <v>4</v>
      </c>
      <c r="D33" s="1"/>
      <c r="E33" s="41">
        <v>23438986.75</v>
      </c>
      <c r="F33" s="41">
        <v>745263.06</v>
      </c>
      <c r="G33" s="10">
        <v>3.29</v>
      </c>
      <c r="H33" s="1"/>
      <c r="I33" s="5">
        <v>5.2</v>
      </c>
    </row>
    <row r="34" spans="1:9" x14ac:dyDescent="0.25">
      <c r="A34" s="1"/>
      <c r="B34" s="2" t="s">
        <v>188</v>
      </c>
      <c r="C34" s="9" t="s">
        <v>5</v>
      </c>
      <c r="D34" s="1"/>
      <c r="E34" s="41">
        <v>7180435.1900000004</v>
      </c>
      <c r="F34" s="41">
        <v>194505.7</v>
      </c>
      <c r="G34" s="10">
        <v>2.71</v>
      </c>
      <c r="H34" s="1"/>
      <c r="I34" s="5">
        <v>1.97</v>
      </c>
    </row>
    <row r="35" spans="1:9" x14ac:dyDescent="0.25">
      <c r="A35" s="1"/>
      <c r="B35" s="2" t="s">
        <v>189</v>
      </c>
      <c r="C35" s="9" t="s">
        <v>6</v>
      </c>
      <c r="D35" s="1"/>
      <c r="E35" s="48">
        <v>799295.59</v>
      </c>
      <c r="F35" s="48">
        <v>31191.65</v>
      </c>
      <c r="G35" s="10">
        <v>3.87</v>
      </c>
      <c r="H35" s="3"/>
      <c r="I35" s="5">
        <v>4.79</v>
      </c>
    </row>
    <row r="36" spans="1:9" x14ac:dyDescent="0.25">
      <c r="B36" s="1" t="s">
        <v>7</v>
      </c>
      <c r="C36" s="9"/>
      <c r="D36" s="1"/>
      <c r="E36" s="41">
        <f>SUM(E31:E35)</f>
        <v>97055746.230000004</v>
      </c>
      <c r="F36" s="41">
        <f>SUM(F31:F35)</f>
        <v>3027101.8600000003</v>
      </c>
      <c r="G36" s="10"/>
      <c r="H36" s="3"/>
      <c r="I36" s="5"/>
    </row>
    <row r="37" spans="1:9" x14ac:dyDescent="0.25">
      <c r="B37" s="1"/>
      <c r="C37" s="9"/>
      <c r="D37" s="1"/>
      <c r="G37" s="10"/>
      <c r="H37" s="3"/>
      <c r="I37" s="5"/>
    </row>
    <row r="38" spans="1:9" x14ac:dyDescent="0.25">
      <c r="B38" s="1"/>
      <c r="C38" s="9"/>
      <c r="D38" s="1"/>
      <c r="G38" s="10"/>
      <c r="H38" s="3"/>
      <c r="I38" s="5"/>
    </row>
    <row r="39" spans="1:9" x14ac:dyDescent="0.25">
      <c r="A39" s="1"/>
      <c r="B39" s="2"/>
      <c r="C39" s="9"/>
      <c r="D39" s="1"/>
      <c r="E39" s="27"/>
      <c r="F39" s="27"/>
      <c r="G39" s="10"/>
      <c r="H39" s="3"/>
      <c r="I39" s="5"/>
    </row>
    <row r="40" spans="1:9" x14ac:dyDescent="0.25">
      <c r="B40" s="1" t="s">
        <v>8</v>
      </c>
      <c r="C40" s="9"/>
      <c r="D40" s="1"/>
      <c r="E40" s="27"/>
      <c r="F40" s="27"/>
      <c r="G40" s="10"/>
      <c r="H40" s="3"/>
      <c r="I40" s="5"/>
    </row>
    <row r="41" spans="1:9" x14ac:dyDescent="0.25">
      <c r="A41" s="1"/>
      <c r="B41" s="2" t="s">
        <v>185</v>
      </c>
      <c r="C41" s="9" t="s">
        <v>2</v>
      </c>
      <c r="D41" s="1"/>
      <c r="E41" s="47">
        <v>31349014.09</v>
      </c>
      <c r="F41" s="47">
        <v>990611.78</v>
      </c>
      <c r="G41" s="10">
        <v>3.16</v>
      </c>
      <c r="H41" s="1"/>
      <c r="I41" s="5">
        <v>2.77</v>
      </c>
    </row>
    <row r="42" spans="1:9" x14ac:dyDescent="0.25">
      <c r="A42" s="1"/>
      <c r="B42" s="2" t="s">
        <v>186</v>
      </c>
      <c r="C42" s="9" t="s">
        <v>3</v>
      </c>
      <c r="D42" s="1"/>
      <c r="E42" s="47">
        <v>6485834.1399999997</v>
      </c>
      <c r="F42" s="47">
        <v>239775.28</v>
      </c>
      <c r="G42" s="10">
        <v>3.18</v>
      </c>
      <c r="H42" s="1"/>
      <c r="I42" s="5">
        <v>2.66</v>
      </c>
    </row>
    <row r="43" spans="1:9" x14ac:dyDescent="0.25">
      <c r="A43" s="1"/>
      <c r="B43" s="2" t="s">
        <v>187</v>
      </c>
      <c r="C43" s="9" t="s">
        <v>4</v>
      </c>
      <c r="D43" s="1"/>
      <c r="E43" s="47">
        <v>3844102.75</v>
      </c>
      <c r="F43" s="47">
        <v>127266.97</v>
      </c>
      <c r="G43" s="10">
        <v>3.31</v>
      </c>
      <c r="H43" s="1"/>
      <c r="I43" s="5">
        <v>2.65</v>
      </c>
    </row>
    <row r="44" spans="1:9" x14ac:dyDescent="0.25">
      <c r="A44" s="1"/>
      <c r="B44" s="2" t="s">
        <v>188</v>
      </c>
      <c r="C44" s="9" t="s">
        <v>5</v>
      </c>
      <c r="D44" s="1"/>
      <c r="E44" s="47">
        <v>2375376.2799999998</v>
      </c>
      <c r="F44" s="47">
        <v>72918.81</v>
      </c>
      <c r="G44" s="10">
        <v>3.07</v>
      </c>
      <c r="H44" s="3"/>
      <c r="I44" s="5">
        <v>2.41</v>
      </c>
    </row>
    <row r="45" spans="1:9" x14ac:dyDescent="0.25">
      <c r="A45" s="1"/>
      <c r="B45" s="2" t="s">
        <v>189</v>
      </c>
      <c r="C45" s="9" t="s">
        <v>6</v>
      </c>
      <c r="D45" s="1"/>
      <c r="E45" s="48">
        <v>6289463.0700000003</v>
      </c>
      <c r="F45" s="48">
        <v>242522.02</v>
      </c>
      <c r="G45" s="10">
        <v>3.82</v>
      </c>
      <c r="H45" s="3"/>
      <c r="I45" s="5">
        <v>2.82</v>
      </c>
    </row>
    <row r="46" spans="1:9" x14ac:dyDescent="0.25">
      <c r="B46" s="1" t="s">
        <v>9</v>
      </c>
      <c r="C46" s="9"/>
      <c r="D46" s="1"/>
      <c r="E46" s="47">
        <f>SUM(E41:E45)</f>
        <v>50343790.329999998</v>
      </c>
      <c r="F46" s="47">
        <f>SUM(F41:F45)</f>
        <v>1673094.86</v>
      </c>
      <c r="G46" s="10"/>
      <c r="H46" s="3"/>
      <c r="I46" s="5"/>
    </row>
    <row r="47" spans="1:9" x14ac:dyDescent="0.25">
      <c r="A47" s="1"/>
      <c r="B47" s="2"/>
      <c r="C47" s="9"/>
      <c r="D47" s="1"/>
      <c r="E47" s="27"/>
      <c r="F47" s="27"/>
      <c r="G47" s="10"/>
      <c r="H47" s="3"/>
      <c r="I47" s="5"/>
    </row>
    <row r="48" spans="1:9" x14ac:dyDescent="0.25">
      <c r="B48" s="1" t="s">
        <v>10</v>
      </c>
      <c r="C48" s="9"/>
      <c r="D48" s="1"/>
      <c r="E48" s="27"/>
      <c r="F48" s="27"/>
      <c r="G48" s="10"/>
      <c r="H48" s="3"/>
      <c r="I48" s="5"/>
    </row>
    <row r="49" spans="1:9" x14ac:dyDescent="0.25">
      <c r="A49" s="1"/>
      <c r="B49" s="2" t="s">
        <v>189</v>
      </c>
      <c r="C49" s="9" t="s">
        <v>6</v>
      </c>
      <c r="D49" s="1"/>
      <c r="E49" s="48">
        <v>251533.56</v>
      </c>
      <c r="F49" s="48">
        <v>6187.73</v>
      </c>
      <c r="G49" s="10">
        <v>2.46</v>
      </c>
      <c r="H49" s="3"/>
      <c r="I49" s="5">
        <v>2.23</v>
      </c>
    </row>
    <row r="50" spans="1:9" x14ac:dyDescent="0.25">
      <c r="B50" s="1" t="s">
        <v>11</v>
      </c>
      <c r="C50" s="9"/>
      <c r="D50" s="1"/>
      <c r="E50" s="47">
        <f>SUM(E49)</f>
        <v>251533.56</v>
      </c>
      <c r="F50" s="47">
        <f>SUM(F49)</f>
        <v>6187.73</v>
      </c>
      <c r="G50" s="10"/>
      <c r="H50" s="3"/>
      <c r="I50" s="5"/>
    </row>
    <row r="51" spans="1:9" x14ac:dyDescent="0.25">
      <c r="A51" s="1"/>
      <c r="B51" s="2"/>
      <c r="C51" s="9"/>
      <c r="D51" s="1"/>
      <c r="E51" s="27"/>
      <c r="F51" s="27"/>
      <c r="G51" s="10"/>
      <c r="H51" s="3"/>
      <c r="I51" s="5"/>
    </row>
    <row r="52" spans="1:9" x14ac:dyDescent="0.25">
      <c r="B52" s="1" t="s">
        <v>12</v>
      </c>
      <c r="C52" s="9"/>
      <c r="D52" s="1"/>
      <c r="E52" s="27"/>
      <c r="F52" s="27"/>
      <c r="G52" s="10"/>
      <c r="H52" s="3"/>
      <c r="I52" s="5"/>
    </row>
    <row r="53" spans="1:9" x14ac:dyDescent="0.25">
      <c r="A53" s="1"/>
      <c r="B53" s="2" t="s">
        <v>185</v>
      </c>
      <c r="C53" s="9" t="s">
        <v>2</v>
      </c>
      <c r="D53" s="1"/>
      <c r="E53" s="47">
        <v>5860808.9199999999</v>
      </c>
      <c r="F53" s="47">
        <v>178373.66</v>
      </c>
      <c r="G53" s="10">
        <v>3.06</v>
      </c>
      <c r="H53" s="1"/>
      <c r="I53" s="5">
        <v>2.97</v>
      </c>
    </row>
    <row r="54" spans="1:9" x14ac:dyDescent="0.25">
      <c r="A54" s="1"/>
      <c r="B54" s="2" t="s">
        <v>186</v>
      </c>
      <c r="C54" s="9" t="s">
        <v>3</v>
      </c>
      <c r="D54" s="1"/>
      <c r="E54" s="47">
        <v>49788214.149999999</v>
      </c>
      <c r="F54" s="47">
        <v>1537040.43</v>
      </c>
      <c r="G54" s="10">
        <v>3.05</v>
      </c>
      <c r="H54" s="1"/>
      <c r="I54" s="5">
        <v>3.83</v>
      </c>
    </row>
    <row r="55" spans="1:9" x14ac:dyDescent="0.25">
      <c r="A55" s="1"/>
      <c r="B55" s="2" t="s">
        <v>187</v>
      </c>
      <c r="C55" s="9" t="s">
        <v>4</v>
      </c>
      <c r="D55" s="1"/>
      <c r="E55" s="47">
        <v>20283195.82</v>
      </c>
      <c r="F55" s="47">
        <v>630472.38</v>
      </c>
      <c r="G55" s="10">
        <v>3.26</v>
      </c>
      <c r="H55" s="1"/>
      <c r="I55" s="5">
        <v>5.03</v>
      </c>
    </row>
    <row r="56" spans="1:9" x14ac:dyDescent="0.25">
      <c r="A56" s="1"/>
      <c r="B56" s="2" t="s">
        <v>188</v>
      </c>
      <c r="C56" s="9" t="s">
        <v>5</v>
      </c>
      <c r="D56" s="1"/>
      <c r="E56" s="47">
        <v>5087938.93</v>
      </c>
      <c r="F56" s="47">
        <v>136364.32</v>
      </c>
      <c r="G56" s="10">
        <v>2.69</v>
      </c>
      <c r="H56" s="1"/>
      <c r="I56" s="5">
        <v>2.93</v>
      </c>
    </row>
    <row r="57" spans="1:9" x14ac:dyDescent="0.25">
      <c r="A57" s="1"/>
      <c r="B57" s="2" t="s">
        <v>189</v>
      </c>
      <c r="C57" s="9" t="s">
        <v>6</v>
      </c>
      <c r="D57" s="1"/>
      <c r="E57" s="48">
        <v>824073.98</v>
      </c>
      <c r="F57" s="48">
        <v>29981.87</v>
      </c>
      <c r="G57" s="10">
        <v>3.61</v>
      </c>
      <c r="H57" s="3"/>
      <c r="I57" s="5">
        <v>4.93</v>
      </c>
    </row>
    <row r="58" spans="1:9" x14ac:dyDescent="0.25">
      <c r="B58" s="1" t="s">
        <v>13</v>
      </c>
      <c r="C58" s="9"/>
      <c r="D58" s="1"/>
      <c r="E58" s="47">
        <f>SUM(E53:E57)</f>
        <v>81844231.799999997</v>
      </c>
      <c r="F58" s="47">
        <f>SUM(F53:F57)</f>
        <v>2512232.6599999997</v>
      </c>
      <c r="G58" s="10"/>
      <c r="H58" s="3"/>
      <c r="I58" s="5"/>
    </row>
    <row r="59" spans="1:9" x14ac:dyDescent="0.25">
      <c r="A59" s="1"/>
      <c r="B59" s="2"/>
      <c r="C59" s="9"/>
      <c r="D59" s="1"/>
      <c r="E59" s="47"/>
      <c r="F59" s="47"/>
      <c r="G59" s="10"/>
      <c r="H59" s="3"/>
      <c r="I59" s="5"/>
    </row>
    <row r="60" spans="1:9" x14ac:dyDescent="0.25">
      <c r="B60" s="1" t="s">
        <v>14</v>
      </c>
      <c r="C60" s="9"/>
      <c r="D60" s="1"/>
      <c r="E60" s="47"/>
      <c r="F60" s="47"/>
      <c r="G60" s="10"/>
      <c r="H60" s="3"/>
      <c r="I60" s="5"/>
    </row>
    <row r="61" spans="1:9" x14ac:dyDescent="0.25">
      <c r="A61" s="1"/>
      <c r="B61" s="2" t="s">
        <v>185</v>
      </c>
      <c r="C61" s="9" t="s">
        <v>2</v>
      </c>
      <c r="D61" s="1"/>
      <c r="E61" s="47">
        <v>29058975.960000001</v>
      </c>
      <c r="F61" s="41">
        <v>711672.75</v>
      </c>
      <c r="G61" s="10">
        <v>2.4500000000000002</v>
      </c>
      <c r="H61" s="1"/>
      <c r="I61" s="5">
        <v>2.8</v>
      </c>
    </row>
    <row r="62" spans="1:9" x14ac:dyDescent="0.25">
      <c r="A62" s="1"/>
      <c r="B62" s="2" t="s">
        <v>186</v>
      </c>
      <c r="C62" s="9" t="s">
        <v>3</v>
      </c>
      <c r="D62" s="1"/>
      <c r="E62" s="47">
        <v>123772537.90000001</v>
      </c>
      <c r="F62" s="41">
        <v>3235545.9</v>
      </c>
      <c r="G62" s="10">
        <v>2.68</v>
      </c>
      <c r="H62" s="1"/>
      <c r="I62" s="5">
        <v>2.81</v>
      </c>
    </row>
    <row r="63" spans="1:9" x14ac:dyDescent="0.25">
      <c r="A63" s="1"/>
      <c r="B63" s="2" t="s">
        <v>187</v>
      </c>
      <c r="C63" s="9" t="s">
        <v>4</v>
      </c>
      <c r="D63" s="1"/>
      <c r="E63" s="47">
        <v>41474565.659999996</v>
      </c>
      <c r="F63" s="41">
        <v>1184354.6599999999</v>
      </c>
      <c r="G63" s="10">
        <v>2.97</v>
      </c>
      <c r="H63" s="1"/>
      <c r="I63" s="5">
        <v>3.77</v>
      </c>
    </row>
    <row r="64" spans="1:9" x14ac:dyDescent="0.25">
      <c r="A64" s="1"/>
      <c r="B64" s="2" t="s">
        <v>188</v>
      </c>
      <c r="C64" s="9" t="s">
        <v>5</v>
      </c>
      <c r="D64" s="1"/>
      <c r="E64" s="47">
        <v>6460699.3300000001</v>
      </c>
      <c r="F64" s="41">
        <v>159703.28</v>
      </c>
      <c r="G64" s="10">
        <v>2.4700000000000002</v>
      </c>
      <c r="H64" s="3"/>
      <c r="I64" s="5">
        <v>2.5</v>
      </c>
    </row>
    <row r="65" spans="1:9" x14ac:dyDescent="0.25">
      <c r="A65" s="1"/>
      <c r="B65" s="2" t="s">
        <v>189</v>
      </c>
      <c r="C65" s="9" t="s">
        <v>6</v>
      </c>
      <c r="D65" s="1"/>
      <c r="E65" s="48">
        <v>704856.98</v>
      </c>
      <c r="F65" s="48">
        <v>20402.419999999998</v>
      </c>
      <c r="G65" s="10">
        <v>2.86</v>
      </c>
      <c r="H65" s="3"/>
      <c r="I65" s="5">
        <v>3.69</v>
      </c>
    </row>
    <row r="66" spans="1:9" x14ac:dyDescent="0.25">
      <c r="B66" s="1" t="s">
        <v>15</v>
      </c>
      <c r="C66" s="9"/>
      <c r="D66" s="1"/>
      <c r="E66" s="47">
        <f>SUM(E61:E65)</f>
        <v>201471635.83000001</v>
      </c>
      <c r="F66" s="47">
        <f>SUM(F61:F65)</f>
        <v>5311679.01</v>
      </c>
      <c r="G66" s="10"/>
      <c r="H66" s="3"/>
      <c r="I66" s="5"/>
    </row>
    <row r="67" spans="1:9" x14ac:dyDescent="0.25">
      <c r="A67" s="1"/>
      <c r="B67" s="2"/>
      <c r="C67" s="9"/>
      <c r="D67" s="1"/>
      <c r="E67" s="47"/>
      <c r="F67" s="47"/>
      <c r="G67" s="10"/>
      <c r="H67" s="3"/>
      <c r="I67" s="5"/>
    </row>
    <row r="68" spans="1:9" x14ac:dyDescent="0.25">
      <c r="B68" s="1" t="s">
        <v>16</v>
      </c>
      <c r="C68" s="9"/>
      <c r="D68" s="1"/>
      <c r="E68" s="47"/>
      <c r="F68" s="47"/>
      <c r="G68" s="10"/>
      <c r="H68" s="3"/>
      <c r="I68" s="5"/>
    </row>
    <row r="69" spans="1:9" x14ac:dyDescent="0.25">
      <c r="A69" s="1"/>
      <c r="B69" s="2" t="s">
        <v>185</v>
      </c>
      <c r="C69" s="9" t="s">
        <v>2</v>
      </c>
      <c r="D69" s="1"/>
      <c r="E69" s="47">
        <v>70574232.379999995</v>
      </c>
      <c r="F69" s="47">
        <v>1644884.93</v>
      </c>
      <c r="G69" s="10">
        <v>2.33</v>
      </c>
      <c r="H69" s="1"/>
      <c r="I69" s="5">
        <v>2.5299999999999998</v>
      </c>
    </row>
    <row r="70" spans="1:9" x14ac:dyDescent="0.25">
      <c r="A70" s="1"/>
      <c r="B70" s="2" t="s">
        <v>186</v>
      </c>
      <c r="C70" s="9" t="s">
        <v>3</v>
      </c>
      <c r="D70" s="1"/>
      <c r="E70" s="47">
        <v>18727316.489999998</v>
      </c>
      <c r="F70" s="47">
        <v>468708.58</v>
      </c>
      <c r="G70" s="10">
        <v>2.48</v>
      </c>
      <c r="H70" s="1"/>
      <c r="I70" s="5">
        <v>2.68</v>
      </c>
    </row>
    <row r="71" spans="1:9" x14ac:dyDescent="0.25">
      <c r="A71" s="1"/>
      <c r="B71" s="2" t="s">
        <v>187</v>
      </c>
      <c r="C71" s="9" t="s">
        <v>4</v>
      </c>
      <c r="D71" s="1"/>
      <c r="E71" s="47">
        <v>10515.04</v>
      </c>
      <c r="F71" s="47">
        <v>305.47000000000003</v>
      </c>
      <c r="G71" s="10">
        <v>2.62</v>
      </c>
      <c r="H71" s="1"/>
      <c r="I71" s="5">
        <v>49.28</v>
      </c>
    </row>
    <row r="72" spans="1:9" x14ac:dyDescent="0.25">
      <c r="A72" s="1"/>
      <c r="B72" s="2" t="s">
        <v>188</v>
      </c>
      <c r="C72" s="9" t="s">
        <v>5</v>
      </c>
      <c r="D72" s="1"/>
      <c r="E72" s="47">
        <v>7652069.9800000004</v>
      </c>
      <c r="F72" s="47">
        <v>176742.17</v>
      </c>
      <c r="G72" s="10">
        <v>2.31</v>
      </c>
      <c r="H72" s="3"/>
      <c r="I72" s="5">
        <v>2.3199999999999998</v>
      </c>
    </row>
    <row r="73" spans="1:9" x14ac:dyDescent="0.25">
      <c r="A73" s="1"/>
      <c r="B73" s="2" t="s">
        <v>189</v>
      </c>
      <c r="C73" s="9" t="s">
        <v>6</v>
      </c>
      <c r="D73" s="1"/>
      <c r="E73" s="48">
        <v>4613132.33</v>
      </c>
      <c r="F73" s="48">
        <v>129178.32</v>
      </c>
      <c r="G73" s="10">
        <v>2.79</v>
      </c>
      <c r="H73" s="3"/>
      <c r="I73" s="5">
        <v>2.7</v>
      </c>
    </row>
    <row r="74" spans="1:9" x14ac:dyDescent="0.25">
      <c r="B74" s="1" t="s">
        <v>17</v>
      </c>
      <c r="C74" s="9"/>
      <c r="D74" s="1"/>
      <c r="E74" s="47">
        <f>SUM(E69:E73)</f>
        <v>101577266.22</v>
      </c>
      <c r="F74" s="47">
        <f>SUM(F69:F73)</f>
        <v>2419819.4699999997</v>
      </c>
      <c r="G74" s="10"/>
      <c r="H74" s="3"/>
      <c r="I74" s="5"/>
    </row>
    <row r="75" spans="1:9" x14ac:dyDescent="0.25">
      <c r="A75" s="1"/>
      <c r="B75" s="2"/>
      <c r="C75" s="9"/>
      <c r="D75" s="1"/>
      <c r="E75" s="27"/>
      <c r="F75" s="27"/>
      <c r="G75" s="10"/>
      <c r="H75" s="3"/>
      <c r="I75" s="5"/>
    </row>
    <row r="76" spans="1:9" x14ac:dyDescent="0.25">
      <c r="A76" s="1"/>
      <c r="B76" s="2"/>
      <c r="C76" s="9"/>
      <c r="D76" s="1"/>
      <c r="E76" s="27"/>
      <c r="F76" s="27"/>
      <c r="G76" s="10"/>
      <c r="H76" s="3"/>
      <c r="I76" s="5"/>
    </row>
    <row r="77" spans="1:9" x14ac:dyDescent="0.25">
      <c r="B77" s="1" t="s">
        <v>18</v>
      </c>
      <c r="C77" s="9"/>
      <c r="D77" s="1"/>
      <c r="E77" s="27"/>
      <c r="F77" s="27"/>
      <c r="G77" s="10"/>
      <c r="H77" s="3"/>
      <c r="I77" s="5"/>
    </row>
    <row r="78" spans="1:9" x14ac:dyDescent="0.25">
      <c r="A78" s="1"/>
      <c r="B78" s="2" t="s">
        <v>185</v>
      </c>
      <c r="C78" s="9" t="s">
        <v>2</v>
      </c>
      <c r="D78" s="1"/>
      <c r="E78" s="47">
        <v>26600987.27</v>
      </c>
      <c r="F78" s="47">
        <v>675347.47</v>
      </c>
      <c r="G78" s="10">
        <v>2.54</v>
      </c>
      <c r="H78" s="1"/>
      <c r="I78" s="5">
        <v>2.75</v>
      </c>
    </row>
    <row r="79" spans="1:9" x14ac:dyDescent="0.25">
      <c r="A79" s="1"/>
      <c r="B79" s="2" t="s">
        <v>186</v>
      </c>
      <c r="C79" s="9" t="s">
        <v>3</v>
      </c>
      <c r="D79" s="1"/>
      <c r="E79" s="41">
        <v>108751248.93000001</v>
      </c>
      <c r="F79" s="41">
        <v>2979910.81</v>
      </c>
      <c r="G79" s="10">
        <v>2.75</v>
      </c>
      <c r="H79" s="1"/>
      <c r="I79" s="5">
        <v>2.98</v>
      </c>
    </row>
    <row r="80" spans="1:9" x14ac:dyDescent="0.25">
      <c r="A80" s="1"/>
      <c r="B80" s="2" t="s">
        <v>187</v>
      </c>
      <c r="C80" s="9" t="s">
        <v>4</v>
      </c>
      <c r="D80" s="1"/>
      <c r="E80" s="41">
        <v>37714990.909999996</v>
      </c>
      <c r="F80" s="41">
        <v>1113014.8999999999</v>
      </c>
      <c r="G80" s="10">
        <v>2.94</v>
      </c>
      <c r="H80" s="1"/>
      <c r="I80" s="5">
        <v>3.59</v>
      </c>
    </row>
    <row r="81" spans="1:9" x14ac:dyDescent="0.25">
      <c r="A81" s="1"/>
      <c r="B81" s="2" t="s">
        <v>188</v>
      </c>
      <c r="C81" s="9" t="s">
        <v>5</v>
      </c>
      <c r="D81" s="1"/>
      <c r="E81" s="41">
        <v>5670535</v>
      </c>
      <c r="F81" s="41">
        <v>142891.60999999999</v>
      </c>
      <c r="G81" s="10">
        <v>2.52</v>
      </c>
      <c r="H81" s="3"/>
      <c r="I81" s="5">
        <v>2.54</v>
      </c>
    </row>
    <row r="82" spans="1:9" x14ac:dyDescent="0.25">
      <c r="A82" s="1"/>
      <c r="B82" s="2" t="s">
        <v>189</v>
      </c>
      <c r="C82" s="9" t="s">
        <v>6</v>
      </c>
      <c r="D82" s="1"/>
      <c r="E82" s="48">
        <v>902345.6</v>
      </c>
      <c r="F82" s="48">
        <v>25412.81</v>
      </c>
      <c r="G82" s="10">
        <v>2.79</v>
      </c>
      <c r="H82" s="3"/>
      <c r="I82" s="5">
        <v>3.26</v>
      </c>
    </row>
    <row r="83" spans="1:9" x14ac:dyDescent="0.25">
      <c r="B83" s="1" t="s">
        <v>19</v>
      </c>
      <c r="C83" s="9"/>
      <c r="D83" s="1"/>
      <c r="E83" s="47">
        <f>SUM(E78:E82)</f>
        <v>179640107.71000001</v>
      </c>
      <c r="F83" s="47">
        <f>SUM(F78:F82)</f>
        <v>4936577.5999999996</v>
      </c>
      <c r="G83" s="10"/>
      <c r="H83" s="3"/>
      <c r="I83" s="5"/>
    </row>
    <row r="84" spans="1:9" x14ac:dyDescent="0.25">
      <c r="A84" s="1"/>
      <c r="B84" s="2"/>
      <c r="C84" s="9"/>
      <c r="D84" s="1"/>
      <c r="E84" s="27"/>
      <c r="F84" s="27"/>
      <c r="G84" s="10"/>
      <c r="H84" s="3"/>
      <c r="I84" s="5"/>
    </row>
    <row r="85" spans="1:9" x14ac:dyDescent="0.25">
      <c r="B85" s="1" t="s">
        <v>20</v>
      </c>
      <c r="C85" s="9"/>
      <c r="D85" s="1"/>
      <c r="E85" s="27"/>
      <c r="F85" s="27"/>
      <c r="G85" s="10"/>
      <c r="H85" s="3"/>
      <c r="I85" s="5"/>
    </row>
    <row r="86" spans="1:9" x14ac:dyDescent="0.25">
      <c r="A86" s="1"/>
      <c r="B86" s="2" t="s">
        <v>186</v>
      </c>
      <c r="C86" s="9" t="s">
        <v>21</v>
      </c>
      <c r="D86" s="1"/>
      <c r="E86" s="52">
        <v>42748413.600000001</v>
      </c>
      <c r="F86" s="52">
        <v>1154207.17</v>
      </c>
      <c r="G86" s="10">
        <v>2.7</v>
      </c>
      <c r="H86" s="3"/>
      <c r="I86" s="5">
        <v>3.27</v>
      </c>
    </row>
    <row r="87" spans="1:9" x14ac:dyDescent="0.25">
      <c r="A87" s="1"/>
      <c r="B87" s="2" t="s">
        <v>187</v>
      </c>
      <c r="C87" s="9" t="s">
        <v>22</v>
      </c>
      <c r="D87" s="1"/>
      <c r="E87" s="52">
        <v>20449667.41</v>
      </c>
      <c r="F87" s="52">
        <v>527493.31999999995</v>
      </c>
      <c r="G87" s="10">
        <v>2.59</v>
      </c>
      <c r="H87" s="3"/>
      <c r="I87" s="5">
        <v>3.27</v>
      </c>
    </row>
    <row r="88" spans="1:9" x14ac:dyDescent="0.25">
      <c r="A88" s="1"/>
      <c r="B88" s="2" t="s">
        <v>188</v>
      </c>
      <c r="C88" s="9" t="s">
        <v>5</v>
      </c>
      <c r="D88" s="1"/>
      <c r="E88" s="52">
        <v>1678558.68</v>
      </c>
      <c r="F88" s="52">
        <v>44146.09</v>
      </c>
      <c r="G88" s="10">
        <v>2.63</v>
      </c>
      <c r="H88" s="3"/>
      <c r="I88" s="5">
        <v>2.64</v>
      </c>
    </row>
    <row r="89" spans="1:9" x14ac:dyDescent="0.25">
      <c r="A89" s="1"/>
      <c r="B89" s="2" t="s">
        <v>189</v>
      </c>
      <c r="C89" s="9" t="s">
        <v>6</v>
      </c>
      <c r="D89" s="1"/>
      <c r="E89" s="53">
        <v>1101157.33</v>
      </c>
      <c r="F89" s="53">
        <v>25873.53</v>
      </c>
      <c r="G89" s="10">
        <v>2.59</v>
      </c>
      <c r="H89" s="3"/>
      <c r="I89" s="5">
        <v>6.84</v>
      </c>
    </row>
    <row r="90" spans="1:9" x14ac:dyDescent="0.25">
      <c r="B90" s="1" t="s">
        <v>23</v>
      </c>
      <c r="C90" s="9"/>
      <c r="D90" s="1"/>
      <c r="E90" s="54">
        <f>SUM(E86:E89)</f>
        <v>65977797.020000003</v>
      </c>
      <c r="F90" s="54">
        <f>SUM(F86:F89)</f>
        <v>1751720.1099999999</v>
      </c>
      <c r="G90" s="10"/>
      <c r="H90" s="3"/>
      <c r="I90" s="5"/>
    </row>
    <row r="91" spans="1:9" x14ac:dyDescent="0.25">
      <c r="A91" s="1"/>
      <c r="B91" s="2"/>
      <c r="C91" s="9"/>
      <c r="D91" s="1"/>
      <c r="E91" s="27"/>
      <c r="F91" s="27"/>
      <c r="G91" s="10"/>
      <c r="H91" s="3"/>
      <c r="I91" s="5"/>
    </row>
    <row r="92" spans="1:9" x14ac:dyDescent="0.25">
      <c r="B92" s="1" t="s">
        <v>24</v>
      </c>
      <c r="C92" s="9"/>
      <c r="D92" s="1"/>
      <c r="E92" s="27"/>
      <c r="F92" s="27"/>
      <c r="G92" s="10"/>
      <c r="H92" s="3"/>
      <c r="I92" s="5"/>
    </row>
    <row r="93" spans="1:9" x14ac:dyDescent="0.25">
      <c r="A93" s="1"/>
      <c r="B93" s="2" t="s">
        <v>185</v>
      </c>
      <c r="C93" s="9" t="s">
        <v>25</v>
      </c>
      <c r="D93" s="1"/>
      <c r="E93" s="55">
        <v>6178022.75</v>
      </c>
      <c r="F93" s="55">
        <v>205728.16</v>
      </c>
      <c r="G93" s="13">
        <v>3.3330000000000002</v>
      </c>
      <c r="H93" s="3"/>
      <c r="I93" s="5">
        <v>3.74</v>
      </c>
    </row>
    <row r="94" spans="1:9" x14ac:dyDescent="0.25">
      <c r="A94" s="1"/>
      <c r="B94" s="2" t="s">
        <v>186</v>
      </c>
      <c r="C94" s="9" t="s">
        <v>21</v>
      </c>
      <c r="D94" s="1"/>
      <c r="E94" s="52">
        <v>17970988.129999999</v>
      </c>
      <c r="F94" s="52">
        <v>598433.87</v>
      </c>
      <c r="G94" s="13">
        <v>3.3330000000000002</v>
      </c>
      <c r="H94" s="3"/>
      <c r="I94" s="5">
        <v>3.89</v>
      </c>
    </row>
    <row r="95" spans="1:9" x14ac:dyDescent="0.25">
      <c r="A95" s="1"/>
      <c r="B95" s="2" t="s">
        <v>187</v>
      </c>
      <c r="C95" s="9" t="s">
        <v>22</v>
      </c>
      <c r="D95" s="1"/>
      <c r="E95" s="52">
        <v>15800824.039999999</v>
      </c>
      <c r="F95" s="52">
        <v>526167.43999999994</v>
      </c>
      <c r="G95" s="13">
        <v>3.3330000000000002</v>
      </c>
      <c r="H95" s="3"/>
      <c r="I95" s="5">
        <v>3.81</v>
      </c>
    </row>
    <row r="96" spans="1:9" x14ac:dyDescent="0.25">
      <c r="A96" s="1"/>
      <c r="B96" s="2" t="s">
        <v>188</v>
      </c>
      <c r="C96" s="9" t="s">
        <v>5</v>
      </c>
      <c r="D96" s="1"/>
      <c r="E96" s="52">
        <v>962486.71</v>
      </c>
      <c r="F96" s="52">
        <v>32050.82</v>
      </c>
      <c r="G96" s="13">
        <v>3.3330000000000002</v>
      </c>
      <c r="H96" s="3"/>
      <c r="I96" s="5">
        <v>3.34</v>
      </c>
    </row>
    <row r="97" spans="1:9" x14ac:dyDescent="0.25">
      <c r="A97" s="1"/>
      <c r="B97" s="2" t="s">
        <v>189</v>
      </c>
      <c r="C97" s="9" t="s">
        <v>6</v>
      </c>
      <c r="D97" s="1"/>
      <c r="E97" s="53">
        <v>336377.91</v>
      </c>
      <c r="F97" s="53">
        <v>11201.38</v>
      </c>
      <c r="G97" s="13">
        <v>3.3330000000000002</v>
      </c>
      <c r="H97" s="3"/>
      <c r="I97" s="5">
        <v>3.84</v>
      </c>
    </row>
    <row r="98" spans="1:9" x14ac:dyDescent="0.25">
      <c r="B98" s="1" t="s">
        <v>26</v>
      </c>
      <c r="C98" s="9"/>
      <c r="D98" s="1"/>
      <c r="E98" s="54">
        <f>SUM(E93:E97)</f>
        <v>41248699.539999999</v>
      </c>
      <c r="F98" s="54">
        <f>SUM(F93:F97)</f>
        <v>1373581.67</v>
      </c>
      <c r="G98" s="10"/>
      <c r="H98" s="3"/>
      <c r="I98" s="5"/>
    </row>
    <row r="99" spans="1:9" x14ac:dyDescent="0.25">
      <c r="A99" s="1"/>
      <c r="B99" s="2"/>
      <c r="C99" s="9"/>
      <c r="D99" s="1"/>
      <c r="E99" s="27"/>
      <c r="F99" s="27"/>
      <c r="G99" s="10"/>
      <c r="H99" s="3"/>
      <c r="I99" s="5"/>
    </row>
    <row r="100" spans="1:9" x14ac:dyDescent="0.25">
      <c r="A100" s="1"/>
      <c r="B100" s="6" t="s">
        <v>172</v>
      </c>
      <c r="C100" s="9"/>
      <c r="D100" s="1"/>
      <c r="E100" s="27"/>
      <c r="F100" s="27"/>
      <c r="G100" s="10"/>
      <c r="H100" s="3"/>
      <c r="I100" s="5"/>
    </row>
    <row r="101" spans="1:9" x14ac:dyDescent="0.25">
      <c r="A101" s="1"/>
      <c r="B101" s="2" t="s">
        <v>185</v>
      </c>
      <c r="C101" s="9" t="s">
        <v>25</v>
      </c>
      <c r="D101" s="1"/>
      <c r="E101" s="27">
        <v>1843914</v>
      </c>
      <c r="F101" s="27">
        <v>6460.26</v>
      </c>
      <c r="G101" s="10">
        <v>1.39</v>
      </c>
      <c r="H101" s="69"/>
      <c r="I101" s="5">
        <v>1.55</v>
      </c>
    </row>
    <row r="102" spans="1:9" x14ac:dyDescent="0.25">
      <c r="A102" s="1"/>
      <c r="B102" s="2" t="s">
        <v>186</v>
      </c>
      <c r="C102" s="9" t="s">
        <v>21</v>
      </c>
      <c r="D102" s="1"/>
      <c r="E102" s="27">
        <v>86510717</v>
      </c>
      <c r="F102" s="27">
        <v>303095.64</v>
      </c>
      <c r="G102" s="10">
        <v>1.39</v>
      </c>
      <c r="H102" s="69"/>
      <c r="I102" s="5">
        <v>1.55</v>
      </c>
    </row>
    <row r="103" spans="1:9" x14ac:dyDescent="0.25">
      <c r="A103" s="1"/>
      <c r="B103" s="2" t="s">
        <v>187</v>
      </c>
      <c r="C103" s="9" t="s">
        <v>22</v>
      </c>
      <c r="D103" s="1"/>
      <c r="E103" s="27">
        <v>88357071</v>
      </c>
      <c r="F103" s="27">
        <v>309564.45</v>
      </c>
      <c r="G103" s="10">
        <v>1.39</v>
      </c>
      <c r="H103" s="69"/>
      <c r="I103" s="5">
        <v>1.55</v>
      </c>
    </row>
    <row r="104" spans="1:9" x14ac:dyDescent="0.25">
      <c r="A104" s="1"/>
      <c r="B104" s="2" t="s">
        <v>188</v>
      </c>
      <c r="C104" s="9" t="s">
        <v>5</v>
      </c>
      <c r="D104" s="1"/>
      <c r="E104" s="27">
        <v>7300879</v>
      </c>
      <c r="F104" s="27">
        <v>25579.08</v>
      </c>
      <c r="G104" s="10">
        <v>1.39</v>
      </c>
      <c r="H104" s="69"/>
      <c r="I104" s="5">
        <v>1.55</v>
      </c>
    </row>
    <row r="105" spans="1:9" x14ac:dyDescent="0.25">
      <c r="A105" s="1"/>
      <c r="B105" s="2" t="s">
        <v>189</v>
      </c>
      <c r="C105" s="9" t="s">
        <v>6</v>
      </c>
      <c r="D105" s="1"/>
      <c r="E105" s="28">
        <v>6163</v>
      </c>
      <c r="F105" s="28">
        <v>21.6</v>
      </c>
      <c r="G105" s="10">
        <v>1.39</v>
      </c>
      <c r="H105" s="69"/>
      <c r="I105" s="5">
        <v>1.55</v>
      </c>
    </row>
    <row r="106" spans="1:9" x14ac:dyDescent="0.25">
      <c r="A106" s="1"/>
      <c r="B106" s="6" t="s">
        <v>173</v>
      </c>
      <c r="C106" s="9"/>
      <c r="D106" s="1"/>
      <c r="E106" s="27">
        <f>SUM(E101:E105)</f>
        <v>184018744</v>
      </c>
      <c r="F106" s="27">
        <f>SUM(F101:F105)</f>
        <v>644721.03</v>
      </c>
      <c r="G106" s="10"/>
      <c r="H106" s="3"/>
      <c r="I106" s="5"/>
    </row>
    <row r="107" spans="1:9" x14ac:dyDescent="0.25">
      <c r="A107" s="1"/>
      <c r="B107" s="2"/>
      <c r="C107" s="9"/>
      <c r="D107" s="1"/>
      <c r="E107" s="27"/>
      <c r="F107" s="27"/>
      <c r="G107" s="10"/>
      <c r="H107" s="3"/>
      <c r="I107" s="5"/>
    </row>
    <row r="108" spans="1:9" x14ac:dyDescent="0.25">
      <c r="A108" s="1"/>
      <c r="B108" s="14" t="s">
        <v>27</v>
      </c>
      <c r="D108" s="1"/>
      <c r="E108" s="56">
        <f>SUM(E83,E74,E66,E58,E50,E46,E36,E90,E98,E106)</f>
        <v>1003429552.2399999</v>
      </c>
      <c r="F108" s="56">
        <f>SUM(F83,F74,F66,F58,F50,F46,F36,F90,F98,F106)</f>
        <v>23656716</v>
      </c>
      <c r="G108" s="10"/>
      <c r="H108" s="3"/>
      <c r="I108" s="5"/>
    </row>
    <row r="109" spans="1:9" x14ac:dyDescent="0.25">
      <c r="A109" s="1"/>
      <c r="B109" s="2"/>
      <c r="C109" s="14"/>
      <c r="D109" s="1"/>
      <c r="E109" s="56"/>
      <c r="F109" s="56"/>
      <c r="G109" s="10"/>
      <c r="H109" s="3"/>
      <c r="I109" s="5"/>
    </row>
    <row r="110" spans="1:9" x14ac:dyDescent="0.25">
      <c r="A110" s="1"/>
      <c r="B110" s="2"/>
      <c r="C110" s="14"/>
      <c r="D110" s="1"/>
      <c r="E110" s="56"/>
      <c r="F110" s="56"/>
      <c r="G110" s="10"/>
      <c r="H110" s="3"/>
      <c r="I110" s="5"/>
    </row>
    <row r="111" spans="1:9" x14ac:dyDescent="0.25">
      <c r="A111" s="7"/>
      <c r="B111" s="2"/>
      <c r="C111" s="9"/>
      <c r="D111" s="1"/>
      <c r="E111" s="27"/>
      <c r="F111" s="27"/>
      <c r="G111" s="10"/>
      <c r="H111" s="3"/>
      <c r="I111" s="5"/>
    </row>
    <row r="112" spans="1:9" x14ac:dyDescent="0.25">
      <c r="A112" s="7"/>
      <c r="B112" s="2"/>
      <c r="C112" s="9"/>
      <c r="D112" s="1"/>
      <c r="E112" s="27"/>
      <c r="F112" s="27"/>
      <c r="G112" s="10"/>
      <c r="H112" s="3"/>
      <c r="I112" s="5"/>
    </row>
    <row r="113" spans="1:9" x14ac:dyDescent="0.25">
      <c r="A113" s="14" t="s">
        <v>28</v>
      </c>
      <c r="B113" s="17"/>
      <c r="C113" s="14"/>
      <c r="D113" s="1"/>
      <c r="E113" s="27"/>
      <c r="F113" s="27"/>
      <c r="G113" s="10"/>
      <c r="H113" s="3"/>
      <c r="I113" s="5"/>
    </row>
    <row r="114" spans="1:9" x14ac:dyDescent="0.25">
      <c r="B114" s="1" t="s">
        <v>29</v>
      </c>
      <c r="C114" s="9"/>
      <c r="D114" s="1"/>
      <c r="E114" s="27"/>
      <c r="F114" s="27"/>
      <c r="G114" s="10"/>
      <c r="H114" s="3"/>
      <c r="I114" s="5"/>
    </row>
    <row r="115" spans="1:9" x14ac:dyDescent="0.25">
      <c r="A115" s="1"/>
      <c r="B115" s="2" t="s">
        <v>190</v>
      </c>
      <c r="C115" s="9" t="s">
        <v>25</v>
      </c>
      <c r="D115" s="1"/>
      <c r="E115" s="41">
        <v>2460057.87</v>
      </c>
      <c r="F115" s="42">
        <v>97878.14</v>
      </c>
      <c r="G115" s="10">
        <v>4</v>
      </c>
      <c r="H115" s="3"/>
      <c r="I115" s="5">
        <v>7.12</v>
      </c>
    </row>
    <row r="116" spans="1:9" x14ac:dyDescent="0.25">
      <c r="A116" s="1"/>
      <c r="B116" s="2" t="s">
        <v>191</v>
      </c>
      <c r="C116" s="9" t="s">
        <v>30</v>
      </c>
      <c r="D116" s="1"/>
      <c r="E116" s="41">
        <v>46695912.090000004</v>
      </c>
      <c r="F116" s="42">
        <v>1847260.03</v>
      </c>
      <c r="G116" s="10">
        <v>4</v>
      </c>
      <c r="H116" s="3"/>
      <c r="I116" s="5">
        <v>7.15</v>
      </c>
    </row>
    <row r="117" spans="1:9" x14ac:dyDescent="0.25">
      <c r="A117" s="1"/>
      <c r="B117" s="2" t="s">
        <v>192</v>
      </c>
      <c r="C117" s="9" t="s">
        <v>31</v>
      </c>
      <c r="D117" s="1"/>
      <c r="E117" s="41">
        <v>2291034.35</v>
      </c>
      <c r="F117" s="42">
        <v>34869.32</v>
      </c>
      <c r="G117" s="10">
        <v>2.21</v>
      </c>
      <c r="H117" s="3"/>
      <c r="I117" s="5">
        <v>6.7</v>
      </c>
    </row>
    <row r="118" spans="1:9" x14ac:dyDescent="0.25">
      <c r="A118" s="1"/>
      <c r="B118" s="2" t="s">
        <v>193</v>
      </c>
      <c r="C118" s="9" t="s">
        <v>5</v>
      </c>
      <c r="D118" s="1"/>
      <c r="E118" s="41">
        <v>1793243.86</v>
      </c>
      <c r="F118" s="42">
        <v>53584.78</v>
      </c>
      <c r="G118" s="10">
        <v>3.01</v>
      </c>
      <c r="H118" s="3"/>
      <c r="I118" s="5">
        <v>6.3</v>
      </c>
    </row>
    <row r="119" spans="1:9" x14ac:dyDescent="0.25">
      <c r="A119" s="1"/>
      <c r="B119" s="2" t="s">
        <v>194</v>
      </c>
      <c r="C119" s="9" t="s">
        <v>6</v>
      </c>
      <c r="D119" s="1"/>
      <c r="E119" s="47">
        <v>260144.6</v>
      </c>
      <c r="F119" s="47">
        <v>11244.23</v>
      </c>
      <c r="G119" s="10">
        <v>3.44</v>
      </c>
      <c r="H119" s="3"/>
      <c r="I119" s="5">
        <v>7.3</v>
      </c>
    </row>
    <row r="120" spans="1:9" x14ac:dyDescent="0.25">
      <c r="A120" s="1"/>
      <c r="B120" s="2" t="s">
        <v>195</v>
      </c>
      <c r="C120" s="9" t="s">
        <v>32</v>
      </c>
      <c r="D120" s="1"/>
      <c r="E120" s="47">
        <v>627836.69999999995</v>
      </c>
      <c r="F120" s="47">
        <v>27136.99</v>
      </c>
      <c r="G120" s="10">
        <v>3.44</v>
      </c>
      <c r="H120" s="3"/>
      <c r="I120" s="5">
        <v>17.350000000000001</v>
      </c>
    </row>
    <row r="121" spans="1:9" x14ac:dyDescent="0.25">
      <c r="A121" s="1"/>
      <c r="B121" s="2" t="s">
        <v>196</v>
      </c>
      <c r="C121" s="9" t="s">
        <v>33</v>
      </c>
      <c r="D121" s="1"/>
      <c r="E121" s="48">
        <v>492607.43</v>
      </c>
      <c r="F121" s="48">
        <v>11822.57</v>
      </c>
      <c r="G121" s="10">
        <v>2.4</v>
      </c>
      <c r="H121" s="3"/>
      <c r="I121" s="5">
        <v>6.13</v>
      </c>
    </row>
    <row r="122" spans="1:9" x14ac:dyDescent="0.25">
      <c r="B122" s="1" t="s">
        <v>34</v>
      </c>
      <c r="C122" s="9"/>
      <c r="D122" s="1"/>
      <c r="E122" s="47">
        <f>SUM(E115:E121)</f>
        <v>54620836.900000006</v>
      </c>
      <c r="F122" s="47">
        <f>SUM(F115:F121)</f>
        <v>2083796.06</v>
      </c>
      <c r="G122" s="10"/>
      <c r="H122" s="3"/>
      <c r="I122" s="5"/>
    </row>
    <row r="123" spans="1:9" x14ac:dyDescent="0.25">
      <c r="A123" s="1"/>
      <c r="B123" s="2"/>
      <c r="C123" s="9"/>
      <c r="D123" s="1"/>
      <c r="E123" s="27"/>
      <c r="F123" s="27"/>
      <c r="G123" s="10"/>
      <c r="H123" s="3"/>
      <c r="I123" s="5"/>
    </row>
    <row r="124" spans="1:9" x14ac:dyDescent="0.25">
      <c r="B124" s="1" t="s">
        <v>35</v>
      </c>
      <c r="C124" s="9"/>
      <c r="D124" s="1"/>
      <c r="E124" s="27"/>
      <c r="F124" s="27"/>
      <c r="G124" s="10"/>
      <c r="H124" s="3"/>
      <c r="I124" s="5"/>
    </row>
    <row r="125" spans="1:9" x14ac:dyDescent="0.25">
      <c r="A125" s="1"/>
      <c r="B125" s="2" t="s">
        <v>190</v>
      </c>
      <c r="C125" s="9" t="s">
        <v>25</v>
      </c>
      <c r="D125" s="1"/>
      <c r="E125" s="47">
        <f>3280717.56+3908.5</f>
        <v>3284626.06</v>
      </c>
      <c r="F125" s="47">
        <f>392931.09+470.58</f>
        <v>393401.67000000004</v>
      </c>
      <c r="G125" s="10">
        <v>12.04</v>
      </c>
      <c r="H125" s="3"/>
      <c r="I125" s="5">
        <v>0.81</v>
      </c>
    </row>
    <row r="126" spans="1:9" x14ac:dyDescent="0.25">
      <c r="A126" s="1"/>
      <c r="B126" s="2" t="s">
        <v>191</v>
      </c>
      <c r="C126" s="9" t="s">
        <v>30</v>
      </c>
      <c r="D126" s="1"/>
      <c r="E126" s="47">
        <v>14645854.02</v>
      </c>
      <c r="F126" s="47">
        <v>1414441.84</v>
      </c>
      <c r="G126" s="10">
        <v>10.65</v>
      </c>
      <c r="H126" s="3"/>
      <c r="I126" s="5">
        <v>0.6</v>
      </c>
    </row>
    <row r="127" spans="1:9" x14ac:dyDescent="0.25">
      <c r="A127" s="1"/>
      <c r="B127" s="2" t="s">
        <v>192</v>
      </c>
      <c r="C127" s="9" t="s">
        <v>31</v>
      </c>
      <c r="D127" s="1"/>
      <c r="E127" s="47">
        <v>10022484.300000001</v>
      </c>
      <c r="F127" s="47">
        <v>425505.42</v>
      </c>
      <c r="G127" s="10">
        <v>4.25</v>
      </c>
      <c r="H127" s="3"/>
      <c r="I127" s="5">
        <v>2</v>
      </c>
    </row>
    <row r="128" spans="1:9" x14ac:dyDescent="0.25">
      <c r="A128" s="1"/>
      <c r="B128" s="2" t="s">
        <v>193</v>
      </c>
      <c r="C128" s="9" t="s">
        <v>5</v>
      </c>
      <c r="D128" s="1"/>
      <c r="E128" s="47">
        <v>1883879.27</v>
      </c>
      <c r="F128" s="47">
        <v>161268.19</v>
      </c>
      <c r="G128" s="10">
        <v>8.5500000000000007</v>
      </c>
      <c r="H128" s="3"/>
      <c r="I128" s="5">
        <v>1.34</v>
      </c>
    </row>
    <row r="129" spans="1:9" x14ac:dyDescent="0.25">
      <c r="A129" s="1"/>
      <c r="B129" s="2" t="s">
        <v>194</v>
      </c>
      <c r="C129" s="9" t="s">
        <v>6</v>
      </c>
      <c r="D129" s="1"/>
      <c r="E129" s="47">
        <v>634814.1</v>
      </c>
      <c r="F129" s="47">
        <v>54954.01</v>
      </c>
      <c r="G129" s="10">
        <v>8.68</v>
      </c>
      <c r="H129" s="3"/>
      <c r="I129" s="5">
        <v>0.18</v>
      </c>
    </row>
    <row r="130" spans="1:9" x14ac:dyDescent="0.25">
      <c r="A130" s="1"/>
      <c r="B130" s="2" t="s">
        <v>195</v>
      </c>
      <c r="C130" s="9" t="s">
        <v>32</v>
      </c>
      <c r="D130" s="1"/>
      <c r="E130" s="41">
        <v>520794.71</v>
      </c>
      <c r="F130" s="47">
        <v>45083.68</v>
      </c>
      <c r="G130" s="10">
        <v>8.68</v>
      </c>
      <c r="H130" s="3"/>
      <c r="I130" s="5">
        <v>4.21</v>
      </c>
    </row>
    <row r="131" spans="1:9" x14ac:dyDescent="0.25">
      <c r="A131" s="1"/>
      <c r="B131" s="2" t="s">
        <v>196</v>
      </c>
      <c r="C131" s="9" t="s">
        <v>33</v>
      </c>
      <c r="D131" s="1"/>
      <c r="E131" s="48">
        <v>74593.13</v>
      </c>
      <c r="F131" s="48">
        <v>9578.19</v>
      </c>
      <c r="G131" s="10">
        <v>12.5</v>
      </c>
      <c r="H131" s="3"/>
      <c r="I131" s="5">
        <v>0.45</v>
      </c>
    </row>
    <row r="132" spans="1:9" x14ac:dyDescent="0.25">
      <c r="B132" s="1" t="s">
        <v>36</v>
      </c>
      <c r="C132" s="9"/>
      <c r="D132" s="1"/>
      <c r="E132" s="47">
        <f>SUM(E125:E131)</f>
        <v>31067045.59</v>
      </c>
      <c r="F132" s="47">
        <f>SUM(F125:F131)</f>
        <v>2504233</v>
      </c>
      <c r="G132" s="10"/>
      <c r="H132" s="3"/>
      <c r="I132" s="5"/>
    </row>
    <row r="133" spans="1:9" x14ac:dyDescent="0.25">
      <c r="A133" s="1"/>
      <c r="B133" s="2"/>
      <c r="C133" s="9"/>
      <c r="D133" s="1"/>
      <c r="E133" s="27"/>
      <c r="F133" s="27"/>
      <c r="G133" s="10"/>
      <c r="H133" s="3"/>
      <c r="I133" s="5"/>
    </row>
    <row r="134" spans="1:9" x14ac:dyDescent="0.25">
      <c r="B134" s="1" t="s">
        <v>37</v>
      </c>
      <c r="C134" s="9"/>
      <c r="D134" s="1"/>
      <c r="E134" s="27"/>
      <c r="F134" s="27"/>
      <c r="G134" s="10"/>
      <c r="H134" s="3"/>
      <c r="I134" s="5"/>
    </row>
    <row r="135" spans="1:9" x14ac:dyDescent="0.25">
      <c r="A135" s="1"/>
      <c r="B135" s="2" t="s">
        <v>190</v>
      </c>
      <c r="C135" s="9" t="s">
        <v>25</v>
      </c>
      <c r="D135" s="1"/>
      <c r="E135" s="47">
        <v>3550855.62</v>
      </c>
      <c r="F135" s="47">
        <v>104147.36</v>
      </c>
      <c r="G135" s="10">
        <v>2.93</v>
      </c>
      <c r="H135" s="3"/>
      <c r="I135" s="5">
        <v>2.2400000000000002</v>
      </c>
    </row>
    <row r="136" spans="1:9" x14ac:dyDescent="0.25">
      <c r="A136" s="1"/>
      <c r="B136" s="2" t="s">
        <v>191</v>
      </c>
      <c r="C136" s="9" t="s">
        <v>30</v>
      </c>
      <c r="D136" s="1"/>
      <c r="E136" s="47">
        <v>584993.96</v>
      </c>
      <c r="F136" s="47">
        <v>12050.88</v>
      </c>
      <c r="G136" s="10">
        <v>2.06</v>
      </c>
      <c r="H136" s="3"/>
      <c r="I136" s="5">
        <v>2.72</v>
      </c>
    </row>
    <row r="137" spans="1:9" x14ac:dyDescent="0.25">
      <c r="A137" s="1"/>
      <c r="B137" s="2" t="s">
        <v>192</v>
      </c>
      <c r="C137" s="9" t="s">
        <v>31</v>
      </c>
      <c r="D137" s="1"/>
      <c r="E137" s="47">
        <v>708781.31</v>
      </c>
      <c r="F137" s="47">
        <v>9922.94</v>
      </c>
      <c r="G137" s="10">
        <v>1.4</v>
      </c>
      <c r="H137" s="3"/>
      <c r="I137" s="5">
        <v>1.61</v>
      </c>
    </row>
    <row r="138" spans="1:9" x14ac:dyDescent="0.25">
      <c r="A138" s="1"/>
      <c r="B138" s="2" t="s">
        <v>193</v>
      </c>
      <c r="C138" s="9" t="s">
        <v>5</v>
      </c>
      <c r="D138" s="1"/>
      <c r="E138" s="47">
        <v>298571.15999999997</v>
      </c>
      <c r="F138" s="47">
        <v>4903.62</v>
      </c>
      <c r="G138" s="10">
        <v>1.65</v>
      </c>
      <c r="H138" s="3"/>
      <c r="I138" s="5">
        <v>1.69</v>
      </c>
    </row>
    <row r="139" spans="1:9" x14ac:dyDescent="0.25">
      <c r="A139" s="1"/>
      <c r="B139" s="2" t="s">
        <v>194</v>
      </c>
      <c r="C139" s="9" t="s">
        <v>6</v>
      </c>
      <c r="D139" s="1"/>
      <c r="E139" s="47">
        <v>1793.49</v>
      </c>
      <c r="F139" s="47">
        <v>42.22</v>
      </c>
      <c r="G139" s="10">
        <v>2.41</v>
      </c>
      <c r="H139" s="3"/>
      <c r="I139" s="5">
        <v>0</v>
      </c>
    </row>
    <row r="140" spans="1:9" x14ac:dyDescent="0.25">
      <c r="A140" s="1"/>
      <c r="B140" s="2" t="s">
        <v>195</v>
      </c>
      <c r="C140" s="9" t="s">
        <v>32</v>
      </c>
      <c r="D140" s="1"/>
      <c r="E140" s="47">
        <v>357552.84</v>
      </c>
      <c r="F140" s="47">
        <v>8416.6299999999992</v>
      </c>
      <c r="G140" s="10">
        <v>2.41</v>
      </c>
      <c r="H140" s="3"/>
      <c r="I140" s="5">
        <v>15.66</v>
      </c>
    </row>
    <row r="141" spans="1:9" x14ac:dyDescent="0.25">
      <c r="A141" s="1"/>
      <c r="B141" s="2" t="s">
        <v>196</v>
      </c>
      <c r="C141" s="9" t="s">
        <v>33</v>
      </c>
      <c r="D141" s="1"/>
      <c r="E141" s="47">
        <v>39894.69</v>
      </c>
      <c r="F141" s="47">
        <v>442.84</v>
      </c>
      <c r="G141" s="10">
        <v>1.1100000000000001</v>
      </c>
      <c r="H141" s="3"/>
      <c r="I141" s="5">
        <v>0.6</v>
      </c>
    </row>
    <row r="142" spans="1:9" x14ac:dyDescent="0.25">
      <c r="A142" s="1"/>
      <c r="B142" s="2" t="s">
        <v>197</v>
      </c>
      <c r="C142" s="9" t="s">
        <v>38</v>
      </c>
      <c r="D142" s="1"/>
      <c r="E142" s="48">
        <v>32898.730000000003</v>
      </c>
      <c r="F142" s="48">
        <v>1313.89</v>
      </c>
      <c r="G142" s="10">
        <v>3.55</v>
      </c>
      <c r="H142" s="3"/>
      <c r="I142" s="5">
        <v>2.4300000000000002</v>
      </c>
    </row>
    <row r="143" spans="1:9" x14ac:dyDescent="0.25">
      <c r="B143" s="1" t="s">
        <v>39</v>
      </c>
      <c r="C143" s="9"/>
      <c r="D143" s="1"/>
      <c r="E143" s="47">
        <f>SUM(E135:E142)</f>
        <v>5575341.8000000017</v>
      </c>
      <c r="F143" s="47">
        <f>SUM(F135:F142)</f>
        <v>141240.38</v>
      </c>
      <c r="G143" s="10"/>
      <c r="H143" s="3"/>
      <c r="I143" s="5"/>
    </row>
    <row r="144" spans="1:9" x14ac:dyDescent="0.25">
      <c r="A144" s="1"/>
      <c r="B144" s="2"/>
      <c r="C144" s="9"/>
      <c r="D144" s="1"/>
      <c r="E144" s="27"/>
      <c r="F144" s="27"/>
      <c r="G144" s="10"/>
      <c r="H144" s="3"/>
      <c r="I144" s="5"/>
    </row>
    <row r="145" spans="1:9" x14ac:dyDescent="0.25">
      <c r="A145" s="1"/>
      <c r="B145" s="2"/>
      <c r="C145" s="9"/>
      <c r="D145" s="1"/>
      <c r="E145" s="27"/>
      <c r="F145" s="27"/>
      <c r="G145" s="10"/>
      <c r="H145" s="3"/>
      <c r="I145" s="5"/>
    </row>
    <row r="146" spans="1:9" x14ac:dyDescent="0.25">
      <c r="A146" s="1"/>
      <c r="B146" s="2"/>
      <c r="C146" s="9"/>
      <c r="D146" s="1"/>
      <c r="E146" s="27"/>
      <c r="F146" s="27"/>
      <c r="G146" s="10"/>
      <c r="H146" s="3"/>
      <c r="I146" s="5"/>
    </row>
    <row r="147" spans="1:9" ht="12" customHeight="1" x14ac:dyDescent="0.25">
      <c r="C147" s="9"/>
      <c r="D147" s="1"/>
      <c r="E147" s="27"/>
      <c r="F147" s="27"/>
      <c r="G147" s="10"/>
      <c r="H147" s="3"/>
      <c r="I147" s="5"/>
    </row>
    <row r="148" spans="1:9" ht="12" customHeight="1" x14ac:dyDescent="0.25">
      <c r="C148" s="9"/>
      <c r="D148" s="1"/>
      <c r="E148" s="27"/>
      <c r="F148" s="27"/>
      <c r="G148" s="10"/>
      <c r="H148" s="3"/>
      <c r="I148" s="5"/>
    </row>
    <row r="149" spans="1:9" x14ac:dyDescent="0.25">
      <c r="B149" s="1" t="s">
        <v>40</v>
      </c>
      <c r="C149" s="9"/>
      <c r="D149" s="1"/>
      <c r="E149" s="27"/>
      <c r="F149" s="27"/>
      <c r="G149" s="10"/>
      <c r="H149" s="3"/>
      <c r="I149" s="5"/>
    </row>
    <row r="150" spans="1:9" x14ac:dyDescent="0.25">
      <c r="A150" s="1"/>
      <c r="B150" s="2" t="s">
        <v>190</v>
      </c>
      <c r="C150" s="9" t="s">
        <v>25</v>
      </c>
      <c r="D150" s="1"/>
      <c r="E150" s="47">
        <v>652002.48</v>
      </c>
      <c r="F150" s="47">
        <v>17302.27</v>
      </c>
      <c r="G150" s="10">
        <v>2.65</v>
      </c>
      <c r="H150" s="3"/>
      <c r="I150" s="5">
        <v>1.98</v>
      </c>
    </row>
    <row r="151" spans="1:9" x14ac:dyDescent="0.25">
      <c r="A151" s="1"/>
      <c r="B151" s="2" t="s">
        <v>191</v>
      </c>
      <c r="C151" s="9" t="s">
        <v>30</v>
      </c>
      <c r="D151" s="1"/>
      <c r="E151" s="47">
        <v>1179902.74</v>
      </c>
      <c r="F151" s="47">
        <v>31385.41</v>
      </c>
      <c r="G151" s="10">
        <v>2.66</v>
      </c>
      <c r="H151" s="3"/>
      <c r="I151" s="5">
        <v>2.17</v>
      </c>
    </row>
    <row r="152" spans="1:9" x14ac:dyDescent="0.25">
      <c r="A152" s="1"/>
      <c r="B152" s="2" t="s">
        <v>192</v>
      </c>
      <c r="C152" s="9" t="s">
        <v>31</v>
      </c>
      <c r="D152" s="1"/>
      <c r="E152" s="47">
        <v>5210196.53</v>
      </c>
      <c r="F152" s="47">
        <v>124523.68</v>
      </c>
      <c r="G152" s="10">
        <v>2.39</v>
      </c>
      <c r="H152" s="3"/>
      <c r="I152" s="5">
        <v>3.24</v>
      </c>
    </row>
    <row r="153" spans="1:9" x14ac:dyDescent="0.25">
      <c r="A153" s="1"/>
      <c r="B153" s="2" t="s">
        <v>193</v>
      </c>
      <c r="C153" s="9" t="s">
        <v>5</v>
      </c>
      <c r="D153" s="1"/>
      <c r="E153" s="47">
        <v>490371.62</v>
      </c>
      <c r="F153" s="47">
        <v>14269.79</v>
      </c>
      <c r="G153" s="10">
        <v>2.91</v>
      </c>
      <c r="H153" s="3"/>
      <c r="I153" s="5">
        <v>1.66</v>
      </c>
    </row>
    <row r="154" spans="1:9" x14ac:dyDescent="0.25">
      <c r="A154" s="1"/>
      <c r="B154" s="2" t="s">
        <v>194</v>
      </c>
      <c r="C154" s="9" t="s">
        <v>6</v>
      </c>
      <c r="D154" s="1"/>
      <c r="E154" s="47">
        <v>4773.6400000000003</v>
      </c>
      <c r="F154" s="47">
        <v>144.16</v>
      </c>
      <c r="G154" s="10">
        <v>3.02</v>
      </c>
      <c r="H154" s="3"/>
      <c r="I154" s="5">
        <v>3.48</v>
      </c>
    </row>
    <row r="155" spans="1:9" x14ac:dyDescent="0.25">
      <c r="A155" s="1"/>
      <c r="B155" s="2" t="s">
        <v>195</v>
      </c>
      <c r="C155" s="9" t="s">
        <v>32</v>
      </c>
      <c r="D155" s="1"/>
      <c r="E155" s="47">
        <v>66781</v>
      </c>
      <c r="F155" s="47">
        <v>2016.79</v>
      </c>
      <c r="G155" s="10">
        <v>3.02</v>
      </c>
      <c r="H155" s="3"/>
      <c r="I155" s="5">
        <v>11.25</v>
      </c>
    </row>
    <row r="156" spans="1:9" x14ac:dyDescent="0.25">
      <c r="A156" s="1"/>
      <c r="B156" s="2" t="s">
        <v>196</v>
      </c>
      <c r="C156" s="9" t="s">
        <v>33</v>
      </c>
      <c r="D156" s="1"/>
      <c r="E156" s="48">
        <v>287456.42</v>
      </c>
      <c r="F156" s="48">
        <v>5630.35</v>
      </c>
      <c r="G156" s="10">
        <v>1.96</v>
      </c>
      <c r="H156" s="3"/>
      <c r="I156" s="5">
        <v>2.59</v>
      </c>
    </row>
    <row r="157" spans="1:9" x14ac:dyDescent="0.25">
      <c r="B157" s="1" t="s">
        <v>41</v>
      </c>
      <c r="C157" s="9"/>
      <c r="D157" s="1"/>
      <c r="E157" s="47">
        <f>SUM(E150:E156)</f>
        <v>7891484.4299999997</v>
      </c>
      <c r="F157" s="47">
        <f>SUM(F150:F156)</f>
        <v>195272.45</v>
      </c>
      <c r="G157" s="10"/>
      <c r="H157" s="3"/>
      <c r="I157" s="5"/>
    </row>
    <row r="158" spans="1:9" x14ac:dyDescent="0.25">
      <c r="A158" s="1"/>
      <c r="B158" s="2"/>
      <c r="C158" s="9"/>
      <c r="D158" s="1"/>
      <c r="E158" s="27"/>
      <c r="F158" s="27"/>
      <c r="G158" s="10"/>
      <c r="H158" s="3"/>
      <c r="I158" s="5"/>
    </row>
    <row r="159" spans="1:9" x14ac:dyDescent="0.25">
      <c r="B159" s="1" t="s">
        <v>42</v>
      </c>
      <c r="C159" s="9"/>
      <c r="D159" s="1"/>
      <c r="E159" s="27"/>
      <c r="F159" s="27"/>
      <c r="G159" s="10"/>
      <c r="H159" s="3"/>
      <c r="I159" s="5"/>
    </row>
    <row r="160" spans="1:9" x14ac:dyDescent="0.25">
      <c r="A160" s="1"/>
      <c r="B160" s="2" t="s">
        <v>190</v>
      </c>
      <c r="C160" s="9" t="s">
        <v>25</v>
      </c>
      <c r="D160" s="1"/>
      <c r="E160" s="41">
        <v>6208069.8399999999</v>
      </c>
      <c r="F160" s="41">
        <v>665912.29</v>
      </c>
      <c r="G160" s="10">
        <v>13</v>
      </c>
      <c r="H160" s="3"/>
      <c r="I160" s="5">
        <v>0.54</v>
      </c>
    </row>
    <row r="161" spans="1:11" x14ac:dyDescent="0.25">
      <c r="A161" s="1"/>
      <c r="B161" s="2" t="s">
        <v>191</v>
      </c>
      <c r="C161" s="9" t="s">
        <v>30</v>
      </c>
      <c r="D161" s="1"/>
      <c r="E161" s="41">
        <v>48037386.200000003</v>
      </c>
      <c r="F161" s="41">
        <v>4874401.6100000003</v>
      </c>
      <c r="G161" s="10">
        <v>10.14</v>
      </c>
      <c r="H161" s="3"/>
      <c r="I161" s="5">
        <v>0.36</v>
      </c>
    </row>
    <row r="162" spans="1:11" x14ac:dyDescent="0.25">
      <c r="A162" s="1"/>
      <c r="B162" s="2" t="s">
        <v>192</v>
      </c>
      <c r="C162" s="9" t="s">
        <v>31</v>
      </c>
      <c r="D162" s="1"/>
      <c r="E162" s="41">
        <v>8669934.5399999991</v>
      </c>
      <c r="F162" s="41">
        <v>764688.22</v>
      </c>
      <c r="G162" s="10">
        <v>8.82</v>
      </c>
      <c r="H162" s="3"/>
      <c r="I162" s="5">
        <v>0</v>
      </c>
    </row>
    <row r="163" spans="1:11" x14ac:dyDescent="0.25">
      <c r="A163" s="1"/>
      <c r="B163" s="2" t="s">
        <v>193</v>
      </c>
      <c r="C163" s="9" t="s">
        <v>5</v>
      </c>
      <c r="D163" s="1"/>
      <c r="E163" s="41">
        <v>1769313.18</v>
      </c>
      <c r="F163" s="41">
        <v>160441.72</v>
      </c>
      <c r="G163" s="10">
        <v>9.09</v>
      </c>
      <c r="H163" s="3"/>
      <c r="I163" s="5">
        <v>0.01</v>
      </c>
    </row>
    <row r="164" spans="1:11" x14ac:dyDescent="0.25">
      <c r="A164" s="1"/>
      <c r="B164" s="2" t="s">
        <v>194</v>
      </c>
      <c r="C164" s="9" t="s">
        <v>6</v>
      </c>
      <c r="D164" s="1"/>
      <c r="E164" s="41">
        <v>493379.6</v>
      </c>
      <c r="F164" s="41">
        <v>51347.57</v>
      </c>
      <c r="G164" s="10">
        <v>10.47</v>
      </c>
      <c r="H164" s="3"/>
      <c r="I164" s="5">
        <v>2.13</v>
      </c>
    </row>
    <row r="165" spans="1:11" x14ac:dyDescent="0.25">
      <c r="A165" s="1"/>
      <c r="B165" s="2" t="s">
        <v>195</v>
      </c>
      <c r="C165" s="9" t="s">
        <v>32</v>
      </c>
      <c r="D165" s="1"/>
      <c r="E165" s="41">
        <v>273542.90999999997</v>
      </c>
      <c r="F165" s="41">
        <v>28468.48</v>
      </c>
      <c r="G165" s="10">
        <v>10.47</v>
      </c>
      <c r="H165" s="3"/>
      <c r="I165" s="5">
        <v>1.66</v>
      </c>
    </row>
    <row r="166" spans="1:11" x14ac:dyDescent="0.25">
      <c r="A166" s="1"/>
      <c r="B166" s="2" t="s">
        <v>196</v>
      </c>
      <c r="C166" s="9" t="s">
        <v>33</v>
      </c>
      <c r="D166" s="1"/>
      <c r="E166" s="48">
        <v>645094.99</v>
      </c>
      <c r="F166" s="48">
        <v>35609.25</v>
      </c>
      <c r="G166" s="10">
        <v>5.52</v>
      </c>
      <c r="H166" s="3"/>
      <c r="I166" s="5">
        <v>0</v>
      </c>
    </row>
    <row r="167" spans="1:11" x14ac:dyDescent="0.25">
      <c r="B167" s="1" t="s">
        <v>43</v>
      </c>
      <c r="C167" s="9"/>
      <c r="D167" s="1"/>
      <c r="E167" s="41">
        <f>SUM(E160:E166)</f>
        <v>66096721.260000005</v>
      </c>
      <c r="F167" s="41">
        <f>SUM(F160:F166)</f>
        <v>6580869.1400000006</v>
      </c>
      <c r="G167" s="10"/>
      <c r="H167" s="3"/>
      <c r="I167" s="5"/>
    </row>
    <row r="168" spans="1:11" x14ac:dyDescent="0.25">
      <c r="B168" s="1"/>
      <c r="C168" s="9"/>
      <c r="D168" s="1"/>
      <c r="G168" s="10"/>
      <c r="H168" s="3"/>
      <c r="I168" s="5"/>
    </row>
    <row r="169" spans="1:11" s="34" customFormat="1" x14ac:dyDescent="0.25">
      <c r="B169" s="14" t="s">
        <v>44</v>
      </c>
      <c r="C169" s="14"/>
      <c r="D169" s="9"/>
      <c r="E169" s="56">
        <f>SUM(E167,E157,E143,E132,E122)</f>
        <v>165251429.98000002</v>
      </c>
      <c r="F169" s="56">
        <f>SUM(F167,F157,F143,F132,F122)</f>
        <v>11505411.030000001</v>
      </c>
      <c r="G169" s="33"/>
      <c r="H169" s="9"/>
      <c r="I169" s="37"/>
    </row>
    <row r="170" spans="1:11" s="34" customFormat="1" x14ac:dyDescent="0.25">
      <c r="B170" s="14"/>
      <c r="C170" s="14"/>
      <c r="D170" s="9"/>
      <c r="E170" s="56"/>
      <c r="F170" s="56"/>
      <c r="G170" s="33"/>
      <c r="H170" s="9"/>
      <c r="I170" s="37"/>
    </row>
    <row r="171" spans="1:11" x14ac:dyDescent="0.25">
      <c r="A171" s="1"/>
      <c r="B171" s="30"/>
      <c r="C171" s="9"/>
      <c r="D171" s="1"/>
      <c r="E171" s="27"/>
      <c r="F171" s="27"/>
      <c r="G171" s="10"/>
      <c r="H171" s="3"/>
      <c r="I171" s="5"/>
    </row>
    <row r="172" spans="1:11" x14ac:dyDescent="0.25">
      <c r="A172" s="14" t="s">
        <v>45</v>
      </c>
      <c r="B172" s="30"/>
      <c r="C172" s="9"/>
      <c r="D172" s="1"/>
      <c r="E172" s="27"/>
      <c r="F172" s="27"/>
      <c r="G172" s="10"/>
      <c r="H172" s="3"/>
      <c r="I172" s="5"/>
    </row>
    <row r="173" spans="1:11" x14ac:dyDescent="0.25">
      <c r="B173" s="1" t="s">
        <v>46</v>
      </c>
      <c r="C173" s="9"/>
      <c r="D173" s="1"/>
      <c r="E173" s="27"/>
      <c r="F173" s="27"/>
      <c r="G173" s="10"/>
      <c r="H173" s="3"/>
      <c r="I173" s="5"/>
    </row>
    <row r="174" spans="1:11" x14ac:dyDescent="0.25">
      <c r="A174" s="1"/>
      <c r="B174" s="2" t="s">
        <v>139</v>
      </c>
      <c r="C174" s="9" t="s">
        <v>25</v>
      </c>
      <c r="D174" s="1"/>
      <c r="E174" s="41">
        <v>28241.57</v>
      </c>
      <c r="F174" s="41">
        <v>11.29</v>
      </c>
      <c r="G174" s="10">
        <v>0.04</v>
      </c>
      <c r="H174" s="3"/>
      <c r="I174" s="5">
        <v>0</v>
      </c>
    </row>
    <row r="175" spans="1:11" x14ac:dyDescent="0.25">
      <c r="A175" s="1"/>
      <c r="B175" s="2" t="s">
        <v>198</v>
      </c>
      <c r="C175" s="9" t="s">
        <v>21</v>
      </c>
      <c r="D175" s="1"/>
      <c r="E175" s="41">
        <v>197234.51</v>
      </c>
      <c r="F175" s="41">
        <v>19743.169999999998</v>
      </c>
      <c r="G175" s="10">
        <v>10.01</v>
      </c>
      <c r="H175" s="3"/>
      <c r="I175" s="5">
        <v>4.32</v>
      </c>
      <c r="K175" s="43"/>
    </row>
    <row r="176" spans="1:11" x14ac:dyDescent="0.25">
      <c r="A176" s="1"/>
      <c r="B176" s="2" t="s">
        <v>140</v>
      </c>
      <c r="C176" s="9" t="s">
        <v>22</v>
      </c>
      <c r="D176" s="1"/>
      <c r="E176" s="41">
        <v>451571.96</v>
      </c>
      <c r="F176" s="41">
        <v>180.63</v>
      </c>
      <c r="G176" s="10">
        <v>0.04</v>
      </c>
      <c r="H176" s="3"/>
      <c r="I176" s="5">
        <v>4.47</v>
      </c>
    </row>
    <row r="177" spans="1:11" x14ac:dyDescent="0.25">
      <c r="A177" s="1"/>
      <c r="B177" s="2" t="s">
        <v>199</v>
      </c>
      <c r="C177" s="9" t="s">
        <v>5</v>
      </c>
      <c r="D177" s="1"/>
      <c r="E177" s="41">
        <v>84237.34</v>
      </c>
      <c r="F177" s="41">
        <v>1052.97</v>
      </c>
      <c r="G177" s="10">
        <v>1.25</v>
      </c>
      <c r="H177" s="3"/>
      <c r="I177" s="5">
        <v>5.07</v>
      </c>
      <c r="K177" s="43"/>
    </row>
    <row r="178" spans="1:11" x14ac:dyDescent="0.25">
      <c r="A178" s="1"/>
      <c r="B178" s="2" t="s">
        <v>200</v>
      </c>
      <c r="C178" s="9" t="s">
        <v>32</v>
      </c>
      <c r="D178" s="1"/>
      <c r="E178" s="47">
        <v>10385.31</v>
      </c>
      <c r="F178" s="48">
        <v>626.24</v>
      </c>
      <c r="G178" s="10">
        <v>6.03</v>
      </c>
      <c r="H178" s="3"/>
      <c r="I178" s="5">
        <v>1.85</v>
      </c>
      <c r="K178" s="43"/>
    </row>
    <row r="179" spans="1:11" x14ac:dyDescent="0.25">
      <c r="B179" s="1" t="s">
        <v>47</v>
      </c>
      <c r="C179" s="9"/>
      <c r="D179" s="1"/>
      <c r="E179" s="57">
        <f>SUM(E174:E178)</f>
        <v>771670.69000000006</v>
      </c>
      <c r="F179" s="47">
        <f>SUM(F174:F178)</f>
        <v>21614.300000000003</v>
      </c>
      <c r="G179" s="10"/>
      <c r="H179" s="3"/>
      <c r="I179" s="5"/>
    </row>
    <row r="180" spans="1:11" x14ac:dyDescent="0.25">
      <c r="B180" s="1"/>
      <c r="C180" s="9"/>
      <c r="D180" s="1"/>
      <c r="E180" s="47"/>
      <c r="F180" s="47"/>
      <c r="G180" s="10"/>
      <c r="H180" s="3"/>
      <c r="I180" s="5"/>
    </row>
    <row r="181" spans="1:11" x14ac:dyDescent="0.25">
      <c r="B181" s="1"/>
      <c r="C181" s="9"/>
      <c r="D181" s="1"/>
      <c r="E181" s="47"/>
      <c r="F181" s="47"/>
      <c r="G181" s="10"/>
      <c r="H181" s="3"/>
      <c r="I181" s="5"/>
    </row>
    <row r="182" spans="1:11" x14ac:dyDescent="0.25">
      <c r="B182" s="1"/>
      <c r="C182" s="9"/>
      <c r="D182" s="1"/>
      <c r="E182" s="47"/>
      <c r="F182" s="47"/>
      <c r="G182" s="10"/>
      <c r="H182" s="3"/>
      <c r="I182" s="5"/>
    </row>
    <row r="183" spans="1:11" x14ac:dyDescent="0.25">
      <c r="B183" s="1"/>
      <c r="C183" s="9"/>
      <c r="D183" s="1"/>
      <c r="E183" s="47"/>
      <c r="F183" s="47"/>
      <c r="G183" s="10"/>
      <c r="H183" s="3"/>
      <c r="I183" s="5"/>
    </row>
    <row r="184" spans="1:11" x14ac:dyDescent="0.25">
      <c r="B184" s="1"/>
      <c r="C184" s="9"/>
      <c r="D184" s="1"/>
      <c r="E184" s="47"/>
      <c r="F184" s="47"/>
      <c r="G184" s="10"/>
      <c r="H184" s="3"/>
      <c r="I184" s="5"/>
    </row>
    <row r="185" spans="1:11" x14ac:dyDescent="0.25">
      <c r="B185" s="1" t="s">
        <v>20</v>
      </c>
      <c r="C185" s="9"/>
      <c r="D185" s="1"/>
      <c r="E185" s="27"/>
      <c r="F185" s="27"/>
      <c r="G185" s="10"/>
      <c r="H185" s="3"/>
      <c r="I185" s="5"/>
    </row>
    <row r="186" spans="1:11" x14ac:dyDescent="0.25">
      <c r="A186" s="1"/>
      <c r="B186" s="2" t="s">
        <v>139</v>
      </c>
      <c r="C186" s="9" t="s">
        <v>25</v>
      </c>
      <c r="D186" s="1"/>
      <c r="E186" s="58">
        <v>6595936.75</v>
      </c>
      <c r="F186" s="58">
        <v>178845.04</v>
      </c>
      <c r="G186" s="10">
        <v>2.7</v>
      </c>
      <c r="H186" s="3"/>
      <c r="I186" s="5">
        <v>2.97</v>
      </c>
    </row>
    <row r="187" spans="1:11" x14ac:dyDescent="0.25">
      <c r="A187" s="1"/>
      <c r="B187" s="2" t="s">
        <v>198</v>
      </c>
      <c r="C187" s="9" t="s">
        <v>21</v>
      </c>
      <c r="D187" s="1"/>
      <c r="E187" s="58">
        <v>7998178.46</v>
      </c>
      <c r="F187" s="58">
        <v>207152.82</v>
      </c>
      <c r="G187" s="10">
        <v>2.59</v>
      </c>
      <c r="H187" s="3"/>
      <c r="I187" s="5">
        <v>2.88</v>
      </c>
    </row>
    <row r="188" spans="1:11" x14ac:dyDescent="0.25">
      <c r="A188" s="1"/>
      <c r="B188" s="2" t="s">
        <v>140</v>
      </c>
      <c r="C188" s="9" t="s">
        <v>22</v>
      </c>
      <c r="D188" s="1"/>
      <c r="E188" s="58">
        <v>70644953.319999993</v>
      </c>
      <c r="F188" s="58">
        <v>1857788.48</v>
      </c>
      <c r="G188" s="10">
        <v>2.63</v>
      </c>
      <c r="H188" s="3"/>
      <c r="I188" s="5">
        <v>2.5499999999999998</v>
      </c>
    </row>
    <row r="189" spans="1:11" x14ac:dyDescent="0.25">
      <c r="A189" s="1"/>
      <c r="B189" s="2" t="s">
        <v>199</v>
      </c>
      <c r="C189" s="9" t="s">
        <v>5</v>
      </c>
      <c r="D189" s="1"/>
      <c r="E189" s="58">
        <v>2021517.63</v>
      </c>
      <c r="F189" s="58">
        <v>52963.76</v>
      </c>
      <c r="G189" s="10">
        <v>2.62</v>
      </c>
      <c r="H189" s="3"/>
      <c r="I189" s="5">
        <v>6.45</v>
      </c>
    </row>
    <row r="190" spans="1:11" x14ac:dyDescent="0.25">
      <c r="A190" s="1"/>
      <c r="B190" s="2" t="s">
        <v>201</v>
      </c>
      <c r="C190" s="9" t="s">
        <v>6</v>
      </c>
      <c r="D190" s="1"/>
      <c r="E190" s="52">
        <v>1142596.92</v>
      </c>
      <c r="F190" s="52">
        <v>31381.59</v>
      </c>
      <c r="G190" s="10">
        <v>2.59</v>
      </c>
      <c r="H190" s="3"/>
      <c r="I190" s="5">
        <v>2.91</v>
      </c>
    </row>
    <row r="191" spans="1:11" x14ac:dyDescent="0.25">
      <c r="A191" s="1"/>
      <c r="B191" s="2" t="s">
        <v>200</v>
      </c>
      <c r="C191" s="9" t="s">
        <v>32</v>
      </c>
      <c r="D191" s="1"/>
      <c r="E191" s="52">
        <v>43664.89</v>
      </c>
      <c r="F191" s="53">
        <v>1199.26</v>
      </c>
      <c r="G191" s="10">
        <v>2.59</v>
      </c>
      <c r="H191" s="3"/>
      <c r="I191" s="5">
        <v>7.23</v>
      </c>
    </row>
    <row r="192" spans="1:11" x14ac:dyDescent="0.25">
      <c r="B192" s="1" t="s">
        <v>23</v>
      </c>
      <c r="C192" s="9"/>
      <c r="D192" s="1"/>
      <c r="E192" s="59">
        <f>SUM(E186:E191)</f>
        <v>88446847.969999999</v>
      </c>
      <c r="F192" s="54">
        <f>SUM(F186:F191)</f>
        <v>2329330.9499999993</v>
      </c>
      <c r="G192" s="10"/>
      <c r="H192" s="3"/>
      <c r="I192" s="5"/>
    </row>
    <row r="193" spans="1:9" x14ac:dyDescent="0.25">
      <c r="A193" s="1"/>
      <c r="B193" s="2"/>
      <c r="C193" s="9"/>
      <c r="D193" s="1"/>
      <c r="E193" s="27"/>
      <c r="F193" s="27"/>
      <c r="G193" s="10"/>
      <c r="H193" s="3"/>
      <c r="I193" s="5"/>
    </row>
    <row r="194" spans="1:9" x14ac:dyDescent="0.25">
      <c r="B194" s="1" t="s">
        <v>48</v>
      </c>
      <c r="C194" s="9"/>
      <c r="D194" s="1"/>
      <c r="E194" s="46"/>
      <c r="F194" s="46"/>
      <c r="G194" s="10"/>
      <c r="H194" s="3"/>
      <c r="I194" s="5"/>
    </row>
    <row r="195" spans="1:9" x14ac:dyDescent="0.25">
      <c r="A195" s="1"/>
      <c r="B195" s="2" t="s">
        <v>198</v>
      </c>
      <c r="C195" s="9" t="s">
        <v>21</v>
      </c>
      <c r="D195" s="1"/>
      <c r="E195" s="52">
        <v>1804662.8</v>
      </c>
      <c r="F195" s="52">
        <v>60095.27</v>
      </c>
      <c r="G195" s="10">
        <v>3.3330000000000002</v>
      </c>
      <c r="H195" s="3"/>
      <c r="I195" s="5">
        <v>3.52</v>
      </c>
    </row>
    <row r="196" spans="1:9" x14ac:dyDescent="0.25">
      <c r="A196" s="1"/>
      <c r="B196" s="2" t="s">
        <v>140</v>
      </c>
      <c r="C196" s="9" t="s">
        <v>22</v>
      </c>
      <c r="D196" s="1"/>
      <c r="E196" s="52">
        <v>29246324.170000002</v>
      </c>
      <c r="F196" s="52">
        <v>973822.74</v>
      </c>
      <c r="G196" s="10">
        <v>3.3330000000000002</v>
      </c>
      <c r="H196" s="3"/>
      <c r="I196" s="5">
        <v>3.34</v>
      </c>
    </row>
    <row r="197" spans="1:9" x14ac:dyDescent="0.25">
      <c r="A197" s="1"/>
      <c r="B197" s="2" t="s">
        <v>199</v>
      </c>
      <c r="C197" s="9" t="s">
        <v>5</v>
      </c>
      <c r="D197" s="1"/>
      <c r="E197" s="53">
        <v>296766.71999999997</v>
      </c>
      <c r="F197" s="53">
        <v>9882.34</v>
      </c>
      <c r="G197" s="10">
        <v>3.3330000000000002</v>
      </c>
      <c r="H197" s="3"/>
      <c r="I197" s="5">
        <v>3.34</v>
      </c>
    </row>
    <row r="198" spans="1:9" x14ac:dyDescent="0.25">
      <c r="B198" s="1" t="s">
        <v>26</v>
      </c>
      <c r="C198" s="9"/>
      <c r="D198" s="1"/>
      <c r="E198" s="54">
        <f>SUM(E195:E197)</f>
        <v>31347753.690000001</v>
      </c>
      <c r="F198" s="54">
        <f>SUM(F195:F197)</f>
        <v>1043800.35</v>
      </c>
      <c r="G198" s="10"/>
      <c r="H198" s="3"/>
      <c r="I198" s="5"/>
    </row>
    <row r="199" spans="1:9" x14ac:dyDescent="0.25">
      <c r="A199" s="1"/>
      <c r="B199" s="2"/>
      <c r="C199" s="9"/>
      <c r="D199" s="1"/>
      <c r="E199" s="27"/>
      <c r="F199" s="27"/>
      <c r="G199" s="10"/>
      <c r="H199" s="3"/>
      <c r="I199" s="5"/>
    </row>
    <row r="200" spans="1:9" x14ac:dyDescent="0.25">
      <c r="B200" s="1" t="s">
        <v>49</v>
      </c>
      <c r="C200" s="9"/>
      <c r="D200" s="1"/>
      <c r="E200" s="27"/>
      <c r="F200" s="27"/>
      <c r="G200" s="10"/>
      <c r="H200" s="3"/>
      <c r="I200" s="5"/>
    </row>
    <row r="201" spans="1:9" x14ac:dyDescent="0.25">
      <c r="A201" s="1"/>
      <c r="B201" s="2" t="s">
        <v>139</v>
      </c>
      <c r="C201" s="9" t="s">
        <v>25</v>
      </c>
      <c r="D201" s="1"/>
      <c r="E201" s="54">
        <v>2344478.06</v>
      </c>
      <c r="F201" s="54">
        <v>56141.11</v>
      </c>
      <c r="G201" s="10">
        <v>2.41</v>
      </c>
      <c r="H201" s="3"/>
      <c r="I201" s="5">
        <v>3.22</v>
      </c>
    </row>
    <row r="202" spans="1:9" x14ac:dyDescent="0.25">
      <c r="A202" s="1"/>
      <c r="B202" s="2" t="s">
        <v>198</v>
      </c>
      <c r="C202" s="9" t="s">
        <v>21</v>
      </c>
      <c r="D202" s="1"/>
      <c r="E202" s="54">
        <v>3702107.48</v>
      </c>
      <c r="F202" s="54">
        <v>64046.46</v>
      </c>
      <c r="G202" s="10">
        <v>1.73</v>
      </c>
      <c r="H202" s="3"/>
      <c r="I202" s="5">
        <v>1.93</v>
      </c>
    </row>
    <row r="203" spans="1:9" x14ac:dyDescent="0.25">
      <c r="A203" s="1"/>
      <c r="B203" s="2" t="s">
        <v>140</v>
      </c>
      <c r="C203" s="9" t="s">
        <v>22</v>
      </c>
      <c r="D203" s="1"/>
      <c r="E203" s="54">
        <v>24805307.300000001</v>
      </c>
      <c r="F203" s="54">
        <v>579030.46</v>
      </c>
      <c r="G203" s="10">
        <v>2.33</v>
      </c>
      <c r="H203" s="3"/>
      <c r="I203" s="5">
        <v>2.48</v>
      </c>
    </row>
    <row r="204" spans="1:9" x14ac:dyDescent="0.25">
      <c r="A204" s="1"/>
      <c r="B204" s="2" t="s">
        <v>199</v>
      </c>
      <c r="C204" s="9" t="s">
        <v>5</v>
      </c>
      <c r="D204" s="1"/>
      <c r="E204" s="54">
        <v>1943694.83</v>
      </c>
      <c r="F204" s="54">
        <v>743.75</v>
      </c>
      <c r="G204" s="10">
        <v>0.04</v>
      </c>
      <c r="H204" s="3"/>
      <c r="I204" s="5">
        <v>6.75</v>
      </c>
    </row>
    <row r="205" spans="1:9" x14ac:dyDescent="0.25">
      <c r="A205" s="1"/>
      <c r="B205" s="2" t="s">
        <v>201</v>
      </c>
      <c r="C205" s="9" t="s">
        <v>6</v>
      </c>
      <c r="D205" s="1"/>
      <c r="E205" s="54">
        <v>172525.69</v>
      </c>
      <c r="F205" s="54">
        <v>5499.04</v>
      </c>
      <c r="G205" s="10">
        <v>3.5</v>
      </c>
      <c r="H205" s="3"/>
      <c r="I205" s="5">
        <v>5.0199999999999996</v>
      </c>
    </row>
    <row r="206" spans="1:9" x14ac:dyDescent="0.25">
      <c r="A206" s="1"/>
      <c r="B206" s="2" t="s">
        <v>200</v>
      </c>
      <c r="C206" s="9" t="s">
        <v>32</v>
      </c>
      <c r="D206" s="1"/>
      <c r="E206" s="54">
        <v>267633.83</v>
      </c>
      <c r="F206" s="64">
        <v>8530.48</v>
      </c>
      <c r="G206" s="10">
        <v>3.5</v>
      </c>
      <c r="H206" s="3"/>
      <c r="I206" s="5">
        <v>3.94</v>
      </c>
    </row>
    <row r="207" spans="1:9" x14ac:dyDescent="0.25">
      <c r="B207" s="1" t="s">
        <v>50</v>
      </c>
      <c r="C207" s="9"/>
      <c r="D207" s="1"/>
      <c r="E207" s="59">
        <f>SUM(E201:E206)</f>
        <v>33235747.190000001</v>
      </c>
      <c r="F207" s="59">
        <f>SUM(F201:F206)</f>
        <v>713991.3</v>
      </c>
      <c r="G207" s="10"/>
      <c r="H207" s="3"/>
      <c r="I207" s="5"/>
    </row>
    <row r="208" spans="1:9" x14ac:dyDescent="0.25">
      <c r="A208" s="1"/>
      <c r="B208" s="2"/>
      <c r="C208" s="9"/>
      <c r="D208" s="1"/>
      <c r="E208" s="27"/>
      <c r="F208" s="27"/>
      <c r="G208" s="10"/>
      <c r="H208" s="3"/>
      <c r="I208" s="5"/>
    </row>
    <row r="209" spans="1:9" x14ac:dyDescent="0.25">
      <c r="B209" s="1" t="s">
        <v>51</v>
      </c>
      <c r="C209" s="9"/>
      <c r="D209" s="1"/>
      <c r="E209" s="27"/>
      <c r="F209" s="27"/>
      <c r="G209" s="10"/>
      <c r="H209" s="3"/>
      <c r="I209" s="5"/>
    </row>
    <row r="210" spans="1:9" x14ac:dyDescent="0.25">
      <c r="A210" s="1"/>
      <c r="B210" s="2" t="s">
        <v>139</v>
      </c>
      <c r="C210" s="9" t="s">
        <v>25</v>
      </c>
      <c r="D210" s="1"/>
      <c r="E210" s="54">
        <v>3491408.04</v>
      </c>
      <c r="F210" s="54">
        <v>144515.95000000001</v>
      </c>
      <c r="G210" s="10">
        <v>4.1500000000000004</v>
      </c>
      <c r="H210" s="3"/>
      <c r="I210" s="5">
        <v>4.16</v>
      </c>
    </row>
    <row r="211" spans="1:9" x14ac:dyDescent="0.25">
      <c r="A211" s="1"/>
      <c r="B211" s="2" t="s">
        <v>198</v>
      </c>
      <c r="C211" s="9" t="s">
        <v>21</v>
      </c>
      <c r="D211" s="1"/>
      <c r="E211" s="54">
        <v>3355684.73</v>
      </c>
      <c r="F211" s="54">
        <v>141945.47</v>
      </c>
      <c r="G211" s="10">
        <v>4.2300000000000004</v>
      </c>
      <c r="H211" s="3"/>
      <c r="I211" s="5">
        <v>4.75</v>
      </c>
    </row>
    <row r="212" spans="1:9" x14ac:dyDescent="0.25">
      <c r="A212" s="1"/>
      <c r="B212" s="2" t="s">
        <v>140</v>
      </c>
      <c r="C212" s="9" t="s">
        <v>22</v>
      </c>
      <c r="D212" s="1"/>
      <c r="E212" s="42">
        <v>41422739.259999998</v>
      </c>
      <c r="F212" s="42">
        <v>845023.89</v>
      </c>
      <c r="G212" s="10">
        <v>2.04</v>
      </c>
      <c r="H212" s="3"/>
      <c r="I212" s="5">
        <v>2.06</v>
      </c>
    </row>
    <row r="213" spans="1:9" x14ac:dyDescent="0.25">
      <c r="A213" s="1"/>
      <c r="B213" s="2" t="s">
        <v>199</v>
      </c>
      <c r="C213" s="9" t="s">
        <v>5</v>
      </c>
      <c r="D213" s="1"/>
      <c r="E213" s="54">
        <v>884929.97</v>
      </c>
      <c r="F213" s="54">
        <v>25618.41</v>
      </c>
      <c r="G213" s="10">
        <v>2.91</v>
      </c>
      <c r="H213" s="3"/>
      <c r="I213" s="5">
        <v>3.06</v>
      </c>
    </row>
    <row r="214" spans="1:9" x14ac:dyDescent="0.25">
      <c r="A214" s="1"/>
      <c r="B214" s="2" t="s">
        <v>201</v>
      </c>
      <c r="C214" s="9" t="s">
        <v>6</v>
      </c>
      <c r="D214" s="1"/>
      <c r="E214" s="54">
        <v>241975.23</v>
      </c>
      <c r="F214" s="54">
        <v>9993.58</v>
      </c>
      <c r="G214" s="10">
        <v>4.13</v>
      </c>
      <c r="H214" s="3"/>
      <c r="I214" s="5">
        <v>3.9</v>
      </c>
    </row>
    <row r="215" spans="1:9" x14ac:dyDescent="0.25">
      <c r="A215" s="1"/>
      <c r="B215" s="2" t="s">
        <v>200</v>
      </c>
      <c r="C215" s="9" t="s">
        <v>32</v>
      </c>
      <c r="D215" s="1"/>
      <c r="E215" s="54">
        <f>182303.93+199927.61</f>
        <v>382231.54</v>
      </c>
      <c r="F215" s="54">
        <f>6874.34+8257.01</f>
        <v>15131.35</v>
      </c>
      <c r="G215" s="10">
        <v>4.13</v>
      </c>
      <c r="H215" s="3"/>
      <c r="I215" s="5">
        <v>24.49</v>
      </c>
    </row>
    <row r="216" spans="1:9" x14ac:dyDescent="0.25">
      <c r="A216" s="1"/>
      <c r="B216" s="2" t="s">
        <v>202</v>
      </c>
      <c r="C216" s="9" t="s">
        <v>38</v>
      </c>
      <c r="D216" s="1"/>
      <c r="E216" s="48">
        <v>221928.75</v>
      </c>
      <c r="F216" s="48">
        <v>8863.2900000000009</v>
      </c>
      <c r="G216" s="10">
        <v>3.55</v>
      </c>
      <c r="H216" s="3"/>
      <c r="I216" s="5">
        <v>3.82</v>
      </c>
    </row>
    <row r="217" spans="1:9" x14ac:dyDescent="0.25">
      <c r="B217" s="1" t="s">
        <v>52</v>
      </c>
      <c r="C217" s="9"/>
      <c r="D217" s="1"/>
      <c r="E217" s="54">
        <f>SUM(E210:E216)</f>
        <v>50000897.519999996</v>
      </c>
      <c r="F217" s="54">
        <f>SUM(F210:F216)</f>
        <v>1191091.9400000002</v>
      </c>
      <c r="G217" s="10"/>
      <c r="H217" s="3"/>
      <c r="I217" s="5"/>
    </row>
    <row r="218" spans="1:9" x14ac:dyDescent="0.25">
      <c r="B218" s="1"/>
      <c r="C218" s="9"/>
      <c r="D218" s="1"/>
      <c r="E218" s="54"/>
      <c r="F218" s="54"/>
      <c r="G218" s="10"/>
      <c r="H218" s="3"/>
      <c r="I218" s="5"/>
    </row>
    <row r="219" spans="1:9" x14ac:dyDescent="0.25">
      <c r="B219" s="1"/>
      <c r="C219" s="9"/>
      <c r="D219" s="1"/>
      <c r="E219" s="54"/>
      <c r="F219" s="54"/>
      <c r="G219" s="10"/>
      <c r="H219" s="3"/>
      <c r="I219" s="5"/>
    </row>
    <row r="220" spans="1:9" x14ac:dyDescent="0.25">
      <c r="B220" s="1"/>
      <c r="C220" s="9"/>
      <c r="D220" s="1"/>
      <c r="E220" s="54"/>
      <c r="F220" s="54"/>
      <c r="G220" s="10"/>
      <c r="H220" s="3"/>
      <c r="I220" s="5"/>
    </row>
    <row r="221" spans="1:9" x14ac:dyDescent="0.25">
      <c r="B221" s="2" t="s">
        <v>172</v>
      </c>
      <c r="C221" s="9"/>
      <c r="D221" s="1"/>
      <c r="E221" s="54"/>
      <c r="F221" s="54"/>
      <c r="G221" s="10"/>
      <c r="H221" s="3"/>
      <c r="I221" s="5"/>
    </row>
    <row r="222" spans="1:9" x14ac:dyDescent="0.25">
      <c r="B222" s="2" t="s">
        <v>139</v>
      </c>
      <c r="C222" s="9" t="s">
        <v>25</v>
      </c>
      <c r="D222" s="1"/>
      <c r="E222" s="54">
        <v>33993049</v>
      </c>
      <c r="F222" s="54">
        <v>119096.74</v>
      </c>
      <c r="G222" s="10">
        <v>1.39</v>
      </c>
      <c r="H222" s="69"/>
      <c r="I222" s="5">
        <v>1.55</v>
      </c>
    </row>
    <row r="223" spans="1:9" x14ac:dyDescent="0.25">
      <c r="B223" s="2" t="s">
        <v>198</v>
      </c>
      <c r="C223" s="9" t="s">
        <v>21</v>
      </c>
      <c r="D223" s="1"/>
      <c r="E223" s="54">
        <v>1887875</v>
      </c>
      <c r="F223" s="54">
        <v>6614.28</v>
      </c>
      <c r="G223" s="10">
        <v>1.39</v>
      </c>
      <c r="H223" s="69"/>
      <c r="I223" s="5">
        <v>1.55</v>
      </c>
    </row>
    <row r="224" spans="1:9" x14ac:dyDescent="0.25">
      <c r="B224" s="2" t="s">
        <v>140</v>
      </c>
      <c r="C224" s="9" t="s">
        <v>22</v>
      </c>
      <c r="D224" s="1"/>
      <c r="E224" s="54">
        <f>65688934.23+5008688.88</f>
        <v>70697623.109999999</v>
      </c>
      <c r="F224" s="54">
        <f>332449.35+1727267.16+8702.6</f>
        <v>2068419.1099999999</v>
      </c>
      <c r="G224" s="10">
        <v>1.39</v>
      </c>
      <c r="H224" s="69"/>
      <c r="I224" s="5">
        <v>1.55</v>
      </c>
    </row>
    <row r="225" spans="1:9" x14ac:dyDescent="0.25">
      <c r="B225" s="2" t="s">
        <v>199</v>
      </c>
      <c r="C225" s="9" t="s">
        <v>5</v>
      </c>
      <c r="D225" s="1"/>
      <c r="E225" s="54">
        <v>9468135</v>
      </c>
      <c r="F225" s="54">
        <v>33172.199999999997</v>
      </c>
      <c r="G225" s="10">
        <v>1.39</v>
      </c>
      <c r="H225" s="69"/>
      <c r="I225" s="5">
        <v>1.55</v>
      </c>
    </row>
    <row r="226" spans="1:9" x14ac:dyDescent="0.25">
      <c r="B226" s="2" t="s">
        <v>201</v>
      </c>
      <c r="C226" s="9" t="s">
        <v>6</v>
      </c>
      <c r="D226" s="1"/>
      <c r="E226" s="64">
        <v>2134388</v>
      </c>
      <c r="F226" s="64">
        <v>7477.96</v>
      </c>
      <c r="G226" s="10">
        <v>1.39</v>
      </c>
      <c r="H226" s="69"/>
      <c r="I226" s="5">
        <v>1.55</v>
      </c>
    </row>
    <row r="227" spans="1:9" x14ac:dyDescent="0.25">
      <c r="B227" s="6" t="s">
        <v>173</v>
      </c>
      <c r="C227" s="9"/>
      <c r="D227" s="1"/>
      <c r="E227" s="54">
        <f>SUM(E222:E226)</f>
        <v>118181070.11</v>
      </c>
      <c r="F227" s="54">
        <f>SUM(F222:F226)</f>
        <v>2234780.29</v>
      </c>
      <c r="G227" s="10"/>
      <c r="H227" s="3"/>
      <c r="I227" s="5"/>
    </row>
    <row r="228" spans="1:9" x14ac:dyDescent="0.25">
      <c r="A228" s="1"/>
      <c r="B228" s="2"/>
      <c r="C228" s="9"/>
      <c r="D228" s="1"/>
      <c r="E228" s="27"/>
      <c r="F228" s="27"/>
      <c r="G228" s="10"/>
      <c r="H228" s="3"/>
      <c r="I228" s="5"/>
    </row>
    <row r="229" spans="1:9" x14ac:dyDescent="0.25">
      <c r="B229" s="1" t="s">
        <v>53</v>
      </c>
      <c r="C229" s="9"/>
      <c r="D229" s="1"/>
      <c r="E229" s="27"/>
      <c r="F229" s="27"/>
      <c r="G229" s="10"/>
      <c r="H229" s="3"/>
      <c r="I229" s="5"/>
    </row>
    <row r="230" spans="1:9" x14ac:dyDescent="0.25">
      <c r="A230" s="1"/>
      <c r="B230" s="2" t="s">
        <v>139</v>
      </c>
      <c r="C230" s="9" t="s">
        <v>25</v>
      </c>
      <c r="D230" s="1"/>
      <c r="E230" s="58">
        <v>3818831.4</v>
      </c>
      <c r="F230" s="58">
        <v>162775</v>
      </c>
      <c r="G230" s="15">
        <v>4</v>
      </c>
      <c r="H230" s="3"/>
      <c r="I230" s="5">
        <v>4.24</v>
      </c>
    </row>
    <row r="231" spans="1:9" x14ac:dyDescent="0.25">
      <c r="A231" s="1"/>
      <c r="B231" s="2" t="s">
        <v>140</v>
      </c>
      <c r="C231" s="9" t="s">
        <v>22</v>
      </c>
      <c r="D231" s="1"/>
      <c r="E231" s="58">
        <v>145368923.69</v>
      </c>
      <c r="F231" s="58">
        <v>6196254.0199999996</v>
      </c>
      <c r="G231" s="15">
        <v>4</v>
      </c>
      <c r="H231" s="3"/>
      <c r="I231" s="5">
        <v>4.24</v>
      </c>
    </row>
    <row r="232" spans="1:9" x14ac:dyDescent="0.25">
      <c r="A232" s="1"/>
      <c r="B232" s="2" t="s">
        <v>199</v>
      </c>
      <c r="C232" s="9" t="s">
        <v>5</v>
      </c>
      <c r="D232" s="1"/>
      <c r="E232" s="58">
        <v>16346021.27</v>
      </c>
      <c r="F232" s="58">
        <v>696737.6</v>
      </c>
      <c r="G232" s="15">
        <v>4</v>
      </c>
      <c r="H232" s="3"/>
      <c r="I232" s="5">
        <v>4.24</v>
      </c>
    </row>
    <row r="233" spans="1:9" x14ac:dyDescent="0.25">
      <c r="A233" s="1"/>
      <c r="B233" s="2" t="s">
        <v>201</v>
      </c>
      <c r="C233" s="9" t="s">
        <v>6</v>
      </c>
      <c r="D233" s="1"/>
      <c r="E233" s="53">
        <v>291115.38</v>
      </c>
      <c r="F233" s="53">
        <v>12262.38</v>
      </c>
      <c r="G233" s="15">
        <v>4</v>
      </c>
      <c r="H233" s="3"/>
      <c r="I233" s="5">
        <v>4.24</v>
      </c>
    </row>
    <row r="234" spans="1:9" x14ac:dyDescent="0.25">
      <c r="B234" s="1" t="s">
        <v>54</v>
      </c>
      <c r="C234" s="9"/>
      <c r="D234" s="1"/>
      <c r="E234" s="47">
        <f>SUM(E230:E233)</f>
        <v>165824891.74000001</v>
      </c>
      <c r="F234" s="47">
        <f>SUM(F230:F233)</f>
        <v>7068028.9999999991</v>
      </c>
      <c r="G234" s="10"/>
      <c r="H234" s="3"/>
      <c r="I234" s="5"/>
    </row>
    <row r="235" spans="1:9" x14ac:dyDescent="0.25">
      <c r="A235" s="1"/>
      <c r="B235" s="2"/>
      <c r="C235" s="9"/>
      <c r="D235" s="1"/>
      <c r="E235" s="27"/>
      <c r="F235" s="27"/>
      <c r="G235" s="10"/>
      <c r="H235" s="3"/>
      <c r="I235" s="5"/>
    </row>
    <row r="236" spans="1:9" x14ac:dyDescent="0.25">
      <c r="B236" s="1" t="s">
        <v>55</v>
      </c>
      <c r="C236" s="9"/>
      <c r="D236" s="1"/>
      <c r="E236" s="27"/>
      <c r="F236" s="27"/>
      <c r="G236" s="10"/>
      <c r="H236" s="3"/>
      <c r="I236" s="5"/>
    </row>
    <row r="237" spans="1:9" x14ac:dyDescent="0.25">
      <c r="A237" s="1"/>
      <c r="B237" s="2" t="s">
        <v>139</v>
      </c>
      <c r="C237" s="9" t="s">
        <v>25</v>
      </c>
      <c r="D237" s="1"/>
      <c r="E237" s="41">
        <v>185229.75</v>
      </c>
      <c r="F237" s="41">
        <v>5815.91</v>
      </c>
      <c r="G237" s="10">
        <v>3.14</v>
      </c>
      <c r="H237" s="3"/>
      <c r="I237" s="5">
        <v>7.69</v>
      </c>
    </row>
    <row r="238" spans="1:9" x14ac:dyDescent="0.25">
      <c r="A238" s="1"/>
      <c r="B238" s="2" t="s">
        <v>198</v>
      </c>
      <c r="C238" s="9" t="s">
        <v>21</v>
      </c>
      <c r="D238" s="1"/>
      <c r="E238" s="41">
        <v>134194.70000000001</v>
      </c>
      <c r="F238" s="41">
        <v>5917.98</v>
      </c>
      <c r="G238" s="10">
        <v>4.41</v>
      </c>
      <c r="H238" s="3"/>
      <c r="I238" s="5">
        <v>5.83</v>
      </c>
    </row>
    <row r="239" spans="1:9" x14ac:dyDescent="0.25">
      <c r="A239" s="1"/>
      <c r="B239" s="2" t="s">
        <v>140</v>
      </c>
      <c r="C239" s="9" t="s">
        <v>22</v>
      </c>
      <c r="D239" s="1"/>
      <c r="E239" s="41">
        <v>41703.33</v>
      </c>
      <c r="F239" s="41">
        <v>2214.4499999999998</v>
      </c>
      <c r="G239" s="10">
        <v>5.31</v>
      </c>
      <c r="H239" s="3"/>
      <c r="I239" s="5">
        <v>7.1</v>
      </c>
    </row>
    <row r="240" spans="1:9" x14ac:dyDescent="0.25">
      <c r="A240" s="1"/>
      <c r="B240" s="2" t="s">
        <v>199</v>
      </c>
      <c r="C240" s="9" t="s">
        <v>5</v>
      </c>
      <c r="D240" s="1"/>
      <c r="E240" s="41">
        <f>177446.17+5695.01</f>
        <v>183141.18000000002</v>
      </c>
      <c r="F240" s="41">
        <f>8180.27+262.54</f>
        <v>8442.8100000000013</v>
      </c>
      <c r="G240" s="10">
        <v>4.6100000000000003</v>
      </c>
      <c r="H240" s="3"/>
      <c r="I240" s="5">
        <v>5.0199999999999996</v>
      </c>
    </row>
    <row r="241" spans="1:9" x14ac:dyDescent="0.25">
      <c r="A241" s="1"/>
      <c r="B241" s="2" t="s">
        <v>201</v>
      </c>
      <c r="C241" s="9" t="s">
        <v>6</v>
      </c>
      <c r="D241" s="1"/>
      <c r="E241" s="47">
        <v>50002.44</v>
      </c>
      <c r="F241" s="47">
        <v>2595.13</v>
      </c>
      <c r="G241" s="10">
        <v>5.19</v>
      </c>
      <c r="H241" s="3"/>
      <c r="I241" s="5">
        <v>5.22</v>
      </c>
    </row>
    <row r="242" spans="1:9" x14ac:dyDescent="0.25">
      <c r="A242" s="1"/>
      <c r="B242" s="2" t="s">
        <v>200</v>
      </c>
      <c r="C242" s="9" t="s">
        <v>32</v>
      </c>
      <c r="D242" s="1"/>
      <c r="E242" s="48">
        <f>82611.12+35292.46+84225.97</f>
        <v>202129.55</v>
      </c>
      <c r="F242" s="48">
        <f>4287.52+1831.68+4047.59</f>
        <v>10166.790000000001</v>
      </c>
      <c r="G242" s="10">
        <v>5.19</v>
      </c>
      <c r="H242" s="3"/>
      <c r="I242" s="5">
        <v>12.61</v>
      </c>
    </row>
    <row r="243" spans="1:9" x14ac:dyDescent="0.25">
      <c r="B243" s="1" t="s">
        <v>56</v>
      </c>
      <c r="C243" s="9"/>
      <c r="D243" s="1"/>
      <c r="E243" s="41">
        <f>SUM(E237:E242)</f>
        <v>796400.95000000019</v>
      </c>
      <c r="F243" s="41">
        <f>SUM(F237:F242)</f>
        <v>35153.070000000007</v>
      </c>
      <c r="G243" s="10"/>
      <c r="H243" s="3"/>
      <c r="I243" s="5"/>
    </row>
    <row r="244" spans="1:9" x14ac:dyDescent="0.25">
      <c r="A244" s="1"/>
      <c r="B244" s="2"/>
      <c r="C244" s="9"/>
      <c r="D244" s="1"/>
      <c r="G244" s="10"/>
      <c r="H244" s="3"/>
      <c r="I244" s="5"/>
    </row>
    <row r="245" spans="1:9" x14ac:dyDescent="0.25">
      <c r="B245" t="s">
        <v>57</v>
      </c>
      <c r="D245" s="1"/>
      <c r="G245" s="10"/>
      <c r="H245" s="3"/>
      <c r="I245" s="5"/>
    </row>
    <row r="246" spans="1:9" x14ac:dyDescent="0.25">
      <c r="A246" s="1"/>
      <c r="B246" s="2" t="s">
        <v>139</v>
      </c>
      <c r="C246" s="9" t="s">
        <v>25</v>
      </c>
      <c r="D246" s="1"/>
      <c r="E246" s="58">
        <v>4325730.13</v>
      </c>
      <c r="F246" s="58">
        <v>131185.54999999999</v>
      </c>
      <c r="G246" s="15">
        <v>4</v>
      </c>
      <c r="H246" s="3"/>
      <c r="I246" s="5">
        <v>4.29</v>
      </c>
    </row>
    <row r="247" spans="1:9" x14ac:dyDescent="0.25">
      <c r="A247" s="1"/>
      <c r="B247" s="2" t="s">
        <v>140</v>
      </c>
      <c r="C247" s="9" t="s">
        <v>22</v>
      </c>
      <c r="D247" s="1"/>
      <c r="E247" s="58">
        <v>300074719.63999999</v>
      </c>
      <c r="F247" s="58">
        <v>9100304.8000000007</v>
      </c>
      <c r="G247" s="15">
        <v>4</v>
      </c>
      <c r="H247" s="3"/>
      <c r="I247" s="5">
        <v>4.2699999999999996</v>
      </c>
    </row>
    <row r="248" spans="1:9" x14ac:dyDescent="0.25">
      <c r="A248" s="1"/>
      <c r="B248" s="2" t="s">
        <v>199</v>
      </c>
      <c r="C248" s="9" t="s">
        <v>5</v>
      </c>
      <c r="D248" s="1"/>
      <c r="E248" s="53">
        <v>33733415.219999999</v>
      </c>
      <c r="F248" s="53">
        <v>1023026.42</v>
      </c>
      <c r="G248" s="15">
        <v>4</v>
      </c>
      <c r="H248" s="3"/>
      <c r="I248" s="5">
        <v>4.29</v>
      </c>
    </row>
    <row r="249" spans="1:9" x14ac:dyDescent="0.25">
      <c r="A249" s="1"/>
      <c r="B249" s="6" t="s">
        <v>124</v>
      </c>
      <c r="C249" s="9"/>
      <c r="D249" s="1"/>
      <c r="E249" s="41">
        <f>SUM(E246:E248)</f>
        <v>338133864.99000001</v>
      </c>
      <c r="F249" s="41">
        <f>SUM(F246:F248)</f>
        <v>10254516.770000001</v>
      </c>
      <c r="G249" s="15"/>
      <c r="H249" s="3"/>
      <c r="I249" s="5"/>
    </row>
    <row r="251" spans="1:9" x14ac:dyDescent="0.25">
      <c r="A251" s="2"/>
      <c r="B251" s="35" t="s">
        <v>58</v>
      </c>
      <c r="C251" s="9"/>
      <c r="D251" s="1"/>
      <c r="E251" s="56">
        <f>E179+E192+E198+E207+E217+E227+E234+E243+E249</f>
        <v>826739144.85000002</v>
      </c>
      <c r="F251" s="56">
        <f>F179+F192+F198+F207+F217+F227+F234+F243+F249</f>
        <v>24892307.969999999</v>
      </c>
      <c r="G251" s="16"/>
      <c r="H251" s="3"/>
      <c r="I251" s="5"/>
    </row>
    <row r="252" spans="1:9" x14ac:dyDescent="0.25">
      <c r="A252" s="2"/>
      <c r="B252" s="35"/>
      <c r="C252" s="9"/>
      <c r="D252" s="1"/>
      <c r="E252" s="56"/>
      <c r="F252" s="56"/>
      <c r="G252" s="16"/>
      <c r="H252" s="3"/>
      <c r="I252" s="5"/>
    </row>
    <row r="253" spans="1:9" x14ac:dyDescent="0.25">
      <c r="A253" s="2"/>
      <c r="B253" s="35"/>
      <c r="C253" s="9"/>
      <c r="D253" s="1"/>
      <c r="E253" s="56"/>
      <c r="F253" s="56"/>
      <c r="G253" s="16"/>
      <c r="H253" s="3"/>
      <c r="I253" s="5"/>
    </row>
    <row r="254" spans="1:9" x14ac:dyDescent="0.25">
      <c r="A254" s="2"/>
      <c r="B254" s="35"/>
      <c r="C254" s="9"/>
      <c r="D254" s="1"/>
      <c r="E254" s="56"/>
      <c r="F254" s="56"/>
      <c r="G254" s="16"/>
      <c r="H254" s="3"/>
      <c r="I254" s="5"/>
    </row>
    <row r="255" spans="1:9" x14ac:dyDescent="0.25">
      <c r="A255" s="2"/>
      <c r="B255" s="2"/>
      <c r="C255" s="9"/>
      <c r="D255" s="1"/>
      <c r="E255" s="27"/>
      <c r="F255" s="27"/>
      <c r="G255" s="16"/>
      <c r="H255" s="3"/>
      <c r="I255" s="5"/>
    </row>
    <row r="256" spans="1:9" x14ac:dyDescent="0.25">
      <c r="A256" s="2"/>
      <c r="B256" s="2"/>
      <c r="C256" s="9"/>
      <c r="D256" s="1"/>
      <c r="E256" s="27"/>
      <c r="F256" s="27"/>
      <c r="G256" s="16"/>
      <c r="H256" s="3"/>
      <c r="I256" s="5"/>
    </row>
    <row r="257" spans="1:9" x14ac:dyDescent="0.25">
      <c r="A257" s="35" t="s">
        <v>59</v>
      </c>
      <c r="C257" s="9"/>
      <c r="D257" s="7"/>
      <c r="E257" s="51"/>
      <c r="F257" s="51"/>
      <c r="G257" s="16"/>
      <c r="H257" s="1"/>
      <c r="I257" s="5"/>
    </row>
    <row r="258" spans="1:9" x14ac:dyDescent="0.25">
      <c r="A258" s="35"/>
      <c r="B258" s="1" t="s">
        <v>340</v>
      </c>
      <c r="C258" s="9"/>
      <c r="D258" s="1"/>
      <c r="E258" s="47"/>
      <c r="F258" s="72"/>
      <c r="G258" s="16"/>
      <c r="H258" s="1"/>
      <c r="I258" s="5"/>
    </row>
    <row r="259" spans="1:9" x14ac:dyDescent="0.25">
      <c r="A259" s="35"/>
      <c r="B259" s="2" t="s">
        <v>203</v>
      </c>
      <c r="C259" s="9" t="s">
        <v>38</v>
      </c>
      <c r="D259" s="1"/>
      <c r="E259" s="47">
        <v>685926.52</v>
      </c>
      <c r="F259" s="72">
        <v>17010.98</v>
      </c>
      <c r="G259" s="10">
        <v>2.48</v>
      </c>
      <c r="H259" s="69"/>
      <c r="I259" s="10">
        <v>1.9</v>
      </c>
    </row>
    <row r="260" spans="1:9" x14ac:dyDescent="0.25">
      <c r="A260" s="35"/>
      <c r="B260" s="2" t="s">
        <v>205</v>
      </c>
      <c r="C260" s="9" t="s">
        <v>60</v>
      </c>
      <c r="D260" s="1"/>
      <c r="E260" s="47">
        <v>1231130.94</v>
      </c>
      <c r="F260" s="72">
        <v>34964.11</v>
      </c>
      <c r="G260" s="10">
        <v>2.84</v>
      </c>
      <c r="H260" s="69"/>
      <c r="I260" s="10">
        <v>2.11</v>
      </c>
    </row>
    <row r="261" spans="1:9" x14ac:dyDescent="0.25">
      <c r="A261" s="35"/>
      <c r="B261" s="2" t="s">
        <v>206</v>
      </c>
      <c r="C261" s="9" t="s">
        <v>61</v>
      </c>
      <c r="D261" s="1"/>
      <c r="E261" s="47">
        <v>14474342.560000001</v>
      </c>
      <c r="F261" s="72">
        <v>374885.47</v>
      </c>
      <c r="G261" s="10">
        <v>2.59</v>
      </c>
      <c r="H261" s="69"/>
      <c r="I261" s="10">
        <v>1.67</v>
      </c>
    </row>
    <row r="262" spans="1:9" x14ac:dyDescent="0.25">
      <c r="A262" s="35"/>
      <c r="B262" s="2" t="s">
        <v>207</v>
      </c>
      <c r="C262" s="9" t="s">
        <v>62</v>
      </c>
      <c r="D262" s="1"/>
      <c r="E262" s="47">
        <v>49006.68</v>
      </c>
      <c r="F262" s="72">
        <v>774.31</v>
      </c>
      <c r="G262" s="10">
        <v>1.58</v>
      </c>
      <c r="H262" s="69"/>
      <c r="I262" s="10">
        <v>3.31</v>
      </c>
    </row>
    <row r="263" spans="1:9" x14ac:dyDescent="0.25">
      <c r="A263" s="35"/>
      <c r="B263" s="2" t="s">
        <v>208</v>
      </c>
      <c r="C263" s="9" t="s">
        <v>63</v>
      </c>
      <c r="D263" s="1"/>
      <c r="E263" s="47">
        <v>13158152.710000001</v>
      </c>
      <c r="F263" s="72">
        <v>369744.1</v>
      </c>
      <c r="G263" s="10">
        <v>2.81</v>
      </c>
      <c r="H263" s="69"/>
      <c r="I263" s="10">
        <v>2.11</v>
      </c>
    </row>
    <row r="264" spans="1:9" x14ac:dyDescent="0.25">
      <c r="A264" s="35"/>
      <c r="B264" s="2" t="s">
        <v>210</v>
      </c>
      <c r="C264" s="9" t="s">
        <v>65</v>
      </c>
      <c r="D264" s="1"/>
      <c r="E264" s="48">
        <v>113968.39</v>
      </c>
      <c r="F264" s="73">
        <v>2872</v>
      </c>
      <c r="G264" s="10">
        <v>2.52</v>
      </c>
      <c r="H264" s="69"/>
      <c r="I264" s="10">
        <v>1.43</v>
      </c>
    </row>
    <row r="265" spans="1:9" x14ac:dyDescent="0.25">
      <c r="A265" s="35"/>
      <c r="B265" s="1" t="s">
        <v>9</v>
      </c>
      <c r="C265" s="9"/>
      <c r="D265" s="1"/>
      <c r="E265" s="47">
        <f>SUM(E259:E264)</f>
        <v>29712527.800000001</v>
      </c>
      <c r="F265" s="47">
        <f>SUM(F259:F264)</f>
        <v>800250.97</v>
      </c>
      <c r="G265" s="16"/>
      <c r="H265" s="1"/>
      <c r="I265" s="5"/>
    </row>
    <row r="266" spans="1:9" x14ac:dyDescent="0.25">
      <c r="A266" s="35"/>
      <c r="C266" s="9"/>
      <c r="D266" s="7"/>
      <c r="E266" s="51"/>
      <c r="F266" s="72"/>
      <c r="G266" s="16"/>
      <c r="H266" s="1"/>
      <c r="I266" s="5"/>
    </row>
    <row r="267" spans="1:9" x14ac:dyDescent="0.25">
      <c r="A267" s="35"/>
      <c r="B267" s="1" t="s">
        <v>341</v>
      </c>
      <c r="C267" s="9"/>
      <c r="D267" s="1"/>
      <c r="E267" s="47"/>
      <c r="F267" s="72"/>
      <c r="G267" s="16"/>
      <c r="H267" s="1"/>
      <c r="I267" s="5"/>
    </row>
    <row r="268" spans="1:9" x14ac:dyDescent="0.25">
      <c r="A268" s="35"/>
      <c r="B268" s="2" t="s">
        <v>203</v>
      </c>
      <c r="C268" s="9" t="s">
        <v>38</v>
      </c>
      <c r="D268" s="1"/>
      <c r="E268" s="47">
        <v>1071124.0900000001</v>
      </c>
      <c r="F268" s="72">
        <v>27313.65</v>
      </c>
      <c r="G268" s="10">
        <v>2.5499999999999998</v>
      </c>
      <c r="H268" s="69"/>
      <c r="I268" s="10">
        <v>1.9</v>
      </c>
    </row>
    <row r="269" spans="1:9" x14ac:dyDescent="0.25">
      <c r="A269" s="35"/>
      <c r="B269" s="2" t="s">
        <v>204</v>
      </c>
      <c r="C269" s="9" t="s">
        <v>25</v>
      </c>
      <c r="D269" s="1"/>
      <c r="E269" s="47">
        <v>496711.33</v>
      </c>
      <c r="F269" s="72">
        <v>12169.43</v>
      </c>
      <c r="G269" s="10">
        <v>2.4500000000000002</v>
      </c>
      <c r="H269" s="69"/>
      <c r="I269" s="10">
        <v>1.7</v>
      </c>
    </row>
    <row r="270" spans="1:9" x14ac:dyDescent="0.25">
      <c r="A270" s="35"/>
      <c r="B270" s="2" t="s">
        <v>205</v>
      </c>
      <c r="C270" s="9" t="s">
        <v>60</v>
      </c>
      <c r="D270" s="1"/>
      <c r="E270" s="47">
        <v>18236494.25</v>
      </c>
      <c r="F270" s="72">
        <v>594545.43999999994</v>
      </c>
      <c r="G270" s="10">
        <v>3.27</v>
      </c>
      <c r="H270" s="69"/>
      <c r="I270" s="10">
        <v>2.11</v>
      </c>
    </row>
    <row r="271" spans="1:9" x14ac:dyDescent="0.25">
      <c r="A271" s="35"/>
      <c r="B271" s="2" t="s">
        <v>206</v>
      </c>
      <c r="C271" s="9" t="s">
        <v>61</v>
      </c>
      <c r="D271" s="1"/>
      <c r="E271" s="47">
        <v>20523133.629999999</v>
      </c>
      <c r="F271" s="72">
        <v>543710.62</v>
      </c>
      <c r="G271" s="10">
        <v>2.65</v>
      </c>
      <c r="H271" s="69"/>
      <c r="I271" s="10">
        <v>1.67</v>
      </c>
    </row>
    <row r="272" spans="1:9" x14ac:dyDescent="0.25">
      <c r="A272" s="35"/>
      <c r="B272" s="2" t="s">
        <v>207</v>
      </c>
      <c r="C272" s="9" t="s">
        <v>62</v>
      </c>
      <c r="D272" s="1"/>
      <c r="E272" s="47">
        <v>88691.66</v>
      </c>
      <c r="F272" s="72">
        <v>2385.8000000000002</v>
      </c>
      <c r="G272" s="10">
        <v>2.69</v>
      </c>
      <c r="H272" s="69"/>
      <c r="I272" s="10">
        <v>3.31</v>
      </c>
    </row>
    <row r="273" spans="1:9" x14ac:dyDescent="0.25">
      <c r="A273" s="35"/>
      <c r="B273" s="2" t="s">
        <v>208</v>
      </c>
      <c r="C273" s="9" t="s">
        <v>63</v>
      </c>
      <c r="D273" s="1"/>
      <c r="E273" s="47">
        <v>19991225.77</v>
      </c>
      <c r="F273" s="72">
        <v>571749.06000000006</v>
      </c>
      <c r="G273" s="10">
        <v>2.86</v>
      </c>
      <c r="H273" s="69"/>
      <c r="I273" s="10">
        <v>2.11</v>
      </c>
    </row>
    <row r="274" spans="1:9" x14ac:dyDescent="0.25">
      <c r="A274" s="35"/>
      <c r="B274" s="2" t="s">
        <v>210</v>
      </c>
      <c r="C274" s="9" t="s">
        <v>65</v>
      </c>
      <c r="D274" s="1"/>
      <c r="E274" s="48">
        <v>341015.23</v>
      </c>
      <c r="F274" s="73">
        <v>8729.99</v>
      </c>
      <c r="G274" s="10">
        <v>2.56</v>
      </c>
      <c r="H274" s="69"/>
      <c r="I274" s="10">
        <v>1.43</v>
      </c>
    </row>
    <row r="275" spans="1:9" x14ac:dyDescent="0.25">
      <c r="A275" s="35"/>
      <c r="B275" s="1" t="s">
        <v>17</v>
      </c>
      <c r="C275" s="9"/>
      <c r="D275" s="1"/>
      <c r="E275" s="47">
        <f>SUM(E268:E274)</f>
        <v>60748395.959999986</v>
      </c>
      <c r="F275" s="47">
        <f>SUM(F268:F274)</f>
        <v>1760603.99</v>
      </c>
      <c r="G275" s="16"/>
      <c r="H275" s="1"/>
      <c r="I275" s="5"/>
    </row>
    <row r="276" spans="1:9" x14ac:dyDescent="0.25">
      <c r="A276" s="35"/>
      <c r="C276" s="9"/>
      <c r="D276" s="7"/>
      <c r="E276" s="51"/>
      <c r="F276" s="72"/>
      <c r="G276" s="16"/>
      <c r="H276" s="1"/>
      <c r="I276" s="5"/>
    </row>
    <row r="277" spans="1:9" x14ac:dyDescent="0.25">
      <c r="A277" s="35"/>
      <c r="B277" s="26" t="s">
        <v>49</v>
      </c>
      <c r="C277" s="9"/>
      <c r="D277" s="7"/>
      <c r="E277" s="51"/>
      <c r="F277" s="72"/>
      <c r="G277" s="16"/>
      <c r="H277" s="1"/>
      <c r="I277" s="5"/>
    </row>
    <row r="278" spans="1:9" x14ac:dyDescent="0.25">
      <c r="A278" s="35"/>
      <c r="B278" s="26" t="s">
        <v>205</v>
      </c>
      <c r="C278" s="9" t="s">
        <v>60</v>
      </c>
      <c r="D278" s="7"/>
      <c r="E278" s="72">
        <v>5035074.58</v>
      </c>
      <c r="F278" s="72">
        <v>167667.98000000001</v>
      </c>
      <c r="G278" s="10">
        <v>3.33</v>
      </c>
      <c r="H278" s="69"/>
      <c r="I278" s="10">
        <v>2.11</v>
      </c>
    </row>
    <row r="279" spans="1:9" x14ac:dyDescent="0.25">
      <c r="A279" s="35"/>
      <c r="B279" s="26" t="s">
        <v>209</v>
      </c>
      <c r="C279" s="9" t="s">
        <v>64</v>
      </c>
      <c r="D279" s="7"/>
      <c r="E279" s="73">
        <v>3475100.76</v>
      </c>
      <c r="F279" s="73">
        <v>115720.85</v>
      </c>
      <c r="G279" s="10">
        <v>3.33</v>
      </c>
      <c r="H279" s="69"/>
      <c r="I279" s="10">
        <v>1.92</v>
      </c>
    </row>
    <row r="280" spans="1:9" x14ac:dyDescent="0.25">
      <c r="A280" s="35"/>
      <c r="B280" s="70" t="s">
        <v>50</v>
      </c>
      <c r="C280" s="9"/>
      <c r="D280" s="7"/>
      <c r="E280" s="72">
        <f>SUM(E278:E279)</f>
        <v>8510175.3399999999</v>
      </c>
      <c r="F280" s="72">
        <f>SUM(F278:F279)</f>
        <v>283388.83</v>
      </c>
      <c r="G280" s="16"/>
      <c r="H280" s="1"/>
      <c r="I280" s="5"/>
    </row>
    <row r="281" spans="1:9" x14ac:dyDescent="0.25">
      <c r="A281" s="35"/>
      <c r="C281" s="9"/>
      <c r="D281" s="7"/>
      <c r="E281" s="51"/>
      <c r="F281" s="72"/>
      <c r="G281" s="16"/>
      <c r="H281" s="1"/>
      <c r="I281" s="5"/>
    </row>
    <row r="282" spans="1:9" x14ac:dyDescent="0.25">
      <c r="A282" s="35"/>
      <c r="B282" s="70" t="s">
        <v>343</v>
      </c>
      <c r="C282" s="9"/>
      <c r="D282" s="7"/>
      <c r="E282" s="51"/>
      <c r="F282" s="72"/>
      <c r="G282" s="16"/>
      <c r="H282" s="1"/>
      <c r="I282" s="5"/>
    </row>
    <row r="283" spans="1:9" x14ac:dyDescent="0.25">
      <c r="A283" s="35"/>
      <c r="B283" s="2" t="s">
        <v>203</v>
      </c>
      <c r="C283" s="9" t="s">
        <v>38</v>
      </c>
      <c r="D283" s="1"/>
      <c r="E283" s="80">
        <f>3257977.8+158440.68</f>
        <v>3416418.48</v>
      </c>
      <c r="F283" s="72">
        <f>61754.65+1144.75</f>
        <v>62899.4</v>
      </c>
      <c r="G283" s="10">
        <v>1.82</v>
      </c>
      <c r="H283" s="69"/>
      <c r="I283" s="10">
        <v>1.9</v>
      </c>
    </row>
    <row r="284" spans="1:9" x14ac:dyDescent="0.25">
      <c r="A284" s="35"/>
      <c r="B284" s="2" t="s">
        <v>204</v>
      </c>
      <c r="C284" s="9" t="s">
        <v>25</v>
      </c>
      <c r="D284" s="1"/>
      <c r="E284" s="80">
        <v>552646.63</v>
      </c>
      <c r="F284" s="72">
        <v>9509.0499999999993</v>
      </c>
      <c r="G284" s="10">
        <v>1.74</v>
      </c>
      <c r="H284" s="69"/>
      <c r="I284" s="10">
        <v>1.7</v>
      </c>
    </row>
    <row r="285" spans="1:9" x14ac:dyDescent="0.25">
      <c r="A285" s="35"/>
      <c r="B285" s="2" t="s">
        <v>205</v>
      </c>
      <c r="C285" s="9" t="s">
        <v>60</v>
      </c>
      <c r="D285" s="1"/>
      <c r="E285" s="80">
        <v>42507584.039999999</v>
      </c>
      <c r="F285" s="72">
        <f>825759.36-11637.64</f>
        <v>814121.72</v>
      </c>
      <c r="G285" s="10">
        <v>2.13</v>
      </c>
      <c r="H285" s="69"/>
      <c r="I285" s="10">
        <v>2.11</v>
      </c>
    </row>
    <row r="286" spans="1:9" x14ac:dyDescent="0.25">
      <c r="A286" s="35"/>
      <c r="B286" s="2" t="s">
        <v>206</v>
      </c>
      <c r="C286" s="9" t="s">
        <v>61</v>
      </c>
      <c r="D286" s="1"/>
      <c r="E286" s="80">
        <f>4581202.65+4348.94+5260110.29</f>
        <v>9845661.8800000008</v>
      </c>
      <c r="F286" s="72">
        <f>89065.38+85.24+114897.54</f>
        <v>204048.16</v>
      </c>
      <c r="G286" s="10">
        <v>1.96</v>
      </c>
      <c r="H286" s="69"/>
      <c r="I286" s="10">
        <v>1.67</v>
      </c>
    </row>
    <row r="287" spans="1:9" x14ac:dyDescent="0.25">
      <c r="A287" s="35"/>
      <c r="B287" s="2" t="s">
        <v>207</v>
      </c>
      <c r="C287" s="9" t="s">
        <v>62</v>
      </c>
      <c r="D287" s="1"/>
      <c r="E287" s="80">
        <f>24604406.32+376519.6</f>
        <v>24980925.920000002</v>
      </c>
      <c r="F287" s="72">
        <f>564383.11+9232.63+5378.37</f>
        <v>578994.11</v>
      </c>
      <c r="G287" s="10">
        <v>2.44</v>
      </c>
      <c r="H287" s="69"/>
      <c r="I287" s="10">
        <v>3.31</v>
      </c>
    </row>
    <row r="288" spans="1:9" x14ac:dyDescent="0.25">
      <c r="A288" s="35"/>
      <c r="B288" s="2" t="s">
        <v>208</v>
      </c>
      <c r="C288" s="9" t="s">
        <v>63</v>
      </c>
      <c r="D288" s="1"/>
      <c r="E288" s="80">
        <f>33445814.6+9909.89+147812.44</f>
        <v>33603536.93</v>
      </c>
      <c r="F288" s="72">
        <f>2363.01+828633.47+242.5+3616.84</f>
        <v>834855.82</v>
      </c>
      <c r="G288" s="10">
        <v>2.61</v>
      </c>
      <c r="H288" s="69"/>
      <c r="I288" s="10">
        <v>2.11</v>
      </c>
    </row>
    <row r="289" spans="1:9" x14ac:dyDescent="0.25">
      <c r="A289" s="35"/>
      <c r="B289" s="2" t="s">
        <v>210</v>
      </c>
      <c r="C289" s="9" t="s">
        <v>65</v>
      </c>
      <c r="D289" s="1"/>
      <c r="E289" s="81">
        <f>91072.01+926.18</f>
        <v>91998.189999999988</v>
      </c>
      <c r="F289" s="73">
        <f>975.06+9.29</f>
        <v>984.34999999999991</v>
      </c>
      <c r="G289" s="10">
        <v>1.07</v>
      </c>
      <c r="H289" s="69"/>
      <c r="I289" s="10">
        <v>1.43</v>
      </c>
    </row>
    <row r="290" spans="1:9" x14ac:dyDescent="0.25">
      <c r="A290" s="35"/>
      <c r="B290" s="70" t="s">
        <v>344</v>
      </c>
      <c r="C290" s="9"/>
      <c r="D290" s="7"/>
      <c r="E290" s="27">
        <f>SUM(E283:E289)</f>
        <v>114998772.06999999</v>
      </c>
      <c r="F290" s="27">
        <f>SUM(F283:F289)</f>
        <v>2505412.61</v>
      </c>
      <c r="G290" s="16"/>
      <c r="H290" s="1"/>
      <c r="I290" s="5"/>
    </row>
    <row r="291" spans="1:9" x14ac:dyDescent="0.25">
      <c r="A291" s="35"/>
      <c r="C291" s="9"/>
      <c r="D291" s="7"/>
      <c r="E291" s="71"/>
      <c r="F291" s="72"/>
      <c r="G291" s="16"/>
      <c r="H291" s="1"/>
      <c r="I291" s="5"/>
    </row>
    <row r="292" spans="1:9" x14ac:dyDescent="0.25">
      <c r="A292" s="35"/>
      <c r="C292" s="9"/>
      <c r="D292" s="7"/>
      <c r="E292" s="71"/>
      <c r="F292" s="72"/>
      <c r="G292" s="16"/>
      <c r="H292" s="1"/>
      <c r="I292" s="5"/>
    </row>
    <row r="293" spans="1:9" s="34" customFormat="1" x14ac:dyDescent="0.25">
      <c r="A293" s="75"/>
      <c r="B293" s="79" t="s">
        <v>345</v>
      </c>
      <c r="C293" s="9"/>
      <c r="D293" s="77"/>
      <c r="E293" s="82"/>
      <c r="F293" s="72"/>
      <c r="G293" s="16"/>
      <c r="H293" s="9"/>
      <c r="I293" s="37"/>
    </row>
    <row r="294" spans="1:9" s="34" customFormat="1" x14ac:dyDescent="0.25">
      <c r="A294" s="75"/>
      <c r="B294" s="2" t="s">
        <v>206</v>
      </c>
      <c r="C294" s="9" t="s">
        <v>61</v>
      </c>
      <c r="D294" s="77"/>
      <c r="E294" s="82">
        <v>5744097.4199999999</v>
      </c>
      <c r="F294" s="72">
        <v>106840.21</v>
      </c>
      <c r="G294" s="10">
        <v>1.86</v>
      </c>
      <c r="H294" s="69"/>
      <c r="I294" s="10">
        <v>1.67</v>
      </c>
    </row>
    <row r="295" spans="1:9" s="34" customFormat="1" x14ac:dyDescent="0.25">
      <c r="A295" s="75"/>
      <c r="B295" s="2" t="s">
        <v>207</v>
      </c>
      <c r="C295" s="9" t="s">
        <v>62</v>
      </c>
      <c r="D295" s="77"/>
      <c r="E295" s="82">
        <f>3398684.89+11219.23</f>
        <v>3409904.12</v>
      </c>
      <c r="F295" s="72">
        <f>87686.07+289.46</f>
        <v>87975.530000000013</v>
      </c>
      <c r="G295" s="10">
        <v>2.58</v>
      </c>
      <c r="H295" s="69"/>
      <c r="I295" s="10">
        <v>3.31</v>
      </c>
    </row>
    <row r="296" spans="1:9" s="34" customFormat="1" x14ac:dyDescent="0.25">
      <c r="A296" s="75"/>
      <c r="B296" s="2" t="s">
        <v>208</v>
      </c>
      <c r="C296" s="9" t="s">
        <v>63</v>
      </c>
      <c r="D296" s="77"/>
      <c r="E296" s="83">
        <f>5142698.77+7460098.76</f>
        <v>12602797.529999999</v>
      </c>
      <c r="F296" s="73">
        <f>133710.17+193962.57</f>
        <v>327672.74</v>
      </c>
      <c r="G296" s="10">
        <v>2.6</v>
      </c>
      <c r="H296" s="69"/>
      <c r="I296" s="10">
        <v>2.11</v>
      </c>
    </row>
    <row r="297" spans="1:9" s="34" customFormat="1" x14ac:dyDescent="0.25">
      <c r="A297" s="75"/>
      <c r="B297" s="79" t="s">
        <v>346</v>
      </c>
      <c r="C297" s="9"/>
      <c r="D297" s="77"/>
      <c r="E297" s="82">
        <f>SUM(E294:E296)</f>
        <v>21756799.07</v>
      </c>
      <c r="F297" s="82">
        <f>SUM(F294:F296)</f>
        <v>522488.48</v>
      </c>
      <c r="G297" s="78"/>
      <c r="H297" s="9"/>
      <c r="I297" s="37"/>
    </row>
    <row r="298" spans="1:9" s="34" customFormat="1" x14ac:dyDescent="0.25">
      <c r="A298" s="75"/>
      <c r="B298" s="76"/>
      <c r="C298" s="9"/>
      <c r="D298" s="77"/>
      <c r="E298" s="82"/>
      <c r="F298" s="72"/>
      <c r="G298" s="78"/>
      <c r="H298" s="9"/>
      <c r="I298" s="37"/>
    </row>
    <row r="299" spans="1:9" s="34" customFormat="1" x14ac:dyDescent="0.25">
      <c r="A299" s="75"/>
      <c r="B299" s="79" t="s">
        <v>347</v>
      </c>
      <c r="C299" s="9"/>
      <c r="D299" s="77"/>
      <c r="E299" s="82"/>
      <c r="F299" s="72"/>
      <c r="G299" s="78"/>
      <c r="H299" s="9"/>
      <c r="I299" s="37"/>
    </row>
    <row r="300" spans="1:9" s="34" customFormat="1" x14ac:dyDescent="0.25">
      <c r="A300" s="75"/>
      <c r="B300" s="2" t="s">
        <v>204</v>
      </c>
      <c r="C300" s="9" t="s">
        <v>25</v>
      </c>
      <c r="D300" s="77"/>
      <c r="E300" s="82">
        <v>1276263.6599999999</v>
      </c>
      <c r="F300" s="72">
        <v>22845.119999999999</v>
      </c>
      <c r="G300" s="10">
        <v>1.79</v>
      </c>
      <c r="H300" s="69"/>
      <c r="I300" s="10">
        <v>1.7</v>
      </c>
    </row>
    <row r="301" spans="1:9" s="34" customFormat="1" x14ac:dyDescent="0.25">
      <c r="A301" s="75"/>
      <c r="B301" s="2" t="s">
        <v>205</v>
      </c>
      <c r="C301" s="9" t="s">
        <v>60</v>
      </c>
      <c r="D301" s="77"/>
      <c r="E301" s="82">
        <v>32112111.41</v>
      </c>
      <c r="F301" s="72">
        <v>740331.21</v>
      </c>
      <c r="G301" s="10">
        <v>2.2999999999999998</v>
      </c>
      <c r="H301" s="69"/>
      <c r="I301" s="10">
        <v>2.11</v>
      </c>
    </row>
    <row r="302" spans="1:9" s="34" customFormat="1" x14ac:dyDescent="0.25">
      <c r="A302" s="75"/>
      <c r="B302" s="2" t="s">
        <v>206</v>
      </c>
      <c r="C302" s="9" t="s">
        <v>61</v>
      </c>
      <c r="D302" s="77"/>
      <c r="E302" s="82">
        <v>22781416.949999999</v>
      </c>
      <c r="F302" s="72">
        <v>430568.78</v>
      </c>
      <c r="G302" s="10">
        <v>1.89</v>
      </c>
      <c r="H302" s="69"/>
      <c r="I302" s="10">
        <v>1.67</v>
      </c>
    </row>
    <row r="303" spans="1:9" s="34" customFormat="1" x14ac:dyDescent="0.25">
      <c r="A303" s="75"/>
      <c r="B303" s="2" t="s">
        <v>207</v>
      </c>
      <c r="C303" s="9" t="s">
        <v>62</v>
      </c>
      <c r="D303" s="77"/>
      <c r="E303" s="82">
        <v>204200</v>
      </c>
      <c r="F303" s="72">
        <v>5268.36</v>
      </c>
      <c r="G303" s="10">
        <v>2.58</v>
      </c>
      <c r="H303" s="69"/>
      <c r="I303" s="10">
        <v>3.31</v>
      </c>
    </row>
    <row r="304" spans="1:9" s="34" customFormat="1" x14ac:dyDescent="0.25">
      <c r="A304" s="75"/>
      <c r="B304" s="2" t="s">
        <v>208</v>
      </c>
      <c r="C304" s="9" t="s">
        <v>63</v>
      </c>
      <c r="D304" s="77"/>
      <c r="E304" s="82">
        <f>23498183.48+205.53</f>
        <v>23498389.010000002</v>
      </c>
      <c r="F304" s="72">
        <f>610952.77+5.34</f>
        <v>610958.11</v>
      </c>
      <c r="G304" s="10">
        <v>2.6</v>
      </c>
      <c r="H304" s="69"/>
      <c r="I304" s="10">
        <v>2.11</v>
      </c>
    </row>
    <row r="305" spans="1:9" s="34" customFormat="1" x14ac:dyDescent="0.25">
      <c r="A305" s="75"/>
      <c r="B305" s="2" t="s">
        <v>210</v>
      </c>
      <c r="C305" s="9" t="s">
        <v>65</v>
      </c>
      <c r="D305" s="77"/>
      <c r="E305" s="83">
        <v>59215.29</v>
      </c>
      <c r="F305" s="73">
        <v>627.69000000000005</v>
      </c>
      <c r="G305" s="10">
        <v>1.06</v>
      </c>
      <c r="H305" s="69"/>
      <c r="I305" s="10">
        <v>1.43</v>
      </c>
    </row>
    <row r="306" spans="1:9" s="34" customFormat="1" x14ac:dyDescent="0.25">
      <c r="A306" s="75"/>
      <c r="B306" s="79" t="s">
        <v>348</v>
      </c>
      <c r="C306" s="9"/>
      <c r="D306" s="77"/>
      <c r="E306" s="82">
        <f>SUM(E300:E305)</f>
        <v>79931596.320000008</v>
      </c>
      <c r="F306" s="82">
        <f>SUM(F300:F305)</f>
        <v>1810599.27</v>
      </c>
      <c r="G306" s="78"/>
      <c r="H306" s="9"/>
      <c r="I306" s="37"/>
    </row>
    <row r="307" spans="1:9" s="34" customFormat="1" x14ac:dyDescent="0.25">
      <c r="A307" s="75"/>
      <c r="B307" s="76"/>
      <c r="C307" s="9"/>
      <c r="D307" s="77"/>
      <c r="E307" s="82"/>
      <c r="F307" s="72"/>
      <c r="G307" s="78"/>
      <c r="H307" s="9"/>
      <c r="I307" s="37"/>
    </row>
    <row r="308" spans="1:9" s="34" customFormat="1" x14ac:dyDescent="0.25">
      <c r="A308" s="75"/>
      <c r="B308" s="79" t="s">
        <v>57</v>
      </c>
      <c r="C308" s="9"/>
      <c r="D308" s="77"/>
      <c r="E308" s="74"/>
      <c r="F308" s="72"/>
      <c r="G308" s="78"/>
      <c r="H308" s="9"/>
      <c r="I308" s="37"/>
    </row>
    <row r="309" spans="1:9" s="34" customFormat="1" x14ac:dyDescent="0.25">
      <c r="A309" s="75"/>
      <c r="B309" s="2" t="s">
        <v>203</v>
      </c>
      <c r="C309" s="9" t="s">
        <v>38</v>
      </c>
      <c r="D309" s="77"/>
      <c r="E309" s="72">
        <v>139300</v>
      </c>
      <c r="F309" s="72">
        <v>887.34</v>
      </c>
      <c r="G309" s="10">
        <v>1.82</v>
      </c>
      <c r="H309" s="69"/>
      <c r="I309" s="10">
        <v>1.9</v>
      </c>
    </row>
    <row r="310" spans="1:9" s="34" customFormat="1" x14ac:dyDescent="0.25">
      <c r="A310" s="75"/>
      <c r="B310" s="2" t="s">
        <v>205</v>
      </c>
      <c r="C310" s="9" t="s">
        <v>60</v>
      </c>
      <c r="D310" s="77"/>
      <c r="E310" s="72">
        <f>3597451.99+8279151.62</f>
        <v>11876603.609999999</v>
      </c>
      <c r="F310" s="72">
        <f>139936.09+137423.45</f>
        <v>277359.54000000004</v>
      </c>
      <c r="G310" s="10">
        <v>2.13</v>
      </c>
      <c r="H310" s="69"/>
      <c r="I310" s="10">
        <v>2.11</v>
      </c>
    </row>
    <row r="311" spans="1:9" s="34" customFormat="1" x14ac:dyDescent="0.25">
      <c r="A311" s="75"/>
      <c r="B311" s="2" t="s">
        <v>207</v>
      </c>
      <c r="C311" s="9" t="s">
        <v>62</v>
      </c>
      <c r="D311" s="77"/>
      <c r="E311" s="72">
        <v>639887.05000000005</v>
      </c>
      <c r="F311" s="72">
        <v>65392.31</v>
      </c>
      <c r="G311" s="10">
        <v>2.44</v>
      </c>
      <c r="H311" s="69"/>
      <c r="I311" s="10">
        <v>3.31</v>
      </c>
    </row>
    <row r="312" spans="1:9" s="34" customFormat="1" x14ac:dyDescent="0.25">
      <c r="A312" s="75"/>
      <c r="B312" s="2" t="s">
        <v>208</v>
      </c>
      <c r="C312" s="9" t="s">
        <v>63</v>
      </c>
      <c r="D312" s="77"/>
      <c r="E312" s="73">
        <v>274237.28999999998</v>
      </c>
      <c r="F312" s="73">
        <v>65169.45</v>
      </c>
      <c r="G312" s="10">
        <v>2.61</v>
      </c>
      <c r="H312" s="69"/>
      <c r="I312" s="10">
        <v>2.11</v>
      </c>
    </row>
    <row r="313" spans="1:9" x14ac:dyDescent="0.25">
      <c r="A313" s="35"/>
      <c r="B313" s="70" t="s">
        <v>124</v>
      </c>
      <c r="C313" s="9"/>
      <c r="D313" s="7"/>
      <c r="E313" s="72">
        <f>SUM(E309:E312)</f>
        <v>12930027.949999999</v>
      </c>
      <c r="F313" s="72">
        <f>SUM(F309:F312)</f>
        <v>408808.64000000007</v>
      </c>
      <c r="G313" s="16"/>
      <c r="H313" s="1"/>
      <c r="I313" s="5"/>
    </row>
    <row r="314" spans="1:9" x14ac:dyDescent="0.25">
      <c r="A314" s="35"/>
      <c r="C314" s="9"/>
      <c r="D314" s="7"/>
      <c r="E314" s="84"/>
      <c r="F314" s="51"/>
      <c r="G314" s="16"/>
      <c r="H314" s="1"/>
      <c r="I314" s="5"/>
    </row>
    <row r="315" spans="1:9" x14ac:dyDescent="0.25">
      <c r="A315" s="2"/>
      <c r="B315" s="35" t="s">
        <v>66</v>
      </c>
      <c r="C315" s="9"/>
      <c r="D315" s="1"/>
      <c r="E315" s="56">
        <f>SUM(E313,E306,E297,E290,E280,E275,E265)</f>
        <v>328588294.50999999</v>
      </c>
      <c r="F315" s="56">
        <f>SUM(F313,F306,F297,F290,F280,F275,F265)</f>
        <v>8091552.79</v>
      </c>
      <c r="G315" s="10"/>
      <c r="H315" s="2"/>
      <c r="I315" s="5"/>
    </row>
    <row r="316" spans="1:9" x14ac:dyDescent="0.25">
      <c r="A316" s="2"/>
      <c r="B316" s="17"/>
      <c r="C316" s="9"/>
      <c r="D316" s="1"/>
      <c r="E316" s="27"/>
      <c r="F316" s="27"/>
      <c r="G316" s="10"/>
      <c r="H316" s="2"/>
      <c r="I316" s="5"/>
    </row>
    <row r="317" spans="1:9" x14ac:dyDescent="0.25">
      <c r="A317" s="35" t="s">
        <v>67</v>
      </c>
      <c r="C317" s="9"/>
      <c r="D317" s="7"/>
      <c r="E317" s="51"/>
      <c r="F317" s="51"/>
      <c r="G317" s="10"/>
      <c r="H317" s="2"/>
      <c r="I317" s="5"/>
    </row>
    <row r="318" spans="1:9" x14ac:dyDescent="0.25">
      <c r="A318" s="2"/>
      <c r="B318" s="70" t="s">
        <v>20</v>
      </c>
      <c r="C318" s="9"/>
      <c r="D318" s="1"/>
      <c r="E318" s="47"/>
      <c r="G318" s="10"/>
      <c r="H318" s="2"/>
      <c r="I318" s="5"/>
    </row>
    <row r="319" spans="1:9" x14ac:dyDescent="0.25">
      <c r="A319" s="2"/>
      <c r="B319" s="26" t="s">
        <v>212</v>
      </c>
      <c r="C319" s="9" t="s">
        <v>60</v>
      </c>
      <c r="D319" s="1"/>
      <c r="E319" s="48">
        <v>5413075.4800000004</v>
      </c>
      <c r="F319" s="48">
        <v>161850.96</v>
      </c>
      <c r="G319" s="10">
        <v>2.99</v>
      </c>
      <c r="H319" s="69"/>
      <c r="I319" s="10">
        <v>2.23</v>
      </c>
    </row>
    <row r="320" spans="1:9" x14ac:dyDescent="0.25">
      <c r="A320" s="2"/>
      <c r="B320" s="70" t="s">
        <v>23</v>
      </c>
      <c r="C320" s="9"/>
      <c r="D320" s="1"/>
      <c r="E320" s="47">
        <f>SUM(E319)</f>
        <v>5413075.4800000004</v>
      </c>
      <c r="F320" s="47">
        <f>SUM(F319)</f>
        <v>161850.96</v>
      </c>
      <c r="G320" s="10"/>
      <c r="H320" s="2"/>
      <c r="I320" s="5"/>
    </row>
    <row r="321" spans="1:9" x14ac:dyDescent="0.25">
      <c r="A321" s="2"/>
      <c r="B321" s="70"/>
      <c r="C321" s="9"/>
      <c r="D321" s="1"/>
      <c r="E321" s="47"/>
      <c r="G321" s="10"/>
      <c r="H321" s="2"/>
      <c r="I321" s="5"/>
    </row>
    <row r="322" spans="1:9" x14ac:dyDescent="0.25">
      <c r="A322" s="2"/>
      <c r="B322" s="70" t="s">
        <v>172</v>
      </c>
      <c r="C322" s="9"/>
      <c r="D322" s="1"/>
      <c r="E322" s="47"/>
      <c r="G322" s="10"/>
      <c r="H322" s="2"/>
      <c r="I322" s="5"/>
    </row>
    <row r="323" spans="1:9" x14ac:dyDescent="0.25">
      <c r="A323" s="2"/>
      <c r="B323" s="26" t="s">
        <v>212</v>
      </c>
      <c r="C323" s="9" t="s">
        <v>60</v>
      </c>
      <c r="D323" s="1"/>
      <c r="E323" s="48">
        <v>411060</v>
      </c>
      <c r="F323" s="48">
        <v>1440.18</v>
      </c>
      <c r="G323" s="10">
        <v>1.39</v>
      </c>
      <c r="H323" s="69"/>
      <c r="I323" s="10">
        <v>1.55</v>
      </c>
    </row>
    <row r="324" spans="1:9" x14ac:dyDescent="0.25">
      <c r="A324" s="2"/>
      <c r="B324" s="70" t="s">
        <v>173</v>
      </c>
      <c r="C324" s="9"/>
      <c r="D324" s="1"/>
      <c r="E324" s="47">
        <f>SUM(E323)</f>
        <v>411060</v>
      </c>
      <c r="F324" s="47">
        <f>SUM(F323)</f>
        <v>1440.18</v>
      </c>
      <c r="G324" s="10"/>
      <c r="H324" s="2"/>
      <c r="I324" s="5"/>
    </row>
    <row r="325" spans="1:9" x14ac:dyDescent="0.25">
      <c r="A325" s="2"/>
      <c r="B325" s="70"/>
      <c r="C325" s="9"/>
      <c r="D325" s="1"/>
      <c r="E325" s="47"/>
      <c r="F325" s="47"/>
      <c r="G325" s="10"/>
      <c r="H325" s="2"/>
      <c r="I325" s="5"/>
    </row>
    <row r="326" spans="1:9" x14ac:dyDescent="0.25">
      <c r="A326" s="2"/>
      <c r="B326" s="70"/>
      <c r="C326" s="9"/>
      <c r="D326" s="1"/>
      <c r="E326" s="47"/>
      <c r="F326" s="47"/>
      <c r="G326" s="10"/>
      <c r="H326" s="2"/>
      <c r="I326" s="5"/>
    </row>
    <row r="327" spans="1:9" x14ac:dyDescent="0.25">
      <c r="A327" s="2"/>
      <c r="C327" s="9"/>
      <c r="D327" s="1"/>
      <c r="E327" s="47"/>
      <c r="G327" s="10"/>
      <c r="H327" s="2"/>
      <c r="I327" s="5"/>
    </row>
    <row r="328" spans="1:9" x14ac:dyDescent="0.25">
      <c r="A328" s="2"/>
      <c r="C328" s="9"/>
      <c r="D328" s="1"/>
      <c r="E328" s="47"/>
      <c r="G328" s="10"/>
      <c r="H328" s="2"/>
      <c r="I328" s="5"/>
    </row>
    <row r="329" spans="1:9" x14ac:dyDescent="0.25">
      <c r="A329" s="2"/>
      <c r="B329" s="6" t="s">
        <v>53</v>
      </c>
      <c r="D329" s="1"/>
      <c r="E329" s="47"/>
      <c r="G329" s="10"/>
      <c r="H329" s="2"/>
      <c r="I329" s="5"/>
    </row>
    <row r="330" spans="1:9" x14ac:dyDescent="0.25">
      <c r="A330" s="2"/>
      <c r="B330" s="2" t="s">
        <v>212</v>
      </c>
      <c r="C330" s="9" t="s">
        <v>60</v>
      </c>
      <c r="D330" s="1"/>
      <c r="E330" s="47">
        <v>4747738.46</v>
      </c>
      <c r="F330" s="41">
        <v>137897.85</v>
      </c>
      <c r="G330" s="10">
        <v>2.19</v>
      </c>
      <c r="H330" s="69"/>
      <c r="I330" s="10">
        <v>2.23</v>
      </c>
    </row>
    <row r="331" spans="1:9" x14ac:dyDescent="0.25">
      <c r="A331" s="2"/>
      <c r="B331" s="2" t="s">
        <v>213</v>
      </c>
      <c r="C331" s="9" t="s">
        <v>68</v>
      </c>
      <c r="D331" s="1"/>
      <c r="E331" s="47">
        <f>348439.22+89222.27</f>
        <v>437661.49</v>
      </c>
      <c r="F331" s="41">
        <f>10408.2+2638.88</f>
        <v>13047.080000000002</v>
      </c>
      <c r="G331" s="10">
        <v>2.2999999999999998</v>
      </c>
      <c r="H331" s="69"/>
      <c r="I331" s="10">
        <v>3.55</v>
      </c>
    </row>
    <row r="332" spans="1:9" x14ac:dyDescent="0.25">
      <c r="A332" s="2"/>
      <c r="B332" s="2" t="s">
        <v>214</v>
      </c>
      <c r="C332" s="9" t="s">
        <v>63</v>
      </c>
      <c r="D332" s="1"/>
      <c r="E332" s="41">
        <f>1382525.11+89222.27</f>
        <v>1471747.3800000001</v>
      </c>
      <c r="F332" s="41">
        <f>46591.3+2980.16</f>
        <v>49571.460000000006</v>
      </c>
      <c r="G332" s="10">
        <v>2.81</v>
      </c>
      <c r="H332" s="69"/>
      <c r="I332" s="10">
        <v>2.46</v>
      </c>
    </row>
    <row r="333" spans="1:9" x14ac:dyDescent="0.25">
      <c r="A333" s="2"/>
      <c r="B333" s="2" t="s">
        <v>215</v>
      </c>
      <c r="C333" s="9" t="s">
        <v>69</v>
      </c>
      <c r="D333" s="1"/>
      <c r="E333" s="47">
        <v>162654.71</v>
      </c>
      <c r="F333" s="41">
        <v>4994.07</v>
      </c>
      <c r="G333" s="10">
        <v>2.4500000000000002</v>
      </c>
      <c r="H333" s="69"/>
      <c r="I333" s="10">
        <v>2.2599999999999998</v>
      </c>
    </row>
    <row r="334" spans="1:9" x14ac:dyDescent="0.25">
      <c r="A334" s="2"/>
      <c r="B334" s="2" t="s">
        <v>216</v>
      </c>
      <c r="C334" s="9" t="s">
        <v>64</v>
      </c>
      <c r="D334" s="1"/>
      <c r="E334" s="47">
        <v>3674020.94</v>
      </c>
      <c r="F334" s="41">
        <v>146138.9</v>
      </c>
      <c r="G334" s="10">
        <v>3.66</v>
      </c>
      <c r="H334" s="69"/>
      <c r="I334" s="10">
        <v>3.53</v>
      </c>
    </row>
    <row r="335" spans="1:9" x14ac:dyDescent="0.25">
      <c r="A335" s="2"/>
      <c r="B335" s="2" t="s">
        <v>221</v>
      </c>
      <c r="C335" s="9" t="s">
        <v>38</v>
      </c>
      <c r="D335" s="1"/>
      <c r="E335" s="48">
        <v>28500</v>
      </c>
      <c r="F335" s="48">
        <v>685.43</v>
      </c>
      <c r="G335" s="10">
        <v>1.54</v>
      </c>
      <c r="H335" s="69"/>
      <c r="I335" s="10">
        <v>2.2400000000000002</v>
      </c>
    </row>
    <row r="336" spans="1:9" x14ac:dyDescent="0.25">
      <c r="A336" s="2"/>
      <c r="B336" s="6" t="s">
        <v>54</v>
      </c>
      <c r="C336" s="9"/>
      <c r="D336" s="1"/>
      <c r="E336" s="47">
        <f>SUM(E330:E335)</f>
        <v>10522322.98</v>
      </c>
      <c r="F336" s="47">
        <f>SUM(F330:F335)</f>
        <v>352334.79</v>
      </c>
      <c r="G336" s="10"/>
      <c r="H336" s="2"/>
      <c r="I336" s="5"/>
    </row>
    <row r="337" spans="1:11" x14ac:dyDescent="0.25">
      <c r="A337" s="2"/>
      <c r="B337" s="6"/>
      <c r="C337" s="9"/>
      <c r="D337" s="1"/>
      <c r="E337" s="47"/>
      <c r="F337" s="47"/>
      <c r="G337" s="10"/>
      <c r="H337" s="2"/>
      <c r="I337" s="5"/>
    </row>
    <row r="338" spans="1:11" x14ac:dyDescent="0.25">
      <c r="A338" s="2"/>
      <c r="B338" s="6" t="s">
        <v>355</v>
      </c>
      <c r="C338" s="9"/>
      <c r="D338" s="1"/>
      <c r="E338" s="47"/>
      <c r="F338" s="47"/>
      <c r="G338" s="10"/>
      <c r="H338" s="2"/>
      <c r="I338" s="5"/>
    </row>
    <row r="339" spans="1:11" x14ac:dyDescent="0.25">
      <c r="A339" s="2"/>
      <c r="B339" s="2" t="s">
        <v>215</v>
      </c>
      <c r="C339" s="9" t="s">
        <v>69</v>
      </c>
      <c r="D339" s="1"/>
      <c r="E339" s="47">
        <v>64632.78</v>
      </c>
      <c r="F339" s="47">
        <v>807.91</v>
      </c>
      <c r="G339" s="10">
        <v>1.25</v>
      </c>
      <c r="H339" s="69"/>
      <c r="I339" s="10">
        <v>2.2599999999999998</v>
      </c>
    </row>
    <row r="340" spans="1:11" x14ac:dyDescent="0.25">
      <c r="A340" s="2"/>
      <c r="B340" s="2" t="s">
        <v>216</v>
      </c>
      <c r="C340" s="9" t="s">
        <v>64</v>
      </c>
      <c r="D340" s="1"/>
      <c r="E340" s="48">
        <v>274073</v>
      </c>
      <c r="F340" s="48">
        <v>4357.76</v>
      </c>
      <c r="G340" s="10">
        <v>1.59</v>
      </c>
      <c r="H340" s="69"/>
      <c r="I340" s="10">
        <v>3.53</v>
      </c>
    </row>
    <row r="341" spans="1:11" x14ac:dyDescent="0.25">
      <c r="A341" s="2"/>
      <c r="B341" s="6" t="s">
        <v>356</v>
      </c>
      <c r="C341" s="9"/>
      <c r="D341" s="1"/>
      <c r="E341" s="47">
        <f>SUM(E339:E340)</f>
        <v>338705.78</v>
      </c>
      <c r="F341" s="47">
        <f>SUM(F339:F340)</f>
        <v>5165.67</v>
      </c>
      <c r="G341" s="10"/>
      <c r="H341" s="2"/>
      <c r="I341" s="5"/>
    </row>
    <row r="342" spans="1:11" x14ac:dyDescent="0.25">
      <c r="A342" s="2"/>
      <c r="B342" s="6"/>
      <c r="C342" s="9"/>
      <c r="D342" s="1"/>
      <c r="E342" s="47"/>
      <c r="F342" s="47"/>
      <c r="G342" s="10"/>
      <c r="H342" s="2"/>
      <c r="I342" s="5"/>
    </row>
    <row r="343" spans="1:11" x14ac:dyDescent="0.25">
      <c r="A343" s="2"/>
      <c r="B343" s="6" t="s">
        <v>35</v>
      </c>
      <c r="C343" s="9"/>
      <c r="D343" s="1"/>
      <c r="E343" s="47"/>
      <c r="F343" s="47"/>
      <c r="G343" s="10"/>
      <c r="H343" s="2"/>
      <c r="I343" s="5"/>
    </row>
    <row r="344" spans="1:11" x14ac:dyDescent="0.25">
      <c r="A344" s="2"/>
      <c r="B344" s="2" t="s">
        <v>212</v>
      </c>
      <c r="C344" s="9" t="s">
        <v>60</v>
      </c>
      <c r="D344" s="1"/>
      <c r="E344" s="47">
        <v>2229434.2400000002</v>
      </c>
      <c r="F344" s="47">
        <v>71569.7</v>
      </c>
      <c r="G344" s="10">
        <v>2.69</v>
      </c>
      <c r="H344" s="69"/>
      <c r="I344" s="10">
        <v>2.23</v>
      </c>
    </row>
    <row r="345" spans="1:11" x14ac:dyDescent="0.25">
      <c r="A345" s="2"/>
      <c r="B345" s="2" t="s">
        <v>213</v>
      </c>
      <c r="C345" s="9" t="s">
        <v>68</v>
      </c>
      <c r="D345" s="1"/>
      <c r="E345" s="47">
        <v>16400.54</v>
      </c>
      <c r="F345" s="47">
        <v>393.61</v>
      </c>
      <c r="G345" s="10">
        <v>2.4</v>
      </c>
      <c r="H345" s="69"/>
      <c r="I345" s="10">
        <v>3.55</v>
      </c>
    </row>
    <row r="346" spans="1:11" x14ac:dyDescent="0.25">
      <c r="A346" s="2"/>
      <c r="B346" s="2" t="s">
        <v>214</v>
      </c>
      <c r="C346" s="9" t="s">
        <v>63</v>
      </c>
      <c r="D346" s="1"/>
      <c r="E346" s="48">
        <v>13620.26</v>
      </c>
      <c r="F346" s="48">
        <v>468.54</v>
      </c>
      <c r="G346" s="10">
        <v>3.44</v>
      </c>
      <c r="H346" s="69"/>
      <c r="I346" s="10">
        <v>2.46</v>
      </c>
    </row>
    <row r="347" spans="1:11" x14ac:dyDescent="0.25">
      <c r="A347" s="2"/>
      <c r="B347" s="6" t="s">
        <v>36</v>
      </c>
      <c r="C347" s="9"/>
      <c r="D347" s="1"/>
      <c r="E347" s="47">
        <f>SUM(E344:E346)</f>
        <v>2259455.04</v>
      </c>
      <c r="F347" s="47">
        <f>SUM(F344:F346)</f>
        <v>72431.849999999991</v>
      </c>
      <c r="G347" s="10"/>
      <c r="H347" s="2"/>
      <c r="I347" s="5"/>
    </row>
    <row r="348" spans="1:11" x14ac:dyDescent="0.25">
      <c r="A348" s="2"/>
      <c r="B348" s="6"/>
      <c r="C348" s="9"/>
      <c r="D348" s="1"/>
      <c r="E348" s="47"/>
      <c r="F348" s="47"/>
      <c r="G348" s="10"/>
      <c r="H348" s="2"/>
      <c r="I348" s="5"/>
      <c r="K348" s="88"/>
    </row>
    <row r="349" spans="1:11" x14ac:dyDescent="0.25">
      <c r="A349" s="2"/>
      <c r="B349" s="6" t="s">
        <v>349</v>
      </c>
      <c r="C349" s="9"/>
      <c r="D349" s="1"/>
      <c r="E349" s="47"/>
      <c r="F349" s="47"/>
      <c r="G349" s="10"/>
      <c r="H349" s="2"/>
      <c r="I349" s="5"/>
      <c r="K349" s="43"/>
    </row>
    <row r="350" spans="1:11" x14ac:dyDescent="0.25">
      <c r="A350" s="2"/>
      <c r="B350" s="2" t="s">
        <v>211</v>
      </c>
      <c r="C350" s="9" t="s">
        <v>25</v>
      </c>
      <c r="D350" s="1"/>
      <c r="E350" s="47">
        <f>4626822.47+31730.47+1940176.7</f>
        <v>6598729.6399999997</v>
      </c>
      <c r="F350" s="47">
        <f>83282.33+602.88+34108.24</f>
        <v>117993.45000000001</v>
      </c>
      <c r="G350" s="85">
        <v>1.95</v>
      </c>
      <c r="H350" s="69"/>
      <c r="I350" s="10">
        <v>2.0499999999999998</v>
      </c>
      <c r="K350" s="88"/>
    </row>
    <row r="351" spans="1:11" x14ac:dyDescent="0.25">
      <c r="A351" s="2"/>
      <c r="B351" s="2" t="s">
        <v>212</v>
      </c>
      <c r="C351" s="9" t="s">
        <v>60</v>
      </c>
      <c r="D351" s="1"/>
      <c r="E351" s="47">
        <f>239758769.7+161853158.63+1288578.44</f>
        <v>402900506.76999998</v>
      </c>
      <c r="F351" s="47">
        <f>5118475.95+3308836.66+33284.76</f>
        <v>8460597.3699999992</v>
      </c>
      <c r="G351" s="85">
        <v>2.19</v>
      </c>
      <c r="H351" s="69"/>
      <c r="I351" s="10">
        <v>2.23</v>
      </c>
      <c r="K351" s="88"/>
    </row>
    <row r="352" spans="1:11" x14ac:dyDescent="0.25">
      <c r="A352" s="2"/>
      <c r="B352" s="2" t="s">
        <v>213</v>
      </c>
      <c r="C352" s="9" t="s">
        <v>68</v>
      </c>
      <c r="D352" s="1"/>
      <c r="E352" s="47">
        <f>212098206.24+1102362.92+114856545.85+187511.66+789182.52+1015340.29+8020.92+7143.97+151699.77</f>
        <v>330216014.14000005</v>
      </c>
      <c r="F352" s="47">
        <f>4704865.8+21596.27+2736998.2+3632.98+11443.14+10928.11+85.82+76.44+2973.32</f>
        <v>7492600.080000001</v>
      </c>
      <c r="G352" s="5">
        <v>2.2999999999999998</v>
      </c>
      <c r="H352" s="69"/>
      <c r="I352" s="10">
        <v>3.55</v>
      </c>
      <c r="K352" s="43"/>
    </row>
    <row r="353" spans="1:11" x14ac:dyDescent="0.25">
      <c r="A353" s="2"/>
      <c r="B353" s="2" t="s">
        <v>214</v>
      </c>
      <c r="C353" s="9" t="s">
        <v>63</v>
      </c>
      <c r="D353" s="1"/>
      <c r="E353" s="47">
        <f>246155884.85+112614171.85+344756.4+1045657.25+59156.7+118183.3+4024.41</f>
        <v>360341834.75999999</v>
      </c>
      <c r="F353" s="47">
        <f>6783017+2858846.67+5757.44+23422.75+987.91+3082.69+105.04</f>
        <v>9675219.4999999981</v>
      </c>
      <c r="G353" s="85">
        <v>2.81</v>
      </c>
      <c r="H353" s="69"/>
      <c r="I353" s="10">
        <v>2.46</v>
      </c>
      <c r="K353" s="43"/>
    </row>
    <row r="354" spans="1:11" x14ac:dyDescent="0.25">
      <c r="A354" s="2"/>
      <c r="B354" s="2" t="s">
        <v>215</v>
      </c>
      <c r="C354" s="9" t="s">
        <v>69</v>
      </c>
      <c r="D354" s="1"/>
      <c r="E354" s="47">
        <f>516689276+1191969.45+29688.36</f>
        <v>517910933.81</v>
      </c>
      <c r="F354" s="47">
        <f>12309385.84+15138.01+779.93</f>
        <v>12325303.779999999</v>
      </c>
      <c r="G354" s="85">
        <v>2.4500000000000002</v>
      </c>
      <c r="H354" s="69"/>
      <c r="I354" s="10">
        <v>2.2599999999999998</v>
      </c>
      <c r="K354" s="43"/>
    </row>
    <row r="355" spans="1:11" x14ac:dyDescent="0.25">
      <c r="A355" s="2"/>
      <c r="B355" s="2" t="s">
        <v>216</v>
      </c>
      <c r="C355" s="9" t="s">
        <v>64</v>
      </c>
      <c r="D355" s="1"/>
      <c r="E355" s="47">
        <f>551375210.88+2927095.8-13181.48</f>
        <v>554289125.19999993</v>
      </c>
      <c r="F355" s="47">
        <f>19792938.29+39724.25-1546.9</f>
        <v>19831115.640000001</v>
      </c>
      <c r="G355" s="85">
        <v>3.66</v>
      </c>
      <c r="H355" s="69"/>
      <c r="I355" s="10">
        <v>3.53</v>
      </c>
      <c r="K355" s="43"/>
    </row>
    <row r="356" spans="1:11" x14ac:dyDescent="0.25">
      <c r="A356" s="2"/>
      <c r="B356" s="2" t="s">
        <v>217</v>
      </c>
      <c r="C356" s="9" t="s">
        <v>70</v>
      </c>
      <c r="D356" s="1"/>
      <c r="E356" s="47">
        <v>369045599.04000002</v>
      </c>
      <c r="F356" s="47">
        <v>7775247.6299999999</v>
      </c>
      <c r="G356" s="85">
        <v>2.1800000000000002</v>
      </c>
      <c r="H356" s="69"/>
      <c r="I356" s="10">
        <v>3.26</v>
      </c>
      <c r="K356" s="43"/>
    </row>
    <row r="357" spans="1:11" x14ac:dyDescent="0.25">
      <c r="A357" s="2"/>
      <c r="B357" s="2" t="s">
        <v>218</v>
      </c>
      <c r="C357" s="9" t="s">
        <v>71</v>
      </c>
      <c r="D357" s="1"/>
      <c r="E357" s="47">
        <v>174515891.94</v>
      </c>
      <c r="F357" s="47">
        <v>3886417.88</v>
      </c>
      <c r="G357" s="85">
        <v>2.2400000000000002</v>
      </c>
      <c r="H357" s="69"/>
      <c r="I357" s="10">
        <v>2.33</v>
      </c>
      <c r="K357" s="43"/>
    </row>
    <row r="358" spans="1:11" x14ac:dyDescent="0.25">
      <c r="A358" s="2"/>
      <c r="B358" s="2" t="s">
        <v>219</v>
      </c>
      <c r="C358" s="9" t="s">
        <v>72</v>
      </c>
      <c r="D358" s="1"/>
      <c r="E358" s="47">
        <f>106317938.38+15529548.37</f>
        <v>121847486.75</v>
      </c>
      <c r="F358" s="47">
        <f>4329296.62+593235.52</f>
        <v>4922532.1400000006</v>
      </c>
      <c r="G358" s="85">
        <v>3.82</v>
      </c>
      <c r="H358" s="69"/>
      <c r="I358" s="10">
        <v>2.3199999999999998</v>
      </c>
      <c r="K358" s="43"/>
    </row>
    <row r="359" spans="1:11" x14ac:dyDescent="0.25">
      <c r="A359" s="2"/>
      <c r="B359" s="2" t="s">
        <v>220</v>
      </c>
      <c r="C359" s="9" t="s">
        <v>73</v>
      </c>
      <c r="D359" s="1"/>
      <c r="E359" s="47">
        <v>54119170.18</v>
      </c>
      <c r="F359" s="47">
        <v>1578241.21</v>
      </c>
      <c r="G359" s="85">
        <v>2.84</v>
      </c>
      <c r="H359" s="69"/>
      <c r="I359" s="10">
        <v>3.34</v>
      </c>
    </row>
    <row r="360" spans="1:11" x14ac:dyDescent="0.25">
      <c r="A360" s="2"/>
      <c r="B360" s="2" t="s">
        <v>221</v>
      </c>
      <c r="C360" s="9" t="s">
        <v>38</v>
      </c>
      <c r="D360" s="1"/>
      <c r="E360" s="48">
        <f>5059499.83+19711795.03+57541.49+69899.69+1328.59+8659.86</f>
        <v>24908724.489999998</v>
      </c>
      <c r="F360" s="48">
        <f>77916.3+362768.02+2549.09+2257.76+24.18+26.68</f>
        <v>445542.03</v>
      </c>
      <c r="G360" s="85">
        <v>1.54</v>
      </c>
      <c r="H360" s="69"/>
      <c r="I360" s="10">
        <v>2.2400000000000002</v>
      </c>
      <c r="K360" s="43"/>
    </row>
    <row r="361" spans="1:11" x14ac:dyDescent="0.25">
      <c r="A361" s="2"/>
      <c r="B361" s="6" t="s">
        <v>350</v>
      </c>
      <c r="C361" s="9"/>
      <c r="D361" s="1"/>
      <c r="E361" s="47">
        <f>SUM(E350:E360)</f>
        <v>2916694016.7199993</v>
      </c>
      <c r="F361" s="47">
        <f>SUM(F350:F360)</f>
        <v>76510810.709999993</v>
      </c>
      <c r="G361" s="10"/>
      <c r="H361" s="2"/>
      <c r="I361" s="5"/>
    </row>
    <row r="362" spans="1:11" x14ac:dyDescent="0.25">
      <c r="A362" s="2"/>
      <c r="B362" s="6"/>
      <c r="C362" s="9"/>
      <c r="D362" s="1"/>
      <c r="E362" s="47"/>
      <c r="F362" s="47"/>
      <c r="G362" s="10"/>
      <c r="H362" s="2"/>
      <c r="I362" s="5"/>
    </row>
    <row r="363" spans="1:11" x14ac:dyDescent="0.25">
      <c r="A363" s="2"/>
      <c r="B363" s="6"/>
      <c r="C363" s="9"/>
      <c r="D363" s="1"/>
      <c r="E363" s="47"/>
      <c r="F363" s="47"/>
      <c r="G363" s="10"/>
      <c r="H363" s="2"/>
      <c r="I363" s="5"/>
    </row>
    <row r="364" spans="1:11" x14ac:dyDescent="0.25">
      <c r="A364" s="2"/>
      <c r="B364" s="6"/>
      <c r="C364" s="9"/>
      <c r="D364" s="1"/>
      <c r="E364" s="47"/>
      <c r="F364" s="47"/>
      <c r="G364" s="10"/>
      <c r="H364" s="2"/>
      <c r="I364" s="5"/>
    </row>
    <row r="365" spans="1:11" x14ac:dyDescent="0.25">
      <c r="A365" s="2"/>
      <c r="B365" s="6" t="s">
        <v>351</v>
      </c>
      <c r="C365" s="9"/>
      <c r="D365" s="1"/>
      <c r="E365" s="47"/>
      <c r="F365" s="47"/>
      <c r="G365" s="10"/>
      <c r="H365" s="2"/>
      <c r="I365" s="5"/>
    </row>
    <row r="366" spans="1:11" x14ac:dyDescent="0.25">
      <c r="A366" s="2"/>
      <c r="B366" s="2" t="s">
        <v>212</v>
      </c>
      <c r="C366" s="9" t="s">
        <v>60</v>
      </c>
      <c r="D366" s="1"/>
      <c r="E366" s="47">
        <v>505676.26</v>
      </c>
      <c r="F366" s="47">
        <v>9911.25</v>
      </c>
      <c r="G366" s="10">
        <v>1.96</v>
      </c>
      <c r="H366" s="69"/>
      <c r="I366" s="10">
        <v>2.23</v>
      </c>
    </row>
    <row r="367" spans="1:11" x14ac:dyDescent="0.25">
      <c r="A367" s="2"/>
      <c r="B367" s="2" t="s">
        <v>214</v>
      </c>
      <c r="C367" s="9" t="s">
        <v>63</v>
      </c>
      <c r="D367" s="1"/>
      <c r="E367" s="48">
        <v>2551.25</v>
      </c>
      <c r="F367" s="48">
        <v>18.62</v>
      </c>
      <c r="G367" s="10">
        <v>0.73</v>
      </c>
      <c r="H367" s="69"/>
      <c r="I367" s="10">
        <v>2.46</v>
      </c>
    </row>
    <row r="368" spans="1:11" x14ac:dyDescent="0.25">
      <c r="A368" s="2"/>
      <c r="B368" s="6" t="s">
        <v>354</v>
      </c>
      <c r="C368" s="9"/>
      <c r="D368" s="1"/>
      <c r="E368" s="47">
        <f>SUM(E366:E367)</f>
        <v>508227.51</v>
      </c>
      <c r="F368" s="47">
        <f>SUM(F366:F367)</f>
        <v>9929.8700000000008</v>
      </c>
      <c r="G368" s="10"/>
      <c r="H368" s="2"/>
      <c r="I368" s="5"/>
    </row>
    <row r="369" spans="1:9" x14ac:dyDescent="0.25">
      <c r="A369" s="2"/>
      <c r="B369" s="6"/>
      <c r="C369" s="9"/>
      <c r="D369" s="1"/>
      <c r="E369" s="47"/>
      <c r="F369" s="47"/>
      <c r="G369" s="10"/>
      <c r="H369" s="2"/>
      <c r="I369" s="5"/>
    </row>
    <row r="370" spans="1:9" x14ac:dyDescent="0.25">
      <c r="A370" s="2"/>
      <c r="B370" s="6" t="s">
        <v>352</v>
      </c>
      <c r="C370" s="9"/>
      <c r="D370" s="1"/>
      <c r="E370" s="47"/>
      <c r="F370" s="47"/>
      <c r="G370" s="10"/>
      <c r="H370" s="2"/>
      <c r="I370" s="5"/>
    </row>
    <row r="371" spans="1:9" x14ac:dyDescent="0.25">
      <c r="A371" s="2"/>
      <c r="B371" s="2" t="s">
        <v>212</v>
      </c>
      <c r="C371" s="9" t="s">
        <v>60</v>
      </c>
      <c r="D371" s="1"/>
      <c r="E371" s="47">
        <v>377350.44</v>
      </c>
      <c r="F371" s="47">
        <v>9962.0499999999993</v>
      </c>
      <c r="G371" s="10">
        <v>2.64</v>
      </c>
      <c r="H371" s="69"/>
      <c r="I371" s="10">
        <v>2.23</v>
      </c>
    </row>
    <row r="372" spans="1:9" x14ac:dyDescent="0.25">
      <c r="A372" s="2"/>
      <c r="B372" s="2" t="s">
        <v>213</v>
      </c>
      <c r="C372" s="9" t="s">
        <v>68</v>
      </c>
      <c r="D372" s="1"/>
      <c r="E372" s="47">
        <f>128220.93+6612.25</f>
        <v>134833.18</v>
      </c>
      <c r="F372" s="47">
        <f>2825.51+41.76</f>
        <v>2867.2700000000004</v>
      </c>
      <c r="G372" s="10">
        <v>2.21</v>
      </c>
      <c r="H372" s="69"/>
      <c r="I372" s="10">
        <v>3.55</v>
      </c>
    </row>
    <row r="373" spans="1:9" x14ac:dyDescent="0.25">
      <c r="A373" s="2"/>
      <c r="B373" s="2" t="s">
        <v>214</v>
      </c>
      <c r="C373" s="9" t="s">
        <v>63</v>
      </c>
      <c r="D373" s="1"/>
      <c r="E373" s="48">
        <v>60010.57</v>
      </c>
      <c r="F373" s="48">
        <v>1578.26</v>
      </c>
      <c r="G373" s="10">
        <v>2.63</v>
      </c>
      <c r="H373" s="69"/>
      <c r="I373" s="10">
        <v>2.46</v>
      </c>
    </row>
    <row r="374" spans="1:9" x14ac:dyDescent="0.25">
      <c r="A374" s="2"/>
      <c r="B374" s="6" t="s">
        <v>353</v>
      </c>
      <c r="C374" s="9"/>
      <c r="D374" s="1"/>
      <c r="E374" s="47">
        <f>SUM(E371:E373)</f>
        <v>572194.18999999994</v>
      </c>
      <c r="F374" s="47">
        <f>SUM(F371:F373)</f>
        <v>14407.58</v>
      </c>
      <c r="G374" s="10"/>
      <c r="H374" s="2"/>
      <c r="I374" s="5"/>
    </row>
    <row r="375" spans="1:9" x14ac:dyDescent="0.25">
      <c r="A375" s="2"/>
      <c r="B375" s="6"/>
      <c r="C375" s="9"/>
      <c r="D375" s="1"/>
      <c r="E375" s="47"/>
      <c r="F375" s="47"/>
      <c r="G375" s="10"/>
      <c r="H375" s="2"/>
      <c r="I375" s="5"/>
    </row>
    <row r="376" spans="1:9" x14ac:dyDescent="0.25">
      <c r="A376" s="2"/>
      <c r="B376" s="6" t="s">
        <v>42</v>
      </c>
      <c r="C376" s="9"/>
      <c r="D376" s="1"/>
      <c r="E376" s="47"/>
      <c r="F376" s="47"/>
      <c r="G376" s="10"/>
      <c r="H376" s="2"/>
      <c r="I376" s="5"/>
    </row>
    <row r="377" spans="1:9" x14ac:dyDescent="0.25">
      <c r="A377" s="2"/>
      <c r="B377" s="2" t="s">
        <v>212</v>
      </c>
      <c r="C377" s="9" t="s">
        <v>60</v>
      </c>
      <c r="D377" s="1"/>
      <c r="E377" s="48">
        <v>2268170.62</v>
      </c>
      <c r="F377" s="48">
        <v>55343.37</v>
      </c>
      <c r="G377" s="10">
        <v>2.44</v>
      </c>
      <c r="H377" s="69"/>
      <c r="I377" s="10">
        <v>2.23</v>
      </c>
    </row>
    <row r="378" spans="1:9" x14ac:dyDescent="0.25">
      <c r="A378" s="2"/>
      <c r="B378" s="6" t="s">
        <v>43</v>
      </c>
      <c r="C378" s="9"/>
      <c r="D378" s="1"/>
      <c r="E378" s="47">
        <f>SUM(E377)</f>
        <v>2268170.62</v>
      </c>
      <c r="F378" s="47">
        <f>SUM(F377)</f>
        <v>55343.37</v>
      </c>
      <c r="G378" s="10"/>
      <c r="H378" s="2"/>
      <c r="I378" s="5"/>
    </row>
    <row r="379" spans="1:9" x14ac:dyDescent="0.25">
      <c r="A379" s="2"/>
      <c r="B379" s="6"/>
      <c r="C379" s="9"/>
      <c r="D379" s="1"/>
      <c r="E379" s="47"/>
      <c r="F379" s="47"/>
      <c r="G379" s="10"/>
      <c r="H379" s="2"/>
      <c r="I379" s="5"/>
    </row>
    <row r="380" spans="1:9" x14ac:dyDescent="0.25">
      <c r="A380" s="2"/>
      <c r="B380" s="6" t="s">
        <v>57</v>
      </c>
      <c r="C380" s="9"/>
      <c r="D380" s="1"/>
      <c r="E380" s="47"/>
      <c r="F380" s="47"/>
      <c r="G380" s="10"/>
      <c r="H380" s="2"/>
      <c r="I380" s="5"/>
    </row>
    <row r="381" spans="1:9" x14ac:dyDescent="0.25">
      <c r="A381" s="2"/>
      <c r="B381" s="2" t="s">
        <v>213</v>
      </c>
      <c r="C381" s="9" t="s">
        <v>68</v>
      </c>
      <c r="D381" s="1"/>
      <c r="E381" s="47">
        <v>2071986.76</v>
      </c>
      <c r="F381" s="47">
        <v>37905.480000000003</v>
      </c>
      <c r="G381" s="10">
        <v>2.2999999999999998</v>
      </c>
      <c r="H381" s="69"/>
      <c r="I381" s="10">
        <v>3.55</v>
      </c>
    </row>
    <row r="382" spans="1:9" x14ac:dyDescent="0.25">
      <c r="A382" s="2"/>
      <c r="B382" s="2" t="s">
        <v>214</v>
      </c>
      <c r="C382" s="9" t="s">
        <v>63</v>
      </c>
      <c r="D382" s="1"/>
      <c r="E382" s="47">
        <v>2071986.76</v>
      </c>
      <c r="F382" s="47">
        <v>45224.19</v>
      </c>
      <c r="G382" s="10">
        <v>2.81</v>
      </c>
      <c r="H382" s="69"/>
      <c r="I382" s="10">
        <v>2.46</v>
      </c>
    </row>
    <row r="383" spans="1:9" x14ac:dyDescent="0.25">
      <c r="A383" s="2"/>
      <c r="B383" s="2" t="s">
        <v>215</v>
      </c>
      <c r="C383" s="9" t="s">
        <v>69</v>
      </c>
      <c r="D383" s="1"/>
      <c r="E383" s="47">
        <v>508906.99</v>
      </c>
      <c r="F383" s="47">
        <v>9656.43</v>
      </c>
      <c r="G383" s="10">
        <v>2.4500000000000002</v>
      </c>
      <c r="H383" s="69"/>
      <c r="I383" s="10">
        <v>2.2599999999999998</v>
      </c>
    </row>
    <row r="384" spans="1:9" x14ac:dyDescent="0.25">
      <c r="A384" s="2"/>
      <c r="B384" s="2" t="s">
        <v>216</v>
      </c>
      <c r="C384" s="9" t="s">
        <v>64</v>
      </c>
      <c r="D384" s="1"/>
      <c r="E384" s="48">
        <v>11850311.73</v>
      </c>
      <c r="F384" s="48">
        <v>329749.34000000003</v>
      </c>
      <c r="G384" s="10">
        <v>3.66</v>
      </c>
      <c r="H384" s="69"/>
      <c r="I384" s="10">
        <v>3.53</v>
      </c>
    </row>
    <row r="385" spans="1:11" x14ac:dyDescent="0.25">
      <c r="A385" s="2"/>
      <c r="B385" s="6" t="s">
        <v>124</v>
      </c>
      <c r="C385" s="9"/>
      <c r="D385" s="1"/>
      <c r="E385" s="47">
        <f>SUM(E381:E384)</f>
        <v>16503192.24</v>
      </c>
      <c r="F385" s="47">
        <f>SUM(F381:F384)</f>
        <v>422535.44000000006</v>
      </c>
      <c r="G385" s="10"/>
      <c r="H385" s="2"/>
      <c r="I385" s="5"/>
    </row>
    <row r="386" spans="1:11" x14ac:dyDescent="0.25">
      <c r="A386" s="2"/>
      <c r="B386" s="2"/>
      <c r="C386" s="9"/>
      <c r="D386" s="1"/>
      <c r="E386" s="47"/>
      <c r="F386" s="47"/>
      <c r="G386" s="10"/>
      <c r="H386" s="2"/>
      <c r="I386" s="5"/>
    </row>
    <row r="387" spans="1:11" x14ac:dyDescent="0.25">
      <c r="A387" s="1"/>
      <c r="B387" s="35" t="s">
        <v>74</v>
      </c>
      <c r="C387" s="9"/>
      <c r="D387" s="1"/>
      <c r="E387" s="56">
        <f>SUM(E361,E385,E378,E374,E368,E347,E341,E336,E324,E320)</f>
        <v>2955490420.5599995</v>
      </c>
      <c r="F387" s="56">
        <f>SUM(F361,F385,F378,F374,F368,F347,F341,F336,F324,F320)</f>
        <v>77606250.420000002</v>
      </c>
      <c r="G387" s="10"/>
      <c r="H387" s="2"/>
      <c r="I387" s="5"/>
    </row>
    <row r="388" spans="1:11" x14ac:dyDescent="0.25">
      <c r="A388" s="1"/>
      <c r="B388" s="35"/>
      <c r="C388" s="9"/>
      <c r="D388" s="1"/>
      <c r="E388" s="56"/>
      <c r="F388" s="56"/>
      <c r="G388" s="10"/>
      <c r="H388" s="2"/>
      <c r="I388" s="5"/>
    </row>
    <row r="389" spans="1:11" x14ac:dyDescent="0.25">
      <c r="A389" s="1"/>
      <c r="B389" s="35"/>
      <c r="C389" s="9"/>
      <c r="D389" s="1"/>
      <c r="E389" s="56"/>
      <c r="F389" s="56"/>
      <c r="G389" s="10"/>
      <c r="H389" s="2"/>
      <c r="I389" s="5"/>
    </row>
    <row r="390" spans="1:11" x14ac:dyDescent="0.25">
      <c r="A390" s="1"/>
      <c r="B390" s="35"/>
      <c r="C390" s="9"/>
      <c r="D390" s="1"/>
      <c r="E390" s="56"/>
      <c r="F390" s="56"/>
      <c r="G390" s="10"/>
      <c r="H390" s="2"/>
      <c r="I390" s="5"/>
    </row>
    <row r="391" spans="1:11" x14ac:dyDescent="0.25">
      <c r="A391" s="35" t="s">
        <v>75</v>
      </c>
      <c r="C391" s="9"/>
      <c r="D391" s="7"/>
      <c r="E391" s="51"/>
      <c r="F391" s="51"/>
      <c r="G391" s="10"/>
      <c r="H391" s="2"/>
      <c r="I391" s="5"/>
    </row>
    <row r="392" spans="1:11" x14ac:dyDescent="0.25">
      <c r="A392" s="2"/>
      <c r="B392" s="2" t="s">
        <v>142</v>
      </c>
      <c r="C392" s="9" t="s">
        <v>293</v>
      </c>
      <c r="D392" s="1"/>
      <c r="E392" s="55">
        <f>28693374.47+20000+323612.33+382754.71</f>
        <v>29419741.509999998</v>
      </c>
      <c r="F392" s="55">
        <f>1014242.56+682+6501.42+7116.48</f>
        <v>1028542.4600000001</v>
      </c>
      <c r="G392" s="10">
        <v>3.41</v>
      </c>
      <c r="H392" s="2"/>
      <c r="I392" s="5">
        <v>6.6</v>
      </c>
    </row>
    <row r="393" spans="1:11" x14ac:dyDescent="0.25">
      <c r="A393" s="2"/>
      <c r="B393" s="2" t="s">
        <v>142</v>
      </c>
      <c r="C393" s="9" t="s">
        <v>294</v>
      </c>
      <c r="D393" s="1"/>
      <c r="E393" s="55">
        <v>533785.48</v>
      </c>
      <c r="F393" s="55">
        <v>20987.07</v>
      </c>
      <c r="G393" s="10">
        <v>3.92</v>
      </c>
      <c r="H393" s="2"/>
      <c r="I393" s="5">
        <v>6.6</v>
      </c>
    </row>
    <row r="394" spans="1:11" x14ac:dyDescent="0.25">
      <c r="A394" s="2"/>
      <c r="B394" s="2" t="s">
        <v>222</v>
      </c>
      <c r="C394" s="9" t="s">
        <v>295</v>
      </c>
      <c r="D394" s="1"/>
      <c r="E394" s="55">
        <f>6107230.97+4114688.24+48124.22+25165</f>
        <v>10295208.430000002</v>
      </c>
      <c r="F394" s="55">
        <f>220185.67+146712.8+1718.72+88.17</f>
        <v>368705.35999999993</v>
      </c>
      <c r="G394" s="10">
        <v>3.57</v>
      </c>
      <c r="H394" s="2"/>
      <c r="I394" s="5">
        <v>5</v>
      </c>
    </row>
    <row r="395" spans="1:11" x14ac:dyDescent="0.25">
      <c r="A395" s="2"/>
      <c r="B395" s="2" t="s">
        <v>222</v>
      </c>
      <c r="C395" s="9" t="s">
        <v>296</v>
      </c>
      <c r="D395" s="1"/>
      <c r="E395" s="55">
        <v>2972500.8</v>
      </c>
      <c r="F395" s="55">
        <v>187814.45</v>
      </c>
      <c r="G395" s="10">
        <v>6.67</v>
      </c>
      <c r="H395" s="2"/>
      <c r="I395" s="5">
        <v>5</v>
      </c>
    </row>
    <row r="396" spans="1:11" x14ac:dyDescent="0.25">
      <c r="A396" s="2"/>
      <c r="B396" s="2" t="s">
        <v>222</v>
      </c>
      <c r="C396" s="9" t="s">
        <v>297</v>
      </c>
      <c r="D396" s="1"/>
      <c r="E396" s="55">
        <v>3183.61</v>
      </c>
      <c r="F396" s="55">
        <v>78.61</v>
      </c>
      <c r="G396" s="10">
        <v>2.4700000000000002</v>
      </c>
      <c r="H396" s="2"/>
      <c r="I396" s="5">
        <v>5</v>
      </c>
      <c r="K396" s="43"/>
    </row>
    <row r="397" spans="1:11" x14ac:dyDescent="0.25">
      <c r="A397" s="2"/>
      <c r="B397" s="2" t="s">
        <v>223</v>
      </c>
      <c r="C397" s="9" t="s">
        <v>298</v>
      </c>
      <c r="D397" s="1"/>
      <c r="E397" s="55">
        <v>538748.99</v>
      </c>
      <c r="F397" s="55">
        <v>41332.800000000003</v>
      </c>
      <c r="G397" s="10">
        <v>9.42</v>
      </c>
      <c r="H397" s="2"/>
      <c r="I397" s="5">
        <v>20</v>
      </c>
    </row>
    <row r="398" spans="1:11" x14ac:dyDescent="0.25">
      <c r="A398" s="2"/>
      <c r="B398" s="2" t="s">
        <v>223</v>
      </c>
      <c r="C398" s="9" t="s">
        <v>299</v>
      </c>
      <c r="D398" s="1"/>
      <c r="E398" s="55">
        <v>20748991.920000002</v>
      </c>
      <c r="F398" s="55">
        <v>1376766</v>
      </c>
      <c r="G398" s="10">
        <v>10</v>
      </c>
      <c r="H398" s="2"/>
      <c r="I398" s="5">
        <v>20</v>
      </c>
    </row>
    <row r="399" spans="1:11" x14ac:dyDescent="0.25">
      <c r="A399" s="2"/>
      <c r="B399" s="2" t="s">
        <v>223</v>
      </c>
      <c r="C399" s="9" t="s">
        <v>300</v>
      </c>
      <c r="D399" s="1"/>
      <c r="E399" s="55">
        <v>40103.78</v>
      </c>
      <c r="F399" s="55">
        <v>1432.28</v>
      </c>
      <c r="G399" s="10">
        <v>3.57</v>
      </c>
      <c r="H399" s="2"/>
      <c r="I399" s="5">
        <v>20</v>
      </c>
      <c r="K399" s="43"/>
    </row>
    <row r="400" spans="1:11" x14ac:dyDescent="0.25">
      <c r="A400" s="2"/>
      <c r="B400" s="2"/>
      <c r="C400" s="9"/>
      <c r="D400" s="1"/>
      <c r="E400" s="55"/>
      <c r="F400" s="55"/>
      <c r="G400" s="10"/>
      <c r="H400" s="2"/>
      <c r="I400" s="5"/>
      <c r="K400" s="43"/>
    </row>
    <row r="401" spans="1:11" x14ac:dyDescent="0.25">
      <c r="A401" s="2"/>
      <c r="B401" s="2" t="s">
        <v>224</v>
      </c>
      <c r="C401" s="9" t="s">
        <v>301</v>
      </c>
      <c r="D401" s="1"/>
      <c r="E401" s="55">
        <f>333069.85+317401.64+459127.93+0.32</f>
        <v>1109599.74</v>
      </c>
      <c r="F401" s="55">
        <v>0</v>
      </c>
      <c r="G401" s="10">
        <v>12.5</v>
      </c>
      <c r="H401" s="2"/>
      <c r="I401" s="5">
        <v>9</v>
      </c>
    </row>
    <row r="402" spans="1:11" x14ac:dyDescent="0.25">
      <c r="A402" s="2"/>
      <c r="B402" s="2" t="s">
        <v>224</v>
      </c>
      <c r="C402" s="9" t="s">
        <v>302</v>
      </c>
      <c r="D402" s="1"/>
      <c r="E402" s="55">
        <v>26389.17</v>
      </c>
      <c r="F402" s="55">
        <v>1932.57</v>
      </c>
      <c r="G402" s="10">
        <v>2.15</v>
      </c>
      <c r="H402" s="2"/>
      <c r="I402" s="5">
        <v>9</v>
      </c>
    </row>
    <row r="403" spans="1:11" x14ac:dyDescent="0.25">
      <c r="A403" s="2"/>
      <c r="B403" s="2" t="s">
        <v>225</v>
      </c>
      <c r="C403" s="9" t="s">
        <v>303</v>
      </c>
      <c r="D403" s="1"/>
      <c r="E403" s="55">
        <v>394456.82</v>
      </c>
      <c r="F403" s="55">
        <v>12341.31</v>
      </c>
      <c r="G403" s="10">
        <v>3.13</v>
      </c>
      <c r="H403" s="2"/>
      <c r="I403" s="5">
        <v>5</v>
      </c>
    </row>
    <row r="404" spans="1:11" x14ac:dyDescent="0.25">
      <c r="A404" s="2"/>
      <c r="B404" s="2" t="s">
        <v>225</v>
      </c>
      <c r="C404" s="9" t="s">
        <v>304</v>
      </c>
      <c r="D404" s="1"/>
      <c r="E404" s="55">
        <v>659182.14</v>
      </c>
      <c r="F404" s="55">
        <v>21852.14</v>
      </c>
      <c r="G404" s="10">
        <v>3.33</v>
      </c>
      <c r="H404" s="2"/>
      <c r="I404" s="5">
        <v>5</v>
      </c>
    </row>
    <row r="405" spans="1:11" x14ac:dyDescent="0.25">
      <c r="A405" s="2"/>
      <c r="B405" s="2" t="s">
        <v>226</v>
      </c>
      <c r="C405" s="9" t="s">
        <v>305</v>
      </c>
      <c r="D405" s="1"/>
      <c r="E405" s="60">
        <v>3786186.16</v>
      </c>
      <c r="F405" s="60">
        <v>148814.60999999999</v>
      </c>
      <c r="G405" s="10">
        <v>4.0199999999999996</v>
      </c>
      <c r="H405" s="2"/>
      <c r="I405" s="5">
        <v>5</v>
      </c>
      <c r="K405" s="43"/>
    </row>
    <row r="406" spans="1:11" x14ac:dyDescent="0.25">
      <c r="A406" s="2"/>
      <c r="B406" s="2" t="s">
        <v>226</v>
      </c>
      <c r="C406" s="9" t="s">
        <v>306</v>
      </c>
      <c r="D406" s="1"/>
      <c r="E406" s="60">
        <v>1152246.21</v>
      </c>
      <c r="F406" s="60">
        <v>38153.360000000001</v>
      </c>
      <c r="G406" s="10">
        <v>3.33</v>
      </c>
      <c r="H406" s="2"/>
      <c r="I406" s="5">
        <v>5</v>
      </c>
    </row>
    <row r="407" spans="1:11" x14ac:dyDescent="0.25">
      <c r="A407" s="2"/>
      <c r="B407" s="2" t="s">
        <v>226</v>
      </c>
      <c r="C407" s="9" t="s">
        <v>307</v>
      </c>
      <c r="D407" s="1"/>
      <c r="E407" s="60">
        <v>904028.8</v>
      </c>
      <c r="F407" s="60">
        <v>152948.92000000001</v>
      </c>
      <c r="G407" s="10">
        <v>20</v>
      </c>
      <c r="H407" s="2"/>
      <c r="I407" s="5">
        <v>5</v>
      </c>
      <c r="K407" s="43"/>
    </row>
    <row r="408" spans="1:11" x14ac:dyDescent="0.25">
      <c r="A408" s="2"/>
      <c r="B408" s="2" t="s">
        <v>227</v>
      </c>
      <c r="C408" s="9" t="s">
        <v>308</v>
      </c>
      <c r="D408" s="1"/>
      <c r="E408" s="60">
        <v>1579116.28</v>
      </c>
      <c r="F408" s="60">
        <v>206232.59</v>
      </c>
      <c r="G408" s="10">
        <v>13.06</v>
      </c>
      <c r="H408" s="2"/>
      <c r="I408" s="5">
        <v>5</v>
      </c>
    </row>
    <row r="409" spans="1:11" x14ac:dyDescent="0.25">
      <c r="A409" s="2"/>
      <c r="B409" s="2" t="s">
        <v>227</v>
      </c>
      <c r="C409" s="9" t="s">
        <v>309</v>
      </c>
      <c r="D409" s="1"/>
      <c r="E409" s="60">
        <v>11950146.17</v>
      </c>
      <c r="F409" s="60">
        <v>283430.23</v>
      </c>
      <c r="G409" s="10">
        <v>2.38</v>
      </c>
      <c r="H409" s="2"/>
      <c r="I409" s="5">
        <v>5</v>
      </c>
      <c r="K409" s="43"/>
    </row>
    <row r="410" spans="1:11" x14ac:dyDescent="0.25">
      <c r="A410" s="1"/>
      <c r="B410" s="2" t="s">
        <v>228</v>
      </c>
      <c r="C410" s="9" t="s">
        <v>118</v>
      </c>
      <c r="D410" s="1"/>
      <c r="E410" s="60">
        <v>1196079.6499999999</v>
      </c>
      <c r="F410" s="60">
        <v>0</v>
      </c>
      <c r="G410" s="10">
        <v>1.25</v>
      </c>
      <c r="H410" s="2"/>
      <c r="I410" s="5">
        <v>6</v>
      </c>
      <c r="K410" s="43"/>
    </row>
    <row r="411" spans="1:11" x14ac:dyDescent="0.25">
      <c r="A411" s="1"/>
      <c r="B411" s="2" t="s">
        <v>229</v>
      </c>
      <c r="C411" s="9" t="s">
        <v>310</v>
      </c>
      <c r="D411" s="1"/>
      <c r="E411" s="60">
        <f>20869496.48+2674.07+513040.17+2062209.45+523551.18+57413.13+216407.84+617956.38+608703.08+367365.5+9243</f>
        <v>25848060.279999997</v>
      </c>
      <c r="F411" s="60">
        <f>1003913.56+131.03+25138.98+94221.37+25654.01+2461.58+10819.41+22800.86+25746.09+15618.18+32.39</f>
        <v>1226537.46</v>
      </c>
      <c r="G411" s="10">
        <v>4.9000000000000004</v>
      </c>
      <c r="H411" s="2"/>
      <c r="I411" s="5">
        <v>6.67</v>
      </c>
    </row>
    <row r="412" spans="1:11" x14ac:dyDescent="0.25">
      <c r="A412" s="1"/>
      <c r="B412" s="2" t="s">
        <v>229</v>
      </c>
      <c r="C412" s="9" t="s">
        <v>311</v>
      </c>
      <c r="D412" s="1"/>
      <c r="E412" s="60">
        <v>4952030.95</v>
      </c>
      <c r="F412" s="60">
        <v>225874.16</v>
      </c>
      <c r="G412" s="10">
        <v>4.76</v>
      </c>
      <c r="H412" s="2"/>
      <c r="I412" s="5">
        <v>6.67</v>
      </c>
    </row>
    <row r="413" spans="1:11" x14ac:dyDescent="0.25">
      <c r="A413" s="1"/>
      <c r="B413" s="2" t="s">
        <v>229</v>
      </c>
      <c r="C413" s="9" t="s">
        <v>312</v>
      </c>
      <c r="D413" s="1"/>
      <c r="E413" s="60">
        <v>5777924.2300000004</v>
      </c>
      <c r="F413" s="60">
        <v>289474.01</v>
      </c>
      <c r="G413" s="10">
        <v>5.01</v>
      </c>
      <c r="H413" s="2"/>
      <c r="I413" s="5">
        <v>6.67</v>
      </c>
    </row>
    <row r="414" spans="1:11" x14ac:dyDescent="0.25">
      <c r="A414" s="1"/>
      <c r="B414" s="2" t="s">
        <v>229</v>
      </c>
      <c r="C414" s="9" t="s">
        <v>313</v>
      </c>
      <c r="D414" s="1"/>
      <c r="E414" s="60">
        <v>102865.01</v>
      </c>
      <c r="F414" s="60">
        <v>4340.8900000000003</v>
      </c>
      <c r="G414" s="10">
        <v>4.22</v>
      </c>
      <c r="H414" s="2"/>
      <c r="I414" s="5">
        <v>6.67</v>
      </c>
    </row>
    <row r="415" spans="1:11" x14ac:dyDescent="0.25">
      <c r="A415" s="1"/>
      <c r="B415" s="2" t="s">
        <v>229</v>
      </c>
      <c r="C415" s="9" t="s">
        <v>314</v>
      </c>
      <c r="D415" s="1"/>
      <c r="E415" s="60">
        <v>2750071.68</v>
      </c>
      <c r="F415" s="60">
        <v>88027.75</v>
      </c>
      <c r="G415" s="10">
        <v>3.29</v>
      </c>
      <c r="H415" s="2"/>
      <c r="I415" s="5">
        <v>6.67</v>
      </c>
    </row>
    <row r="416" spans="1:11" x14ac:dyDescent="0.25">
      <c r="A416" s="1"/>
      <c r="B416" s="2" t="s">
        <v>229</v>
      </c>
      <c r="C416" s="9" t="s">
        <v>315</v>
      </c>
      <c r="D416" s="1"/>
      <c r="E416" s="60">
        <v>131693.51999999999</v>
      </c>
      <c r="F416" s="60">
        <v>4578.88</v>
      </c>
      <c r="G416" s="10">
        <v>3.33</v>
      </c>
      <c r="H416" s="2"/>
      <c r="I416" s="5">
        <v>6.67</v>
      </c>
    </row>
    <row r="417" spans="1:11" x14ac:dyDescent="0.25">
      <c r="A417" s="1"/>
      <c r="B417" s="2" t="s">
        <v>229</v>
      </c>
      <c r="C417" s="9" t="s">
        <v>316</v>
      </c>
      <c r="D417" s="1"/>
      <c r="E417" s="60">
        <v>2087873.03</v>
      </c>
      <c r="F417" s="60">
        <v>103087.26</v>
      </c>
      <c r="G417" s="10">
        <v>4.9000000000000004</v>
      </c>
      <c r="H417" s="2"/>
      <c r="I417" s="5">
        <v>6.67</v>
      </c>
    </row>
    <row r="418" spans="1:11" x14ac:dyDescent="0.25">
      <c r="A418" s="1"/>
      <c r="B418" s="2" t="s">
        <v>229</v>
      </c>
      <c r="C418" s="9" t="s">
        <v>317</v>
      </c>
      <c r="D418" s="1"/>
      <c r="E418" s="60">
        <v>46183.15</v>
      </c>
      <c r="F418" s="60">
        <v>1756.96</v>
      </c>
      <c r="G418" s="10">
        <v>4.3499999999999996</v>
      </c>
      <c r="H418" s="2"/>
      <c r="I418" s="5">
        <v>6.67</v>
      </c>
    </row>
    <row r="419" spans="1:11" x14ac:dyDescent="0.25">
      <c r="A419" s="1"/>
      <c r="B419" s="2" t="s">
        <v>230</v>
      </c>
      <c r="C419" s="9" t="s">
        <v>318</v>
      </c>
      <c r="D419" s="1"/>
      <c r="E419" s="61">
        <v>432616.92</v>
      </c>
      <c r="F419" s="61">
        <v>16482.79</v>
      </c>
      <c r="G419" s="10">
        <v>4.17</v>
      </c>
      <c r="H419" s="2"/>
      <c r="I419" s="5">
        <v>6.67</v>
      </c>
      <c r="K419" s="43"/>
    </row>
    <row r="420" spans="1:11" x14ac:dyDescent="0.25">
      <c r="A420" s="1"/>
      <c r="B420" s="2"/>
      <c r="C420" s="9"/>
      <c r="D420" s="1"/>
      <c r="E420" s="55"/>
      <c r="F420" s="55"/>
      <c r="G420" s="10"/>
      <c r="H420" s="2"/>
      <c r="I420" s="5"/>
      <c r="K420" s="43"/>
    </row>
    <row r="421" spans="1:11" x14ac:dyDescent="0.25">
      <c r="A421" s="1"/>
      <c r="B421" s="35" t="s">
        <v>76</v>
      </c>
      <c r="C421" s="9"/>
      <c r="D421" s="1"/>
      <c r="E421" s="62">
        <f>SUM(E392:E419)</f>
        <v>129439014.43000004</v>
      </c>
      <c r="F421" s="62">
        <f>SUM(F392:F419)</f>
        <v>5851524.9199999981</v>
      </c>
      <c r="G421" s="10"/>
      <c r="H421" s="2"/>
      <c r="I421" s="5"/>
    </row>
    <row r="422" spans="1:11" x14ac:dyDescent="0.25">
      <c r="A422" s="1"/>
      <c r="B422" s="17"/>
      <c r="C422" s="9"/>
      <c r="D422" s="1"/>
      <c r="E422" s="27"/>
      <c r="F422" s="27"/>
      <c r="G422" s="10"/>
      <c r="H422" s="2"/>
      <c r="I422" s="5"/>
    </row>
    <row r="423" spans="1:11" x14ac:dyDescent="0.25">
      <c r="A423" s="1"/>
      <c r="C423" s="31" t="s">
        <v>359</v>
      </c>
      <c r="D423" s="1"/>
      <c r="E423" s="62">
        <f>E108+E169+E251+E315+E387+E421</f>
        <v>5408937856.5699997</v>
      </c>
      <c r="F423" s="62">
        <f>F108+F169+F251+F315+F387+F421</f>
        <v>151603763.13</v>
      </c>
      <c r="G423" s="18"/>
      <c r="H423" s="2"/>
      <c r="I423" s="5"/>
    </row>
    <row r="424" spans="1:11" x14ac:dyDescent="0.25">
      <c r="A424" s="1"/>
      <c r="C424" s="31"/>
      <c r="D424" s="1"/>
      <c r="E424" s="63"/>
      <c r="F424" s="63"/>
      <c r="G424" s="18"/>
      <c r="H424" s="2"/>
      <c r="I424" s="5"/>
    </row>
    <row r="425" spans="1:11" x14ac:dyDescent="0.25">
      <c r="A425" s="1"/>
      <c r="C425" s="31"/>
      <c r="D425" s="1"/>
      <c r="E425" s="63"/>
      <c r="F425" s="63"/>
      <c r="G425" s="18"/>
      <c r="H425" s="2"/>
      <c r="I425" s="5"/>
    </row>
    <row r="426" spans="1:11" x14ac:dyDescent="0.25">
      <c r="A426" s="35" t="s">
        <v>402</v>
      </c>
      <c r="C426" s="31"/>
      <c r="D426" s="1"/>
      <c r="E426" s="63"/>
      <c r="F426" s="63"/>
      <c r="G426" s="18"/>
      <c r="H426" s="2"/>
      <c r="I426" s="5"/>
    </row>
    <row r="427" spans="1:11" x14ac:dyDescent="0.25">
      <c r="B427" s="94" t="s">
        <v>185</v>
      </c>
      <c r="C427" s="75" t="s">
        <v>396</v>
      </c>
      <c r="D427" s="63"/>
      <c r="F427" s="95">
        <v>-114129.5</v>
      </c>
      <c r="G427" s="18"/>
      <c r="H427" s="2"/>
      <c r="I427" s="5"/>
    </row>
    <row r="428" spans="1:11" x14ac:dyDescent="0.25">
      <c r="B428" s="94" t="s">
        <v>207</v>
      </c>
      <c r="C428" s="75" t="s">
        <v>397</v>
      </c>
      <c r="D428" s="63"/>
      <c r="F428" s="95">
        <v>-165611.5</v>
      </c>
      <c r="G428" s="18"/>
      <c r="H428" s="2"/>
      <c r="I428" s="5"/>
    </row>
    <row r="429" spans="1:11" x14ac:dyDescent="0.25">
      <c r="B429" s="94" t="s">
        <v>213</v>
      </c>
      <c r="C429" s="75" t="s">
        <v>398</v>
      </c>
      <c r="D429" s="63"/>
      <c r="F429" s="95">
        <v>-353566</v>
      </c>
      <c r="G429" s="18"/>
      <c r="H429" s="2"/>
      <c r="I429" s="5"/>
    </row>
    <row r="430" spans="1:11" x14ac:dyDescent="0.25">
      <c r="B430" s="94" t="s">
        <v>217</v>
      </c>
      <c r="C430" s="75" t="s">
        <v>398</v>
      </c>
      <c r="D430" s="63"/>
      <c r="F430" s="73">
        <v>-453201</v>
      </c>
      <c r="G430" s="18"/>
      <c r="H430" s="2"/>
      <c r="I430" s="5"/>
    </row>
    <row r="431" spans="1:11" x14ac:dyDescent="0.25">
      <c r="B431" s="35" t="s">
        <v>401</v>
      </c>
      <c r="D431" s="63"/>
      <c r="F431" s="97">
        <f>SUM(F423:F430)</f>
        <v>150517255.13</v>
      </c>
      <c r="G431" s="18"/>
      <c r="H431" s="2"/>
      <c r="I431" s="5"/>
    </row>
    <row r="432" spans="1:11" x14ac:dyDescent="0.25">
      <c r="B432" s="94"/>
      <c r="C432" s="75"/>
      <c r="D432" s="63"/>
      <c r="F432" s="95"/>
      <c r="G432" s="18"/>
      <c r="H432" s="2"/>
      <c r="I432" s="5"/>
    </row>
    <row r="433" spans="1:9" x14ac:dyDescent="0.25">
      <c r="B433" s="94"/>
      <c r="C433" s="75"/>
      <c r="D433" s="63"/>
      <c r="F433" s="95"/>
      <c r="G433" s="18"/>
      <c r="H433" s="2"/>
      <c r="I433" s="5"/>
    </row>
    <row r="434" spans="1:9" x14ac:dyDescent="0.25">
      <c r="B434" s="94"/>
      <c r="C434" s="75"/>
      <c r="D434" s="63"/>
      <c r="F434" s="95"/>
      <c r="G434" s="18"/>
      <c r="H434" s="2"/>
      <c r="I434" s="5"/>
    </row>
    <row r="437" spans="1:9" x14ac:dyDescent="0.25">
      <c r="A437" s="922" t="s">
        <v>125</v>
      </c>
      <c r="B437" s="922"/>
      <c r="C437" s="922"/>
      <c r="D437" s="922"/>
      <c r="E437" s="922"/>
      <c r="F437" s="922"/>
      <c r="G437" s="922"/>
      <c r="H437" s="922"/>
      <c r="I437" s="922"/>
    </row>
    <row r="439" spans="1:9" x14ac:dyDescent="0.25">
      <c r="A439" s="14" t="s">
        <v>77</v>
      </c>
      <c r="D439" s="19"/>
      <c r="E439" s="42"/>
      <c r="F439" s="42"/>
      <c r="G439" s="19"/>
      <c r="H439" s="3"/>
      <c r="I439" s="4"/>
    </row>
    <row r="440" spans="1:9" x14ac:dyDescent="0.25">
      <c r="B440" s="20" t="s">
        <v>231</v>
      </c>
      <c r="C440" s="9" t="s">
        <v>2</v>
      </c>
      <c r="D440" s="19"/>
      <c r="E440" s="42">
        <f>454516.18+43406.61</f>
        <v>497922.79</v>
      </c>
      <c r="F440" s="42">
        <f>10726.58+426.24</f>
        <v>11152.82</v>
      </c>
      <c r="G440" s="22">
        <v>2.36</v>
      </c>
      <c r="H440" s="22"/>
      <c r="I440" s="5">
        <v>0.5</v>
      </c>
    </row>
    <row r="441" spans="1:9" x14ac:dyDescent="0.25">
      <c r="B441" s="20" t="s">
        <v>232</v>
      </c>
      <c r="C441" s="9" t="s">
        <v>78</v>
      </c>
      <c r="D441" s="19"/>
      <c r="E441" s="42">
        <f>5343901.65+714878.6</f>
        <v>6058780.25</v>
      </c>
      <c r="F441" s="42">
        <f>283065.78+38343.62</f>
        <v>321409.40000000002</v>
      </c>
      <c r="G441" s="22">
        <v>5.18</v>
      </c>
      <c r="H441" s="22"/>
      <c r="I441" s="2">
        <v>0.95</v>
      </c>
    </row>
    <row r="442" spans="1:9" x14ac:dyDescent="0.25">
      <c r="B442" s="20" t="s">
        <v>233</v>
      </c>
      <c r="C442" s="9" t="s">
        <v>79</v>
      </c>
      <c r="D442" s="19"/>
      <c r="E442" s="64">
        <v>4852.88</v>
      </c>
      <c r="F442" s="64">
        <v>430.92</v>
      </c>
      <c r="G442" s="22">
        <v>0.68</v>
      </c>
      <c r="H442" s="22"/>
      <c r="I442" s="2">
        <v>0.05</v>
      </c>
    </row>
    <row r="443" spans="1:9" x14ac:dyDescent="0.25">
      <c r="B443" s="20"/>
      <c r="C443" s="19"/>
      <c r="D443" s="19"/>
      <c r="E443" s="54"/>
      <c r="F443" s="54"/>
      <c r="G443" s="22"/>
      <c r="H443" s="22"/>
      <c r="I443" s="2"/>
    </row>
    <row r="444" spans="1:9" x14ac:dyDescent="0.25">
      <c r="B444" s="35" t="s">
        <v>126</v>
      </c>
      <c r="C444" s="14"/>
      <c r="D444" s="19"/>
      <c r="E444" s="42">
        <f>SUM(E440:E443)</f>
        <v>6561555.9199999999</v>
      </c>
      <c r="F444" s="42">
        <f>SUM(F440:F443)</f>
        <v>332993.14</v>
      </c>
      <c r="G444" s="22"/>
      <c r="H444" s="22"/>
      <c r="I444" s="2"/>
    </row>
    <row r="445" spans="1:9" x14ac:dyDescent="0.25">
      <c r="B445" s="20"/>
      <c r="C445" s="19"/>
      <c r="D445" s="19"/>
      <c r="E445" s="42"/>
      <c r="F445" s="42"/>
      <c r="G445" s="22"/>
      <c r="H445" s="22"/>
      <c r="I445" s="2"/>
    </row>
    <row r="446" spans="1:9" x14ac:dyDescent="0.25">
      <c r="A446" s="14" t="s">
        <v>80</v>
      </c>
      <c r="C446" s="19"/>
      <c r="D446" s="19"/>
      <c r="E446" s="42"/>
      <c r="F446" s="42"/>
      <c r="G446" s="22"/>
      <c r="H446" s="22"/>
      <c r="I446" s="2"/>
    </row>
    <row r="447" spans="1:9" x14ac:dyDescent="0.25">
      <c r="B447" s="20" t="s">
        <v>234</v>
      </c>
      <c r="C447" s="9" t="s">
        <v>81</v>
      </c>
      <c r="D447" s="19"/>
      <c r="E447" s="42">
        <v>208483.4</v>
      </c>
      <c r="F447" s="42">
        <v>11027.54</v>
      </c>
      <c r="G447" s="22">
        <v>3.44</v>
      </c>
      <c r="H447" s="22"/>
      <c r="I447" s="2">
        <v>1.63</v>
      </c>
    </row>
    <row r="448" spans="1:9" x14ac:dyDescent="0.25">
      <c r="B448" s="20" t="s">
        <v>235</v>
      </c>
      <c r="C448" s="9" t="s">
        <v>82</v>
      </c>
      <c r="D448" s="19"/>
      <c r="E448" s="42">
        <v>188992.47</v>
      </c>
      <c r="F448" s="42">
        <v>2441.0300000000002</v>
      </c>
      <c r="G448" s="22">
        <v>0.84</v>
      </c>
      <c r="H448" s="22"/>
      <c r="I448" s="2">
        <v>0.25</v>
      </c>
    </row>
    <row r="449" spans="1:11" x14ac:dyDescent="0.25">
      <c r="B449" s="20" t="s">
        <v>236</v>
      </c>
      <c r="C449" s="9" t="s">
        <v>83</v>
      </c>
      <c r="D449" s="19"/>
      <c r="E449" s="42">
        <v>2244.87</v>
      </c>
      <c r="F449" s="42">
        <v>0.9</v>
      </c>
      <c r="G449" s="22">
        <v>0.04</v>
      </c>
      <c r="H449" s="22"/>
      <c r="I449" s="5">
        <v>0</v>
      </c>
    </row>
    <row r="450" spans="1:11" x14ac:dyDescent="0.25">
      <c r="B450" s="20" t="s">
        <v>237</v>
      </c>
      <c r="C450" s="9" t="s">
        <v>84</v>
      </c>
      <c r="D450" s="19"/>
      <c r="E450" s="42">
        <v>137114.37</v>
      </c>
      <c r="F450" s="42">
        <v>3571.81</v>
      </c>
      <c r="G450" s="22">
        <v>3.03</v>
      </c>
      <c r="H450" s="22"/>
      <c r="I450" s="5">
        <v>1.5</v>
      </c>
      <c r="K450" s="43"/>
    </row>
    <row r="451" spans="1:11" x14ac:dyDescent="0.25">
      <c r="B451" s="20" t="s">
        <v>238</v>
      </c>
      <c r="C451" s="19" t="s">
        <v>85</v>
      </c>
      <c r="D451" s="19"/>
      <c r="E451" s="42">
        <v>7383330.0999999996</v>
      </c>
      <c r="F451" s="42">
        <v>176110.78</v>
      </c>
      <c r="G451" s="22">
        <v>2.36</v>
      </c>
      <c r="H451" s="22"/>
      <c r="I451" s="5">
        <v>1.2</v>
      </c>
    </row>
    <row r="452" spans="1:11" x14ac:dyDescent="0.25">
      <c r="B452" s="20" t="s">
        <v>239</v>
      </c>
      <c r="C452" s="19" t="s">
        <v>86</v>
      </c>
      <c r="D452" s="19"/>
      <c r="E452" s="42">
        <v>1432433.52</v>
      </c>
      <c r="F452" s="42">
        <v>43409.9</v>
      </c>
      <c r="G452" s="22">
        <v>3.06</v>
      </c>
      <c r="H452" s="22"/>
      <c r="I452" s="2">
        <v>2.02</v>
      </c>
    </row>
    <row r="453" spans="1:11" x14ac:dyDescent="0.25">
      <c r="B453" s="20" t="s">
        <v>240</v>
      </c>
      <c r="C453" s="19" t="s">
        <v>87</v>
      </c>
      <c r="D453" s="19"/>
      <c r="E453" s="42">
        <v>3338791.25</v>
      </c>
      <c r="F453" s="42">
        <v>109915.12</v>
      </c>
      <c r="G453" s="22">
        <v>3.42</v>
      </c>
      <c r="H453" s="22"/>
      <c r="I453" s="5">
        <v>2.1</v>
      </c>
      <c r="K453" s="43"/>
    </row>
    <row r="454" spans="1:11" x14ac:dyDescent="0.25">
      <c r="B454" s="20" t="s">
        <v>241</v>
      </c>
      <c r="C454" s="19" t="s">
        <v>88</v>
      </c>
      <c r="D454" s="19"/>
      <c r="E454" s="42">
        <v>1884148.22</v>
      </c>
      <c r="F454" s="42">
        <v>65329.04</v>
      </c>
      <c r="G454" s="22">
        <v>3.94</v>
      </c>
      <c r="H454" s="22"/>
      <c r="I454" s="5">
        <v>2.5</v>
      </c>
    </row>
    <row r="455" spans="1:11" x14ac:dyDescent="0.25">
      <c r="B455" s="20" t="s">
        <v>242</v>
      </c>
      <c r="C455" s="19" t="s">
        <v>89</v>
      </c>
      <c r="D455" s="19"/>
      <c r="E455" s="42">
        <v>7724749.5300000003</v>
      </c>
      <c r="F455" s="42">
        <v>306770.90999999997</v>
      </c>
      <c r="G455" s="22">
        <v>4.01</v>
      </c>
      <c r="H455" s="22"/>
      <c r="I455" s="5">
        <v>2.56</v>
      </c>
    </row>
    <row r="456" spans="1:11" x14ac:dyDescent="0.25">
      <c r="B456" s="20" t="s">
        <v>243</v>
      </c>
      <c r="C456" s="19" t="s">
        <v>90</v>
      </c>
      <c r="D456" s="19"/>
      <c r="E456" s="42">
        <v>466951.98</v>
      </c>
      <c r="F456" s="42">
        <v>13246.87</v>
      </c>
      <c r="G456" s="22">
        <v>3.86</v>
      </c>
      <c r="H456" s="22"/>
      <c r="I456" s="5">
        <v>3.27</v>
      </c>
    </row>
    <row r="457" spans="1:11" x14ac:dyDescent="0.25">
      <c r="B457" s="20" t="s">
        <v>244</v>
      </c>
      <c r="C457" s="19" t="s">
        <v>91</v>
      </c>
      <c r="D457" s="19"/>
      <c r="E457" s="42">
        <v>1006540.94</v>
      </c>
      <c r="F457" s="42">
        <v>39003</v>
      </c>
      <c r="G457" s="22">
        <v>3.86</v>
      </c>
      <c r="H457" s="22"/>
      <c r="I457" s="2">
        <v>1.88</v>
      </c>
    </row>
    <row r="458" spans="1:11" x14ac:dyDescent="0.25">
      <c r="B458" s="20" t="s">
        <v>245</v>
      </c>
      <c r="C458" s="19" t="s">
        <v>79</v>
      </c>
      <c r="D458" s="19"/>
      <c r="E458" s="64">
        <v>241648.2</v>
      </c>
      <c r="F458" s="64">
        <v>3081.33</v>
      </c>
      <c r="G458" s="22">
        <v>0.63</v>
      </c>
      <c r="H458" s="22"/>
      <c r="I458" s="2">
        <v>0.95</v>
      </c>
    </row>
    <row r="459" spans="1:11" x14ac:dyDescent="0.25">
      <c r="B459" s="20"/>
      <c r="C459" s="19"/>
      <c r="D459" s="19"/>
      <c r="E459" s="54"/>
      <c r="F459" s="54"/>
      <c r="G459" s="22"/>
      <c r="H459" s="22"/>
      <c r="I459" s="2"/>
    </row>
    <row r="460" spans="1:11" x14ac:dyDescent="0.25">
      <c r="B460" s="35" t="s">
        <v>127</v>
      </c>
      <c r="C460" s="19"/>
      <c r="D460" s="19"/>
      <c r="E460" s="42">
        <f>SUM(E447:E459)</f>
        <v>24015428.850000001</v>
      </c>
      <c r="F460" s="42">
        <f>SUM(F447:F459)</f>
        <v>773908.22999999986</v>
      </c>
      <c r="G460" s="22"/>
      <c r="H460" s="22"/>
      <c r="I460" s="19"/>
    </row>
    <row r="461" spans="1:11" x14ac:dyDescent="0.25">
      <c r="B461" s="20"/>
      <c r="C461" s="14"/>
      <c r="D461" s="19"/>
      <c r="E461" s="42"/>
      <c r="F461" s="42"/>
      <c r="G461" s="22"/>
      <c r="H461" s="22"/>
      <c r="I461" s="19"/>
    </row>
    <row r="462" spans="1:11" x14ac:dyDescent="0.25">
      <c r="A462" s="35" t="s">
        <v>92</v>
      </c>
      <c r="D462" s="19"/>
      <c r="E462" s="42"/>
      <c r="F462" s="42"/>
      <c r="G462" s="22"/>
      <c r="H462" s="22"/>
      <c r="I462" s="19"/>
    </row>
    <row r="463" spans="1:11" x14ac:dyDescent="0.25">
      <c r="B463" s="20" t="s">
        <v>246</v>
      </c>
      <c r="C463" s="19" t="s">
        <v>25</v>
      </c>
      <c r="D463" s="19"/>
      <c r="E463" s="42">
        <v>3973838.99</v>
      </c>
      <c r="F463" s="42">
        <v>121599.48</v>
      </c>
      <c r="G463" s="22">
        <v>3.06</v>
      </c>
      <c r="H463" s="22"/>
      <c r="I463" s="20">
        <v>2.86</v>
      </c>
    </row>
    <row r="464" spans="1:11" x14ac:dyDescent="0.25">
      <c r="B464" s="20" t="s">
        <v>247</v>
      </c>
      <c r="C464" s="19" t="s">
        <v>93</v>
      </c>
      <c r="D464" s="19"/>
      <c r="E464" s="42">
        <v>3683221.39</v>
      </c>
      <c r="F464" s="42">
        <v>82031.350000000006</v>
      </c>
      <c r="G464" s="22">
        <v>2.04</v>
      </c>
      <c r="H464" s="22"/>
      <c r="I464" s="23">
        <v>3.63</v>
      </c>
    </row>
    <row r="465" spans="1:11" x14ac:dyDescent="0.25">
      <c r="B465" s="20" t="s">
        <v>248</v>
      </c>
      <c r="C465" s="19" t="s">
        <v>91</v>
      </c>
      <c r="D465" s="19"/>
      <c r="E465" s="42">
        <v>3978019.77</v>
      </c>
      <c r="F465" s="42">
        <v>170643.46</v>
      </c>
      <c r="G465" s="22">
        <v>4.3</v>
      </c>
      <c r="H465" s="22"/>
      <c r="I465" s="20">
        <v>3.14</v>
      </c>
    </row>
    <row r="466" spans="1:11" x14ac:dyDescent="0.25">
      <c r="B466" s="20" t="s">
        <v>249</v>
      </c>
      <c r="C466" s="19" t="s">
        <v>94</v>
      </c>
      <c r="D466" s="19"/>
      <c r="E466" s="64">
        <v>970580.63</v>
      </c>
      <c r="F466" s="64">
        <v>65519.5</v>
      </c>
      <c r="G466" s="22">
        <v>6.94</v>
      </c>
      <c r="H466" s="22"/>
      <c r="I466" s="20">
        <v>3.21</v>
      </c>
    </row>
    <row r="467" spans="1:11" x14ac:dyDescent="0.25">
      <c r="B467" s="20"/>
      <c r="C467" s="19"/>
      <c r="D467" s="19"/>
      <c r="E467" s="54"/>
      <c r="F467" s="54"/>
      <c r="G467" s="22"/>
      <c r="H467" s="22"/>
      <c r="I467" s="20"/>
    </row>
    <row r="468" spans="1:11" x14ac:dyDescent="0.25">
      <c r="B468" s="35" t="s">
        <v>128</v>
      </c>
      <c r="C468" s="19"/>
      <c r="D468" s="19"/>
      <c r="E468" s="42">
        <f>SUM(E463:E467)</f>
        <v>12605660.780000001</v>
      </c>
      <c r="F468" s="42">
        <f>SUM(F463:F467)</f>
        <v>439793.79000000004</v>
      </c>
      <c r="G468" s="22"/>
      <c r="H468" s="22"/>
      <c r="I468" s="19"/>
    </row>
    <row r="469" spans="1:11" x14ac:dyDescent="0.25">
      <c r="B469" s="35"/>
      <c r="C469" s="19"/>
      <c r="D469" s="19"/>
      <c r="E469" s="42"/>
      <c r="F469" s="42"/>
      <c r="G469" s="22"/>
      <c r="H469" s="22"/>
      <c r="I469" s="19"/>
    </row>
    <row r="470" spans="1:11" x14ac:dyDescent="0.25">
      <c r="B470" s="35"/>
      <c r="C470" s="19"/>
      <c r="D470" s="19"/>
      <c r="E470" s="42"/>
      <c r="F470" s="42"/>
      <c r="G470" s="22"/>
      <c r="H470" s="22"/>
      <c r="I470" s="19"/>
    </row>
    <row r="471" spans="1:11" x14ac:dyDescent="0.25">
      <c r="B471" s="35"/>
      <c r="C471" s="19"/>
      <c r="D471" s="19"/>
      <c r="E471" s="42"/>
      <c r="F471" s="42"/>
      <c r="G471" s="22"/>
      <c r="H471" s="22"/>
      <c r="I471" s="19"/>
    </row>
    <row r="472" spans="1:11" x14ac:dyDescent="0.25">
      <c r="B472" s="20"/>
      <c r="C472" s="19"/>
      <c r="D472" s="19"/>
      <c r="E472" s="42"/>
      <c r="F472" s="42"/>
      <c r="G472" s="22"/>
      <c r="H472" s="22"/>
      <c r="I472" s="19"/>
    </row>
    <row r="473" spans="1:11" x14ac:dyDescent="0.25">
      <c r="A473" s="14" t="s">
        <v>67</v>
      </c>
      <c r="B473" s="20"/>
      <c r="D473" s="19"/>
      <c r="E473" s="42"/>
      <c r="F473" s="42"/>
      <c r="G473" s="22"/>
      <c r="H473" s="22"/>
      <c r="I473" s="19"/>
    </row>
    <row r="474" spans="1:11" x14ac:dyDescent="0.25">
      <c r="B474" s="20" t="s">
        <v>250</v>
      </c>
      <c r="C474" s="19" t="s">
        <v>38</v>
      </c>
      <c r="D474" s="19"/>
      <c r="E474" s="42">
        <f>83911.41+106009.36+4327607.9+3444976.13</f>
        <v>7962504.7999999998</v>
      </c>
      <c r="F474" s="42">
        <f>1292.24+1632.54+95101.52+70535.89</f>
        <v>168562.19</v>
      </c>
      <c r="G474" s="22">
        <v>1.81</v>
      </c>
      <c r="H474" s="22"/>
      <c r="I474" s="5">
        <v>2.0099999999999998</v>
      </c>
    </row>
    <row r="475" spans="1:11" x14ac:dyDescent="0.25">
      <c r="B475" s="20" t="s">
        <v>251</v>
      </c>
      <c r="C475" s="19" t="s">
        <v>25</v>
      </c>
      <c r="D475" s="19"/>
      <c r="E475" s="42">
        <f>7625109+502353.63</f>
        <v>8127462.6299999999</v>
      </c>
      <c r="F475" s="42">
        <f>233075.3+10976.53</f>
        <v>244051.83</v>
      </c>
      <c r="G475" s="22">
        <v>3.06</v>
      </c>
      <c r="H475" s="22"/>
      <c r="I475" s="2">
        <v>2.19</v>
      </c>
    </row>
    <row r="476" spans="1:11" x14ac:dyDescent="0.25">
      <c r="B476" s="20" t="s">
        <v>252</v>
      </c>
      <c r="C476" s="19" t="s">
        <v>95</v>
      </c>
      <c r="D476" s="19"/>
      <c r="E476" s="42">
        <v>1943690.93</v>
      </c>
      <c r="F476" s="42">
        <v>301358.94</v>
      </c>
      <c r="G476" s="22">
        <v>8.56</v>
      </c>
      <c r="H476" s="22"/>
      <c r="I476" s="5">
        <v>69.5</v>
      </c>
    </row>
    <row r="477" spans="1:11" x14ac:dyDescent="0.25">
      <c r="B477" s="20" t="s">
        <v>253</v>
      </c>
      <c r="C477" s="19" t="s">
        <v>96</v>
      </c>
      <c r="D477" s="19"/>
      <c r="E477" s="42">
        <v>677745585.51999998</v>
      </c>
      <c r="F477" s="42">
        <v>18236479.98</v>
      </c>
      <c r="G477" s="22">
        <v>2.79</v>
      </c>
      <c r="H477" s="22"/>
      <c r="I477" s="2">
        <v>2.77</v>
      </c>
    </row>
    <row r="478" spans="1:11" x14ac:dyDescent="0.25">
      <c r="B478" s="20" t="s">
        <v>254</v>
      </c>
      <c r="C478" s="19" t="s">
        <v>97</v>
      </c>
      <c r="D478" s="19"/>
      <c r="E478" s="42">
        <f>31181873.81+18073715.98</f>
        <v>49255589.789999999</v>
      </c>
      <c r="F478" s="42">
        <f>2332118.17+114467.07</f>
        <v>2446585.2399999998</v>
      </c>
      <c r="G478" s="22">
        <v>4.53</v>
      </c>
      <c r="H478" s="22"/>
      <c r="I478" s="2">
        <v>1.63</v>
      </c>
    </row>
    <row r="479" spans="1:11" x14ac:dyDescent="0.25">
      <c r="B479" s="20" t="s">
        <v>255</v>
      </c>
      <c r="C479" s="19" t="s">
        <v>98</v>
      </c>
      <c r="D479" s="19"/>
      <c r="E479" s="42">
        <f>206330421.53+67585356.27+27164307.78+1263424.38+32523115.66</f>
        <v>334866625.62000006</v>
      </c>
      <c r="F479" s="42">
        <f>6221977.3+1440304.02+504647.93+41061.31+797647.98</f>
        <v>9005638.5399999991</v>
      </c>
      <c r="G479" s="22">
        <v>3.25</v>
      </c>
      <c r="H479" s="22"/>
      <c r="I479" s="2">
        <v>3.27</v>
      </c>
    </row>
    <row r="480" spans="1:11" x14ac:dyDescent="0.25">
      <c r="B480" s="20" t="s">
        <v>256</v>
      </c>
      <c r="C480" s="19" t="s">
        <v>90</v>
      </c>
      <c r="D480" s="19"/>
      <c r="E480" s="42">
        <f>32628719.14+2211832.43+398622.54+2790279.24+20587926.44</f>
        <v>58617379.790000007</v>
      </c>
      <c r="F480" s="42">
        <f>1310616.34+70075.75+17187.22+90043.91+702091.49</f>
        <v>2190014.71</v>
      </c>
      <c r="G480" s="22">
        <v>4.26</v>
      </c>
      <c r="H480" s="22"/>
      <c r="I480" s="5">
        <v>4.17</v>
      </c>
      <c r="K480" s="43"/>
    </row>
    <row r="481" spans="1:11" x14ac:dyDescent="0.25">
      <c r="B481" s="20" t="s">
        <v>257</v>
      </c>
      <c r="C481" s="19" t="s">
        <v>71</v>
      </c>
      <c r="D481" s="19"/>
      <c r="E481" s="42">
        <f>532205319.37+28912294.62+211944.86</f>
        <v>561329558.85000002</v>
      </c>
      <c r="F481" s="42">
        <f>(9191203.56+5672546.93+281573.51+2060.21)+2026513.19</f>
        <v>17173897.400000002</v>
      </c>
      <c r="G481" s="22">
        <v>3.11</v>
      </c>
      <c r="H481" s="22"/>
      <c r="I481" s="2">
        <v>4.58</v>
      </c>
    </row>
    <row r="482" spans="1:11" x14ac:dyDescent="0.25">
      <c r="B482" s="20" t="s">
        <v>258</v>
      </c>
      <c r="C482" s="19" t="s">
        <v>99</v>
      </c>
      <c r="D482" s="19"/>
      <c r="E482" s="42">
        <v>10174155.49</v>
      </c>
      <c r="F482" s="42">
        <v>105806.2</v>
      </c>
      <c r="G482" s="22">
        <v>3.11</v>
      </c>
      <c r="H482" s="22"/>
      <c r="I482" s="2">
        <v>5.18</v>
      </c>
      <c r="K482" s="43"/>
    </row>
    <row r="483" spans="1:11" x14ac:dyDescent="0.25">
      <c r="B483" s="20" t="s">
        <v>259</v>
      </c>
      <c r="C483" s="19" t="s">
        <v>72</v>
      </c>
      <c r="D483" s="19"/>
      <c r="E483" s="42">
        <v>55892448.700000003</v>
      </c>
      <c r="F483" s="42">
        <v>1740118.83</v>
      </c>
      <c r="G483" s="22">
        <v>3.22</v>
      </c>
      <c r="H483" s="22"/>
      <c r="I483" s="2">
        <v>2.73</v>
      </c>
    </row>
    <row r="484" spans="1:11" x14ac:dyDescent="0.25">
      <c r="B484" s="20" t="s">
        <v>260</v>
      </c>
      <c r="C484" s="19" t="s">
        <v>100</v>
      </c>
      <c r="D484" s="19"/>
      <c r="E484" s="42">
        <v>127760998.3</v>
      </c>
      <c r="F484" s="42">
        <v>3620038.72</v>
      </c>
      <c r="G484" s="22">
        <v>2.25</v>
      </c>
      <c r="H484" s="22"/>
      <c r="I484" s="2">
        <v>2.23</v>
      </c>
    </row>
    <row r="485" spans="1:11" x14ac:dyDescent="0.25">
      <c r="B485" s="20" t="s">
        <v>261</v>
      </c>
      <c r="C485" s="19" t="s">
        <v>101</v>
      </c>
      <c r="D485" s="19"/>
      <c r="E485" s="42">
        <v>12858462.48</v>
      </c>
      <c r="F485" s="42">
        <v>416803.47</v>
      </c>
      <c r="G485" s="22">
        <v>3.37</v>
      </c>
      <c r="H485" s="22"/>
      <c r="I485" s="2">
        <v>2.41</v>
      </c>
    </row>
    <row r="486" spans="1:11" x14ac:dyDescent="0.25">
      <c r="B486" s="20" t="s">
        <v>262</v>
      </c>
      <c r="C486" s="19" t="s">
        <v>102</v>
      </c>
      <c r="D486" s="19"/>
      <c r="E486" s="42">
        <v>66390922.479999997</v>
      </c>
      <c r="F486" s="42">
        <v>577428.21</v>
      </c>
      <c r="G486" s="22">
        <v>2.2200000000000002</v>
      </c>
      <c r="H486" s="22"/>
      <c r="I486" s="2">
        <v>2.79</v>
      </c>
    </row>
    <row r="487" spans="1:11" x14ac:dyDescent="0.25">
      <c r="B487" s="2" t="s">
        <v>263</v>
      </c>
      <c r="C487" s="19" t="s">
        <v>103</v>
      </c>
      <c r="D487" s="19"/>
      <c r="E487" s="42">
        <f>4540883.87+16365924.46+13737412.85</f>
        <v>34644221.18</v>
      </c>
      <c r="F487" s="42">
        <f>140729.68+505899.75+406662.44</f>
        <v>1053291.8699999999</v>
      </c>
      <c r="G487" s="22">
        <v>3.09</v>
      </c>
      <c r="H487" s="22"/>
      <c r="I487" s="5">
        <v>3.91</v>
      </c>
    </row>
    <row r="488" spans="1:11" x14ac:dyDescent="0.25">
      <c r="B488" s="20" t="s">
        <v>264</v>
      </c>
      <c r="C488" s="19" t="s">
        <v>104</v>
      </c>
      <c r="D488" s="19"/>
      <c r="E488" s="42">
        <f>5453138.16+6769227.2</f>
        <v>12222365.359999999</v>
      </c>
      <c r="F488" s="42">
        <f>1093378.42+1546478.49</f>
        <v>2639856.91</v>
      </c>
      <c r="G488" s="22">
        <v>19.149999999999999</v>
      </c>
      <c r="H488" s="22"/>
      <c r="I488" s="2">
        <v>21.77</v>
      </c>
      <c r="K488" s="43"/>
    </row>
    <row r="489" spans="1:11" x14ac:dyDescent="0.25">
      <c r="B489" s="20" t="s">
        <v>265</v>
      </c>
      <c r="C489" s="19" t="s">
        <v>105</v>
      </c>
      <c r="D489" s="19"/>
      <c r="E489" s="42">
        <f>6184102.64+15102737.65</f>
        <v>21286840.289999999</v>
      </c>
      <c r="F489" s="42">
        <f>1360790.27+2782576.36</f>
        <v>4143366.63</v>
      </c>
      <c r="G489" s="22">
        <v>19.47</v>
      </c>
      <c r="H489" s="22"/>
      <c r="I489" s="2">
        <v>19.309999999999999</v>
      </c>
    </row>
    <row r="490" spans="1:11" x14ac:dyDescent="0.25">
      <c r="B490" s="20" t="s">
        <v>266</v>
      </c>
      <c r="C490" s="19" t="s">
        <v>106</v>
      </c>
      <c r="D490" s="19"/>
      <c r="E490" s="42">
        <v>2386768.92</v>
      </c>
      <c r="F490" s="42">
        <v>682576.2</v>
      </c>
      <c r="G490" s="22">
        <v>20</v>
      </c>
      <c r="H490" s="22"/>
      <c r="I490" s="2">
        <v>14.51</v>
      </c>
    </row>
    <row r="491" spans="1:11" x14ac:dyDescent="0.25">
      <c r="B491" s="20" t="s">
        <v>267</v>
      </c>
      <c r="C491" s="19" t="s">
        <v>107</v>
      </c>
      <c r="D491" s="19"/>
      <c r="E491" s="42">
        <v>252166.61</v>
      </c>
      <c r="F491" s="42">
        <v>98227.69</v>
      </c>
      <c r="G491" s="22">
        <v>39.01</v>
      </c>
      <c r="H491" s="22"/>
      <c r="I491" s="86">
        <v>23.33</v>
      </c>
    </row>
    <row r="492" spans="1:11" x14ac:dyDescent="0.25">
      <c r="B492" s="20" t="s">
        <v>268</v>
      </c>
      <c r="C492" s="19" t="s">
        <v>79</v>
      </c>
      <c r="D492" s="19"/>
      <c r="E492" s="64">
        <v>4414836.3499999996</v>
      </c>
      <c r="F492" s="64">
        <f>138711.67+127012</f>
        <v>265723.67000000004</v>
      </c>
      <c r="G492" s="22">
        <v>3.68</v>
      </c>
      <c r="H492" s="22"/>
      <c r="I492" s="20">
        <v>0</v>
      </c>
    </row>
    <row r="493" spans="1:11" x14ac:dyDescent="0.25">
      <c r="C493" s="19"/>
      <c r="D493" s="19"/>
      <c r="E493" s="42"/>
      <c r="F493" s="42"/>
      <c r="G493" s="22"/>
      <c r="H493" s="22"/>
      <c r="I493" s="19"/>
    </row>
    <row r="494" spans="1:11" x14ac:dyDescent="0.25">
      <c r="B494" s="35" t="s">
        <v>74</v>
      </c>
      <c r="C494" s="14"/>
      <c r="D494" s="19"/>
      <c r="E494" s="42">
        <f>SUM(E474:E493)</f>
        <v>2048132584.0899997</v>
      </c>
      <c r="F494" s="42">
        <f>SUM(F474:F493)</f>
        <v>65109827.229999997</v>
      </c>
      <c r="G494" s="22"/>
      <c r="H494" s="22"/>
      <c r="I494" s="19"/>
    </row>
    <row r="495" spans="1:11" x14ac:dyDescent="0.25">
      <c r="B495" s="20"/>
      <c r="C495" s="19"/>
      <c r="D495" s="19"/>
      <c r="E495" s="42"/>
      <c r="F495" s="42"/>
      <c r="G495" s="22"/>
      <c r="H495" s="22"/>
      <c r="I495" s="19"/>
    </row>
    <row r="496" spans="1:11" x14ac:dyDescent="0.25">
      <c r="A496" s="14" t="s">
        <v>75</v>
      </c>
      <c r="B496" s="20"/>
      <c r="D496" s="19"/>
      <c r="E496" s="42"/>
      <c r="F496" s="42"/>
      <c r="G496" s="22"/>
      <c r="H496" s="22"/>
      <c r="I496" s="19"/>
    </row>
    <row r="497" spans="2:11" x14ac:dyDescent="0.25">
      <c r="B497" s="20" t="s">
        <v>269</v>
      </c>
      <c r="C497" s="19" t="s">
        <v>25</v>
      </c>
      <c r="D497" s="19"/>
      <c r="E497" s="42">
        <v>231563.72</v>
      </c>
      <c r="F497" s="42">
        <v>6599.57</v>
      </c>
      <c r="G497" s="22">
        <v>2.85</v>
      </c>
      <c r="H497" s="22"/>
      <c r="I497" s="23">
        <v>89.59</v>
      </c>
    </row>
    <row r="498" spans="2:11" x14ac:dyDescent="0.25">
      <c r="B498" s="20" t="s">
        <v>270</v>
      </c>
      <c r="C498" s="19" t="s">
        <v>108</v>
      </c>
      <c r="D498" s="19"/>
      <c r="E498" s="42">
        <v>8099978.5199999996</v>
      </c>
      <c r="F498" s="42">
        <v>299496.46000000002</v>
      </c>
      <c r="G498" s="23">
        <v>3.7</v>
      </c>
      <c r="H498" s="23"/>
      <c r="I498" s="23">
        <v>5</v>
      </c>
    </row>
    <row r="499" spans="2:11" x14ac:dyDescent="0.25">
      <c r="B499" s="20" t="s">
        <v>270</v>
      </c>
      <c r="C499" s="19" t="s">
        <v>109</v>
      </c>
      <c r="D499" s="19"/>
      <c r="E499" s="42">
        <v>946702.11</v>
      </c>
      <c r="F499" s="42">
        <v>34459.96</v>
      </c>
      <c r="G499" s="23">
        <v>3.64</v>
      </c>
      <c r="H499" s="23"/>
      <c r="I499" s="23">
        <v>5</v>
      </c>
    </row>
    <row r="500" spans="2:11" x14ac:dyDescent="0.25">
      <c r="B500" s="20" t="s">
        <v>271</v>
      </c>
      <c r="C500" s="19" t="s">
        <v>110</v>
      </c>
      <c r="D500" s="19"/>
      <c r="E500" s="42">
        <f>236888.7+5742637.1</f>
        <v>5979525.7999999998</v>
      </c>
      <c r="F500" s="42">
        <f>31364.06+760325.15</f>
        <v>791689.21000000008</v>
      </c>
      <c r="G500" s="22">
        <v>13.24</v>
      </c>
      <c r="H500" s="22"/>
      <c r="I500" s="23">
        <v>20</v>
      </c>
    </row>
    <row r="501" spans="2:11" x14ac:dyDescent="0.25">
      <c r="B501" s="20" t="s">
        <v>271</v>
      </c>
      <c r="C501" s="19" t="s">
        <v>111</v>
      </c>
      <c r="D501" s="19"/>
      <c r="E501" s="42">
        <v>11905619.470000001</v>
      </c>
      <c r="F501" s="42">
        <v>440948.88</v>
      </c>
      <c r="G501" s="22">
        <v>3.7</v>
      </c>
      <c r="H501" s="22"/>
      <c r="I501" s="23">
        <v>20</v>
      </c>
    </row>
    <row r="502" spans="2:11" x14ac:dyDescent="0.25">
      <c r="B502" s="20" t="s">
        <v>367</v>
      </c>
      <c r="C502" s="19" t="s">
        <v>94</v>
      </c>
      <c r="D502" s="19"/>
      <c r="E502" s="42">
        <v>11368.52</v>
      </c>
      <c r="F502" s="42">
        <v>0.03</v>
      </c>
      <c r="G502" s="22">
        <v>7.14</v>
      </c>
      <c r="H502" s="22"/>
      <c r="I502" s="23">
        <v>9</v>
      </c>
      <c r="J502" t="s">
        <v>366</v>
      </c>
      <c r="K502" s="43"/>
    </row>
    <row r="503" spans="2:11" x14ac:dyDescent="0.25">
      <c r="B503" s="20" t="s">
        <v>272</v>
      </c>
      <c r="C503" s="19" t="s">
        <v>112</v>
      </c>
      <c r="D503" s="19"/>
      <c r="E503" s="42">
        <v>245735.5</v>
      </c>
      <c r="F503" s="42">
        <v>9116.7900000000009</v>
      </c>
      <c r="G503" s="22">
        <v>3.71</v>
      </c>
      <c r="H503" s="22"/>
      <c r="I503" s="23">
        <v>5</v>
      </c>
    </row>
    <row r="504" spans="2:11" x14ac:dyDescent="0.25">
      <c r="B504" s="20" t="s">
        <v>273</v>
      </c>
      <c r="C504" s="19" t="s">
        <v>113</v>
      </c>
      <c r="D504" s="19"/>
      <c r="E504" s="42">
        <v>990692.35</v>
      </c>
      <c r="F504" s="42">
        <v>36641.93</v>
      </c>
      <c r="G504" s="22">
        <v>3.98</v>
      </c>
      <c r="H504" s="22"/>
      <c r="I504" s="23">
        <v>5</v>
      </c>
    </row>
    <row r="505" spans="2:11" x14ac:dyDescent="0.25">
      <c r="B505" s="20" t="s">
        <v>273</v>
      </c>
      <c r="C505" s="19" t="s">
        <v>114</v>
      </c>
      <c r="D505" s="19"/>
      <c r="E505" s="42">
        <v>4847067.3499999996</v>
      </c>
      <c r="F505" s="42">
        <v>149444.10999999999</v>
      </c>
      <c r="G505" s="22">
        <v>3.16</v>
      </c>
      <c r="H505" s="22"/>
      <c r="I505" s="23">
        <v>5</v>
      </c>
    </row>
    <row r="506" spans="2:11" x14ac:dyDescent="0.25">
      <c r="B506" s="20" t="s">
        <v>273</v>
      </c>
      <c r="C506" s="19" t="s">
        <v>115</v>
      </c>
      <c r="D506" s="19"/>
      <c r="E506" s="42">
        <v>4833333.26</v>
      </c>
      <c r="F506" s="42">
        <v>70048.34</v>
      </c>
      <c r="G506" s="22">
        <v>4.3499999999999996</v>
      </c>
      <c r="H506" s="22"/>
      <c r="I506" s="23">
        <v>5</v>
      </c>
    </row>
    <row r="507" spans="2:11" x14ac:dyDescent="0.25">
      <c r="B507" s="20" t="s">
        <v>273</v>
      </c>
      <c r="C507" s="19" t="s">
        <v>116</v>
      </c>
      <c r="D507" s="19"/>
      <c r="E507" s="42">
        <v>219873.03</v>
      </c>
      <c r="F507" s="42">
        <v>33613.89</v>
      </c>
      <c r="G507" s="22">
        <v>20</v>
      </c>
      <c r="H507" s="22"/>
      <c r="I507" s="23">
        <v>5</v>
      </c>
      <c r="K507" s="43"/>
    </row>
    <row r="508" spans="2:11" x14ac:dyDescent="0.25">
      <c r="B508" s="20" t="s">
        <v>274</v>
      </c>
      <c r="C508" s="19" t="s">
        <v>117</v>
      </c>
      <c r="D508" s="19"/>
      <c r="E508" s="42">
        <v>1558079.73</v>
      </c>
      <c r="F508" s="42">
        <v>40423.839999999997</v>
      </c>
      <c r="G508" s="22">
        <v>2.71</v>
      </c>
      <c r="H508" s="22"/>
      <c r="I508" s="23">
        <v>5</v>
      </c>
    </row>
    <row r="509" spans="2:11" x14ac:dyDescent="0.25">
      <c r="B509" s="20" t="s">
        <v>275</v>
      </c>
      <c r="C509" s="19" t="s">
        <v>118</v>
      </c>
      <c r="D509" s="19"/>
      <c r="E509" s="42">
        <v>586312.37</v>
      </c>
      <c r="F509" s="42">
        <v>72256.679999999993</v>
      </c>
      <c r="G509" s="22">
        <v>14.29</v>
      </c>
      <c r="H509" s="22"/>
      <c r="I509" s="23">
        <v>6</v>
      </c>
      <c r="J509" t="s">
        <v>366</v>
      </c>
    </row>
    <row r="510" spans="2:11" x14ac:dyDescent="0.25">
      <c r="B510" s="20" t="s">
        <v>276</v>
      </c>
      <c r="C510" s="19" t="s">
        <v>119</v>
      </c>
      <c r="D510" s="19"/>
      <c r="E510" s="42">
        <f>6671654.96+65114.16+7341.36+98734.9</f>
        <v>6842845.3800000008</v>
      </c>
      <c r="F510" s="42">
        <f>340769.63+3281.75+341.12+4959.29</f>
        <v>349351.79</v>
      </c>
      <c r="G510" s="22">
        <v>5.04</v>
      </c>
      <c r="H510" s="22"/>
      <c r="I510" s="23">
        <v>6.67</v>
      </c>
    </row>
    <row r="511" spans="2:11" x14ac:dyDescent="0.25">
      <c r="B511" s="20" t="s">
        <v>276</v>
      </c>
      <c r="C511" s="19" t="s">
        <v>120</v>
      </c>
      <c r="D511" s="19"/>
      <c r="E511" s="42">
        <v>346938.97</v>
      </c>
      <c r="F511" s="42">
        <v>14363.26</v>
      </c>
      <c r="G511" s="22">
        <v>4.1399999999999997</v>
      </c>
      <c r="H511" s="22"/>
      <c r="I511" s="23">
        <v>6.67</v>
      </c>
      <c r="K511" s="43"/>
    </row>
    <row r="512" spans="2:11" x14ac:dyDescent="0.25">
      <c r="B512" s="20" t="s">
        <v>277</v>
      </c>
      <c r="C512" s="19" t="s">
        <v>121</v>
      </c>
      <c r="D512" s="19"/>
      <c r="E512" s="64">
        <v>294451.63</v>
      </c>
      <c r="F512" s="64">
        <f>3751.41+8643.93</f>
        <v>12395.34</v>
      </c>
      <c r="G512" s="22">
        <v>3.85</v>
      </c>
      <c r="H512" s="22"/>
      <c r="I512" s="23">
        <v>6.67</v>
      </c>
    </row>
    <row r="513" spans="1:9" x14ac:dyDescent="0.25">
      <c r="B513" s="20"/>
      <c r="C513" s="19"/>
      <c r="D513" s="19"/>
      <c r="E513" s="42"/>
      <c r="F513" s="42"/>
      <c r="G513" s="21"/>
      <c r="H513" s="24"/>
      <c r="I513" s="38"/>
    </row>
    <row r="514" spans="1:9" x14ac:dyDescent="0.25">
      <c r="B514" s="35" t="s">
        <v>76</v>
      </c>
      <c r="C514" s="14"/>
      <c r="D514" s="19"/>
      <c r="E514" s="64">
        <f>SUM(E497:E513)</f>
        <v>47940087.709999993</v>
      </c>
      <c r="F514" s="64">
        <f>SUM(F497:F513)</f>
        <v>2360850.0799999996</v>
      </c>
      <c r="G514" s="25"/>
      <c r="H514" s="24"/>
      <c r="I514" s="38"/>
    </row>
    <row r="515" spans="1:9" x14ac:dyDescent="0.25">
      <c r="B515" s="20"/>
      <c r="C515" s="19"/>
      <c r="D515" s="19"/>
      <c r="E515" s="42"/>
      <c r="F515" s="42"/>
      <c r="G515" s="21"/>
      <c r="H515" s="24"/>
      <c r="I515" s="38"/>
    </row>
    <row r="516" spans="1:9" x14ac:dyDescent="0.25">
      <c r="B516" s="20"/>
      <c r="C516" s="31" t="s">
        <v>360</v>
      </c>
      <c r="D516" s="19"/>
      <c r="E516" s="62">
        <f>SUM(E514,E494,E468,E460,E444)</f>
        <v>2139255317.3499997</v>
      </c>
      <c r="F516" s="62">
        <f>SUM(F514,F494,F468,F460,F444)</f>
        <v>69017372.470000014</v>
      </c>
      <c r="G516" s="25"/>
      <c r="H516" s="24"/>
      <c r="I516" s="38"/>
    </row>
    <row r="517" spans="1:9" x14ac:dyDescent="0.25">
      <c r="B517" s="20"/>
      <c r="C517" s="31"/>
      <c r="D517" s="19"/>
      <c r="E517" s="54"/>
      <c r="F517" s="54"/>
      <c r="G517" s="25"/>
      <c r="H517" s="24"/>
      <c r="I517" s="38"/>
    </row>
    <row r="518" spans="1:9" x14ac:dyDescent="0.25">
      <c r="A518" s="35" t="s">
        <v>402</v>
      </c>
      <c r="C518" s="31"/>
      <c r="D518" s="19"/>
      <c r="E518" s="54"/>
      <c r="F518" s="54"/>
      <c r="G518" s="25"/>
      <c r="H518" s="24"/>
      <c r="I518" s="38"/>
    </row>
    <row r="519" spans="1:9" x14ac:dyDescent="0.25">
      <c r="B519" s="94" t="s">
        <v>333</v>
      </c>
      <c r="C519" s="75" t="s">
        <v>409</v>
      </c>
      <c r="D519" s="19"/>
      <c r="E519" s="54"/>
      <c r="F519" s="73">
        <v>-918141.63</v>
      </c>
      <c r="G519" s="25"/>
      <c r="H519" s="24"/>
      <c r="I519" s="38"/>
    </row>
    <row r="520" spans="1:9" x14ac:dyDescent="0.25">
      <c r="B520" s="35" t="s">
        <v>403</v>
      </c>
      <c r="D520" s="19"/>
      <c r="E520" s="54"/>
      <c r="F520" s="97">
        <f>SUM(F516:F519)</f>
        <v>68099230.840000018</v>
      </c>
      <c r="G520" s="25"/>
      <c r="H520" s="24"/>
      <c r="I520" s="38"/>
    </row>
    <row r="521" spans="1:9" x14ac:dyDescent="0.25">
      <c r="B521" s="94"/>
      <c r="C521" s="75"/>
      <c r="D521" s="19"/>
      <c r="E521" s="54"/>
      <c r="F521" s="95"/>
      <c r="G521" s="25"/>
      <c r="H521" s="24"/>
      <c r="I521" s="38"/>
    </row>
    <row r="522" spans="1:9" x14ac:dyDescent="0.25">
      <c r="B522" s="94"/>
      <c r="C522" s="75"/>
      <c r="D522" s="19"/>
      <c r="E522" s="54"/>
      <c r="F522" s="95"/>
      <c r="G522" s="25"/>
      <c r="H522" s="24"/>
      <c r="I522" s="38"/>
    </row>
    <row r="523" spans="1:9" x14ac:dyDescent="0.25">
      <c r="B523" s="20"/>
      <c r="C523" s="17"/>
      <c r="D523" s="19"/>
      <c r="E523" s="54"/>
      <c r="F523" s="54"/>
      <c r="G523" s="25"/>
      <c r="H523" s="24"/>
      <c r="I523" s="38"/>
    </row>
    <row r="524" spans="1:9" ht="13.8" thickBot="1" x14ac:dyDescent="0.3">
      <c r="B524" s="923" t="s">
        <v>361</v>
      </c>
      <c r="C524" s="923"/>
      <c r="D524" s="19"/>
      <c r="E524" s="67">
        <f>SUM(E516,E423,E24)</f>
        <v>7685691275.7199993</v>
      </c>
      <c r="F524" s="67">
        <f>SUM(F520,F431,F24)</f>
        <v>225416612.11000001</v>
      </c>
      <c r="G524" s="25" t="s">
        <v>410</v>
      </c>
      <c r="H524" s="24"/>
      <c r="I524" s="38"/>
    </row>
    <row r="525" spans="1:9" ht="13.8" thickTop="1" x14ac:dyDescent="0.25">
      <c r="B525" s="31"/>
      <c r="C525" s="31"/>
      <c r="D525" s="19"/>
      <c r="E525" s="63"/>
      <c r="F525" s="63"/>
      <c r="G525" s="25"/>
      <c r="H525" s="24"/>
      <c r="I525" s="38"/>
    </row>
    <row r="526" spans="1:9" x14ac:dyDescent="0.25">
      <c r="C526" s="31"/>
      <c r="D526" s="19"/>
      <c r="E526" s="63"/>
      <c r="F526" s="63"/>
      <c r="G526" s="25"/>
      <c r="H526" s="24"/>
      <c r="I526" s="38"/>
    </row>
    <row r="527" spans="1:9" x14ac:dyDescent="0.25">
      <c r="G527" s="25"/>
      <c r="H527" s="24"/>
      <c r="I527" s="38"/>
    </row>
    <row r="528" spans="1:9" x14ac:dyDescent="0.25">
      <c r="G528" s="25"/>
      <c r="H528" s="24"/>
      <c r="I528" s="38"/>
    </row>
    <row r="529" spans="2:9" x14ac:dyDescent="0.25">
      <c r="G529" s="25"/>
      <c r="H529" s="24"/>
      <c r="I529" s="38"/>
    </row>
    <row r="530" spans="2:9" x14ac:dyDescent="0.25">
      <c r="G530" s="25"/>
      <c r="H530" s="24"/>
      <c r="I530" s="38"/>
    </row>
    <row r="531" spans="2:9" x14ac:dyDescent="0.25">
      <c r="B531" s="20"/>
      <c r="C531" s="19"/>
      <c r="D531" s="19"/>
      <c r="E531" s="42"/>
      <c r="F531" s="42"/>
      <c r="G531" s="19"/>
      <c r="H531" s="19"/>
      <c r="I531" s="20"/>
    </row>
    <row r="532" spans="2:9" x14ac:dyDescent="0.25">
      <c r="B532" s="35" t="s">
        <v>339</v>
      </c>
      <c r="C532" s="19"/>
      <c r="D532" s="19"/>
      <c r="E532" s="42"/>
      <c r="F532" s="42"/>
      <c r="G532" s="19"/>
      <c r="H532" s="19"/>
      <c r="I532" s="20"/>
    </row>
    <row r="533" spans="2:9" x14ac:dyDescent="0.25">
      <c r="B533" s="20" t="s">
        <v>145</v>
      </c>
      <c r="C533" s="19" t="s">
        <v>146</v>
      </c>
      <c r="D533" s="19"/>
      <c r="E533" s="42">
        <v>128165.89</v>
      </c>
      <c r="F533" s="42"/>
      <c r="G533" s="19"/>
      <c r="H533" s="19"/>
      <c r="I533" s="20"/>
    </row>
    <row r="534" spans="2:9" x14ac:dyDescent="0.25">
      <c r="B534" s="20" t="s">
        <v>147</v>
      </c>
      <c r="C534" s="19" t="s">
        <v>144</v>
      </c>
      <c r="D534" s="19"/>
      <c r="E534" s="42">
        <v>274768234.76999998</v>
      </c>
      <c r="F534" s="42"/>
      <c r="G534" s="19"/>
      <c r="H534" s="19"/>
      <c r="I534" s="20"/>
    </row>
    <row r="535" spans="2:9" x14ac:dyDescent="0.25">
      <c r="B535" s="26" t="s">
        <v>148</v>
      </c>
      <c r="C535" t="s">
        <v>149</v>
      </c>
      <c r="E535" s="41">
        <v>1869964.73</v>
      </c>
    </row>
    <row r="536" spans="2:9" x14ac:dyDescent="0.25">
      <c r="B536" s="26" t="s">
        <v>137</v>
      </c>
      <c r="C536" t="s">
        <v>143</v>
      </c>
      <c r="E536" s="41">
        <v>58224914.079999998</v>
      </c>
    </row>
    <row r="537" spans="2:9" x14ac:dyDescent="0.25">
      <c r="B537" s="26" t="s">
        <v>150</v>
      </c>
      <c r="C537" t="s">
        <v>151</v>
      </c>
      <c r="E537" s="41">
        <v>2290120.5</v>
      </c>
    </row>
    <row r="538" spans="2:9" x14ac:dyDescent="0.25">
      <c r="B538" s="26" t="s">
        <v>152</v>
      </c>
      <c r="C538" t="s">
        <v>153</v>
      </c>
      <c r="E538" s="41">
        <v>12097</v>
      </c>
      <c r="G538" s="43"/>
    </row>
    <row r="539" spans="2:9" x14ac:dyDescent="0.25">
      <c r="C539" s="26" t="s">
        <v>368</v>
      </c>
      <c r="E539" s="44">
        <f>SUM(E533:E538)</f>
        <v>337293496.96999997</v>
      </c>
      <c r="F539" s="47"/>
      <c r="G539" s="43"/>
    </row>
    <row r="540" spans="2:9" x14ac:dyDescent="0.25">
      <c r="G540" s="43"/>
    </row>
    <row r="541" spans="2:9" x14ac:dyDescent="0.25">
      <c r="B541" s="26" t="s">
        <v>166</v>
      </c>
      <c r="C541" t="s">
        <v>168</v>
      </c>
      <c r="E541" s="41">
        <v>114201.76</v>
      </c>
      <c r="G541" s="43"/>
    </row>
    <row r="542" spans="2:9" x14ac:dyDescent="0.25">
      <c r="B542" s="26" t="s">
        <v>167</v>
      </c>
      <c r="C542" t="s">
        <v>169</v>
      </c>
      <c r="E542" s="41">
        <v>14317517.109999999</v>
      </c>
      <c r="G542" s="43"/>
    </row>
    <row r="543" spans="2:9" x14ac:dyDescent="0.25">
      <c r="B543" s="26" t="s">
        <v>138</v>
      </c>
      <c r="C543" t="s">
        <v>144</v>
      </c>
      <c r="E543" s="41">
        <v>14833195.98</v>
      </c>
    </row>
    <row r="544" spans="2:9" x14ac:dyDescent="0.25">
      <c r="B544" s="26" t="s">
        <v>170</v>
      </c>
      <c r="C544" t="s">
        <v>171</v>
      </c>
      <c r="E544" s="41">
        <v>4441484.08</v>
      </c>
    </row>
    <row r="545" spans="2:7" x14ac:dyDescent="0.25">
      <c r="B545" s="26" t="s">
        <v>174</v>
      </c>
      <c r="C545" t="s">
        <v>175</v>
      </c>
      <c r="E545" s="41">
        <v>1358627</v>
      </c>
    </row>
    <row r="546" spans="2:7" x14ac:dyDescent="0.25">
      <c r="B546" s="26" t="s">
        <v>176</v>
      </c>
      <c r="C546" t="s">
        <v>177</v>
      </c>
      <c r="E546" s="41">
        <v>5008136.59</v>
      </c>
    </row>
    <row r="547" spans="2:7" x14ac:dyDescent="0.25">
      <c r="B547" s="26" t="s">
        <v>278</v>
      </c>
      <c r="C547" t="s">
        <v>279</v>
      </c>
      <c r="E547" s="41">
        <v>11462977.630000001</v>
      </c>
      <c r="G547" s="43"/>
    </row>
    <row r="548" spans="2:7" x14ac:dyDescent="0.25">
      <c r="B548" s="26" t="s">
        <v>139</v>
      </c>
      <c r="C548" t="s">
        <v>282</v>
      </c>
      <c r="E548" s="41">
        <v>8693.85</v>
      </c>
      <c r="G548" s="43"/>
    </row>
    <row r="549" spans="2:7" x14ac:dyDescent="0.25">
      <c r="B549" s="26" t="s">
        <v>140</v>
      </c>
      <c r="C549" t="s">
        <v>141</v>
      </c>
      <c r="E549" s="41">
        <v>358838.65</v>
      </c>
    </row>
    <row r="550" spans="2:7" x14ac:dyDescent="0.25">
      <c r="B550" s="26" t="s">
        <v>280</v>
      </c>
      <c r="C550" t="s">
        <v>281</v>
      </c>
      <c r="E550" s="41">
        <v>830680</v>
      </c>
    </row>
    <row r="551" spans="2:7" x14ac:dyDescent="0.25">
      <c r="B551" s="26" t="s">
        <v>283</v>
      </c>
      <c r="C551" t="s">
        <v>284</v>
      </c>
      <c r="E551" s="41">
        <v>2762880.23</v>
      </c>
    </row>
    <row r="552" spans="2:7" x14ac:dyDescent="0.25">
      <c r="B552" s="26" t="s">
        <v>210</v>
      </c>
      <c r="C552" t="s">
        <v>342</v>
      </c>
      <c r="E552" s="41">
        <v>1813195</v>
      </c>
    </row>
    <row r="553" spans="2:7" x14ac:dyDescent="0.25">
      <c r="B553" s="26" t="s">
        <v>285</v>
      </c>
      <c r="C553" t="s">
        <v>286</v>
      </c>
      <c r="E553" s="41">
        <v>22831409.629999999</v>
      </c>
    </row>
    <row r="554" spans="2:7" x14ac:dyDescent="0.25">
      <c r="B554" s="26" t="s">
        <v>287</v>
      </c>
      <c r="C554" t="s">
        <v>289</v>
      </c>
      <c r="E554" s="41">
        <v>732313.83</v>
      </c>
    </row>
    <row r="555" spans="2:7" x14ac:dyDescent="0.25">
      <c r="B555" s="26" t="s">
        <v>288</v>
      </c>
      <c r="C555" t="s">
        <v>290</v>
      </c>
      <c r="E555" s="41">
        <v>6561754</v>
      </c>
    </row>
    <row r="556" spans="2:7" x14ac:dyDescent="0.25">
      <c r="B556" s="26" t="s">
        <v>291</v>
      </c>
      <c r="C556" t="s">
        <v>292</v>
      </c>
      <c r="E556" s="41">
        <v>6503791.6900000004</v>
      </c>
    </row>
    <row r="557" spans="2:7" x14ac:dyDescent="0.25">
      <c r="B557" s="26" t="s">
        <v>142</v>
      </c>
      <c r="C557" t="s">
        <v>143</v>
      </c>
      <c r="E557" s="41">
        <v>59052.57</v>
      </c>
    </row>
    <row r="558" spans="2:7" x14ac:dyDescent="0.25">
      <c r="B558" s="26" t="s">
        <v>319</v>
      </c>
      <c r="C558" t="s">
        <v>320</v>
      </c>
      <c r="E558" s="41">
        <v>16026</v>
      </c>
    </row>
    <row r="559" spans="2:7" x14ac:dyDescent="0.25">
      <c r="C559" s="26" t="s">
        <v>369</v>
      </c>
      <c r="E559" s="44">
        <f>SUM(E541:E558)</f>
        <v>94014775.599999979</v>
      </c>
      <c r="G559" s="43"/>
    </row>
    <row r="561" spans="2:6" x14ac:dyDescent="0.25">
      <c r="B561" s="26" t="s">
        <v>321</v>
      </c>
      <c r="C561" t="s">
        <v>168</v>
      </c>
      <c r="E561" s="41">
        <v>158691.96</v>
      </c>
    </row>
    <row r="562" spans="2:6" x14ac:dyDescent="0.25">
      <c r="B562" s="26" t="s">
        <v>322</v>
      </c>
      <c r="C562" t="s">
        <v>325</v>
      </c>
      <c r="E562" s="41">
        <v>58000.19</v>
      </c>
    </row>
    <row r="563" spans="2:6" x14ac:dyDescent="0.25">
      <c r="B563" s="26" t="s">
        <v>323</v>
      </c>
      <c r="C563" t="s">
        <v>326</v>
      </c>
      <c r="E563" s="41">
        <v>13979096.119999999</v>
      </c>
    </row>
    <row r="564" spans="2:6" x14ac:dyDescent="0.25">
      <c r="B564" s="26" t="s">
        <v>324</v>
      </c>
      <c r="C564" t="s">
        <v>327</v>
      </c>
      <c r="E564" s="41">
        <v>153210.76999999999</v>
      </c>
    </row>
    <row r="565" spans="2:6" x14ac:dyDescent="0.25">
      <c r="B565" s="26" t="s">
        <v>328</v>
      </c>
      <c r="C565" t="s">
        <v>329</v>
      </c>
      <c r="E565" s="41">
        <v>470432.41</v>
      </c>
    </row>
    <row r="566" spans="2:6" x14ac:dyDescent="0.25">
      <c r="B566" s="26" t="s">
        <v>330</v>
      </c>
      <c r="C566" t="s">
        <v>332</v>
      </c>
      <c r="E566" s="41">
        <v>1704569.38</v>
      </c>
    </row>
    <row r="567" spans="2:6" x14ac:dyDescent="0.25">
      <c r="B567" s="26" t="s">
        <v>331</v>
      </c>
      <c r="C567" t="s">
        <v>286</v>
      </c>
      <c r="E567" s="41">
        <v>3388263.7</v>
      </c>
    </row>
    <row r="568" spans="2:6" x14ac:dyDescent="0.25">
      <c r="B568" s="26" t="s">
        <v>333</v>
      </c>
      <c r="C568" t="s">
        <v>334</v>
      </c>
      <c r="E568" s="41">
        <v>18312374.109999999</v>
      </c>
      <c r="F568" s="96" t="s">
        <v>399</v>
      </c>
    </row>
    <row r="569" spans="2:6" x14ac:dyDescent="0.25">
      <c r="B569" s="26" t="s">
        <v>257</v>
      </c>
      <c r="C569" t="s">
        <v>335</v>
      </c>
      <c r="E569" s="41">
        <v>13240146.789999999</v>
      </c>
      <c r="F569" s="96" t="s">
        <v>400</v>
      </c>
    </row>
    <row r="570" spans="2:6" x14ac:dyDescent="0.25">
      <c r="B570" s="26" t="s">
        <v>336</v>
      </c>
      <c r="C570" t="s">
        <v>290</v>
      </c>
      <c r="E570" s="41">
        <v>6719856</v>
      </c>
    </row>
    <row r="571" spans="2:6" x14ac:dyDescent="0.25">
      <c r="B571" s="26" t="s">
        <v>337</v>
      </c>
      <c r="C571" t="s">
        <v>338</v>
      </c>
      <c r="E571" s="41">
        <v>22728.67</v>
      </c>
    </row>
    <row r="572" spans="2:6" x14ac:dyDescent="0.25">
      <c r="C572" s="26" t="s">
        <v>370</v>
      </c>
      <c r="E572" s="44">
        <f>SUM(E561:E571)</f>
        <v>58207370.100000001</v>
      </c>
    </row>
    <row r="573" spans="2:6" x14ac:dyDescent="0.25">
      <c r="C573" s="26"/>
      <c r="E573" s="47"/>
    </row>
    <row r="574" spans="2:6" ht="13.8" thickBot="1" x14ac:dyDescent="0.3">
      <c r="B574" s="920" t="s">
        <v>362</v>
      </c>
      <c r="C574" s="920"/>
      <c r="E574" s="68">
        <f>SUM(E572,E559,E539)</f>
        <v>489515642.66999996</v>
      </c>
    </row>
    <row r="575" spans="2:6" ht="13.8" thickTop="1" x14ac:dyDescent="0.25">
      <c r="C575" s="26"/>
      <c r="E575" s="47"/>
    </row>
    <row r="576" spans="2:6" x14ac:dyDescent="0.25">
      <c r="C576" s="26"/>
      <c r="E576" s="47"/>
    </row>
    <row r="577" spans="3:5" ht="13.8" thickBot="1" x14ac:dyDescent="0.3">
      <c r="C577" s="65" t="s">
        <v>357</v>
      </c>
      <c r="D577" s="32"/>
      <c r="E577" s="66">
        <f>SUM(E574,E524)</f>
        <v>8175206918.3899994</v>
      </c>
    </row>
    <row r="578" spans="3:5" ht="13.8" thickTop="1" x14ac:dyDescent="0.25"/>
  </sheetData>
  <mergeCells count="5">
    <mergeCell ref="B574:C574"/>
    <mergeCell ref="A6:I6"/>
    <mergeCell ref="A27:I27"/>
    <mergeCell ref="A437:I437"/>
    <mergeCell ref="B524:C524"/>
  </mergeCells>
  <phoneticPr fontId="11" type="noConversion"/>
  <pageMargins left="0.25" right="0.25" top="1" bottom="0.75" header="0.25" footer="0.25"/>
  <pageSetup orientation="landscape" verticalDpi="0" r:id="rId1"/>
  <headerFooter alignWithMargins="0">
    <oddHeader>&amp;CPUGET SOUND ENERGY
COMPARISON OF CURRENT DEPRECIATION RATES AND PROPOSED DEPRECIATION RATES
AS OF SEPTEMBER 30, 2007</oddHeader>
    <oddFooter>&amp;L&amp;8Prepared by: Laura Schumacher
Date prepared: 10/17/07
&amp;R&amp;8&amp;Z&amp;F</oddFooter>
  </headerFooter>
  <rowBreaks count="1" manualBreakCount="1">
    <brk id="49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workbookViewId="0">
      <selection activeCell="F42" sqref="F42"/>
    </sheetView>
  </sheetViews>
  <sheetFormatPr defaultColWidth="8.88671875" defaultRowHeight="13.2" x14ac:dyDescent="0.25"/>
  <cols>
    <col min="1" max="1" width="21.6640625" style="241" customWidth="1"/>
    <col min="2" max="2" width="0.88671875" style="241" customWidth="1"/>
    <col min="3" max="3" width="15.6640625" style="241" customWidth="1"/>
    <col min="4" max="4" width="0.88671875" style="241" customWidth="1"/>
    <col min="5" max="5" width="15.6640625" style="241" customWidth="1"/>
    <col min="6" max="6" width="15.33203125" style="241" customWidth="1"/>
    <col min="7" max="7" width="17.109375" style="241" customWidth="1"/>
    <col min="8" max="8" width="0.88671875" style="241" customWidth="1"/>
    <col min="9" max="9" width="10.44140625" style="241" customWidth="1"/>
    <col min="10" max="10" width="0.88671875" style="241" customWidth="1"/>
    <col min="11" max="11" width="15.33203125" style="241" customWidth="1"/>
    <col min="12" max="12" width="15" style="241" customWidth="1"/>
    <col min="13" max="13" width="0.88671875" style="241" customWidth="1"/>
    <col min="14" max="14" width="11.6640625" style="241" customWidth="1"/>
    <col min="15" max="15" width="12.33203125" style="241" customWidth="1"/>
    <col min="16" max="16" width="0.88671875" style="241" customWidth="1"/>
    <col min="17" max="17" width="14.33203125" style="241" customWidth="1"/>
    <col min="18" max="18" width="0.88671875" style="241" customWidth="1"/>
    <col min="19" max="19" width="15.6640625" style="241" customWidth="1"/>
    <col min="20" max="20" width="0.88671875" style="241" customWidth="1"/>
    <col min="21" max="21" width="14.44140625" style="241" customWidth="1"/>
    <col min="22" max="16384" width="8.88671875" style="241"/>
  </cols>
  <sheetData>
    <row r="1" spans="1:25" s="288" customFormat="1" x14ac:dyDescent="0.25">
      <c r="A1" s="300" t="s">
        <v>878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5"/>
      <c r="R1" s="302"/>
      <c r="S1" s="298"/>
      <c r="T1" s="302"/>
      <c r="U1" s="305"/>
      <c r="V1" s="302"/>
      <c r="W1" s="289"/>
      <c r="X1" s="302"/>
      <c r="Y1" s="305"/>
    </row>
    <row r="2" spans="1:25" s="288" customFormat="1" x14ac:dyDescent="0.25">
      <c r="A2" s="304"/>
      <c r="B2" s="302"/>
      <c r="E2" s="302"/>
      <c r="F2" s="302"/>
      <c r="G2" s="302"/>
      <c r="H2" s="302"/>
      <c r="I2" s="303"/>
      <c r="M2" s="301"/>
      <c r="N2" s="302"/>
      <c r="O2" s="289"/>
      <c r="Q2" s="293"/>
      <c r="S2" s="298"/>
      <c r="T2" s="301"/>
      <c r="U2" s="294"/>
      <c r="X2" s="289"/>
      <c r="Y2" s="289"/>
    </row>
    <row r="3" spans="1:25" s="288" customFormat="1" x14ac:dyDescent="0.25">
      <c r="A3" s="300"/>
      <c r="B3" s="289"/>
      <c r="C3" s="289"/>
      <c r="D3" s="289"/>
      <c r="E3" s="289"/>
      <c r="F3" s="289"/>
      <c r="G3" s="289"/>
      <c r="H3" s="289"/>
      <c r="M3" s="297"/>
      <c r="N3" s="299"/>
      <c r="O3" s="299"/>
      <c r="Q3" s="293"/>
      <c r="S3" s="298"/>
      <c r="T3" s="297"/>
      <c r="U3" s="291"/>
      <c r="X3" s="289"/>
      <c r="Y3" s="289"/>
    </row>
    <row r="4" spans="1:25" s="288" customFormat="1" ht="5.0999999999999996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U4" s="289"/>
      <c r="X4" s="289"/>
      <c r="Y4" s="289"/>
    </row>
    <row r="5" spans="1:25" s="288" customFormat="1" x14ac:dyDescent="0.25">
      <c r="A5" s="271"/>
      <c r="B5" s="810"/>
      <c r="C5" s="810"/>
      <c r="D5" s="810"/>
      <c r="E5" s="810"/>
      <c r="F5" s="810"/>
      <c r="G5" s="270"/>
      <c r="I5" s="296"/>
      <c r="J5" s="293"/>
      <c r="L5" s="295"/>
      <c r="N5" s="294"/>
      <c r="Q5" s="289"/>
      <c r="R5" s="289"/>
    </row>
    <row r="6" spans="1:25" s="288" customFormat="1" x14ac:dyDescent="0.25">
      <c r="A6" s="271"/>
      <c r="B6" s="290"/>
      <c r="C6" s="290"/>
      <c r="D6" s="290"/>
      <c r="E6" s="290"/>
      <c r="F6" s="290"/>
      <c r="G6" s="290"/>
      <c r="J6" s="293"/>
      <c r="L6" s="292"/>
      <c r="N6" s="291"/>
      <c r="Q6" s="289"/>
      <c r="R6" s="289"/>
    </row>
    <row r="7" spans="1:25" s="288" customFormat="1" ht="5.0999999999999996" customHeight="1" x14ac:dyDescent="0.25">
      <c r="A7" s="271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U7" s="289"/>
      <c r="X7" s="289"/>
      <c r="Y7" s="289"/>
    </row>
    <row r="8" spans="1:25" ht="5.0999999999999996" customHeight="1" thickBot="1" x14ac:dyDescent="0.3"/>
    <row r="9" spans="1:25" x14ac:dyDescent="0.25">
      <c r="A9" s="287" t="s">
        <v>758</v>
      </c>
      <c r="B9" s="285"/>
      <c r="C9" s="284" t="s">
        <v>757</v>
      </c>
      <c r="D9" s="286"/>
      <c r="E9" s="283"/>
      <c r="F9" s="283"/>
      <c r="G9" s="283"/>
      <c r="H9" s="285"/>
      <c r="I9" s="284" t="s">
        <v>756</v>
      </c>
      <c r="J9" s="286"/>
      <c r="K9" s="283"/>
      <c r="L9" s="283"/>
      <c r="M9" s="285"/>
      <c r="N9" s="284" t="s">
        <v>755</v>
      </c>
      <c r="O9" s="283"/>
      <c r="P9" s="282"/>
      <c r="Q9" s="280" t="s">
        <v>754</v>
      </c>
      <c r="R9" s="281"/>
      <c r="S9" s="280" t="s">
        <v>753</v>
      </c>
      <c r="T9" s="281"/>
      <c r="U9" s="280" t="s">
        <v>752</v>
      </c>
    </row>
    <row r="10" spans="1:25" x14ac:dyDescent="0.25">
      <c r="A10" s="279"/>
      <c r="B10" s="276"/>
      <c r="C10" s="275"/>
      <c r="D10" s="277"/>
      <c r="E10" s="274"/>
      <c r="F10" s="278" t="s">
        <v>751</v>
      </c>
      <c r="G10" s="268"/>
      <c r="H10" s="276"/>
      <c r="I10" s="275"/>
      <c r="J10" s="277"/>
      <c r="K10" s="274"/>
      <c r="L10" s="274" t="s">
        <v>664</v>
      </c>
      <c r="M10" s="276"/>
      <c r="N10" s="275"/>
      <c r="O10" s="274"/>
      <c r="P10" s="267"/>
      <c r="Q10" s="266"/>
      <c r="R10" s="273"/>
      <c r="S10" s="266"/>
      <c r="T10" s="273"/>
      <c r="U10" s="262" t="s">
        <v>732</v>
      </c>
    </row>
    <row r="11" spans="1:25" x14ac:dyDescent="0.25">
      <c r="A11" s="272"/>
      <c r="B11" s="270"/>
      <c r="C11" s="269" t="s">
        <v>749</v>
      </c>
      <c r="D11" s="270"/>
      <c r="E11" s="268" t="s">
        <v>748</v>
      </c>
      <c r="F11" s="268" t="s">
        <v>750</v>
      </c>
      <c r="G11" s="268"/>
      <c r="H11" s="271"/>
      <c r="I11" s="269" t="s">
        <v>749</v>
      </c>
      <c r="J11" s="270"/>
      <c r="K11" s="268" t="s">
        <v>748</v>
      </c>
      <c r="L11" s="268" t="s">
        <v>967</v>
      </c>
      <c r="M11" s="270"/>
      <c r="N11" s="269" t="s">
        <v>749</v>
      </c>
      <c r="O11" s="268" t="s">
        <v>748</v>
      </c>
      <c r="P11" s="267"/>
      <c r="Q11" s="266" t="s">
        <v>747</v>
      </c>
      <c r="R11" s="265"/>
      <c r="S11" s="264">
        <v>0.35</v>
      </c>
      <c r="T11" s="263"/>
      <c r="U11" s="279" t="s">
        <v>969</v>
      </c>
    </row>
    <row r="12" spans="1:25" x14ac:dyDescent="0.25">
      <c r="A12" s="272"/>
      <c r="B12" s="270"/>
      <c r="C12" s="269" t="s">
        <v>746</v>
      </c>
      <c r="D12" s="270"/>
      <c r="E12" s="268" t="s">
        <v>745</v>
      </c>
      <c r="F12" s="268" t="s">
        <v>744</v>
      </c>
      <c r="G12" s="268" t="s">
        <v>743</v>
      </c>
      <c r="H12" s="271"/>
      <c r="I12" s="269"/>
      <c r="J12" s="270"/>
      <c r="K12" s="268"/>
      <c r="L12" s="268" t="s">
        <v>860</v>
      </c>
      <c r="M12" s="270"/>
      <c r="N12" s="269"/>
      <c r="O12" s="268"/>
      <c r="P12" s="267"/>
      <c r="Q12" s="266"/>
      <c r="R12" s="265"/>
      <c r="S12" s="264"/>
      <c r="T12" s="263"/>
      <c r="U12" s="262" t="s">
        <v>968</v>
      </c>
    </row>
    <row r="13" spans="1:25" ht="40.200000000000003" customHeight="1" thickBot="1" x14ac:dyDescent="0.3">
      <c r="A13" s="261"/>
      <c r="B13" s="259"/>
      <c r="C13" s="258" t="s">
        <v>742</v>
      </c>
      <c r="D13" s="259"/>
      <c r="E13" s="260" t="s">
        <v>741</v>
      </c>
      <c r="F13" s="260" t="s">
        <v>741</v>
      </c>
      <c r="G13" s="257" t="s">
        <v>740</v>
      </c>
      <c r="H13" s="259"/>
      <c r="I13" s="807" t="s">
        <v>739</v>
      </c>
      <c r="J13" s="259"/>
      <c r="K13" s="808" t="s">
        <v>738</v>
      </c>
      <c r="L13" s="808" t="s">
        <v>737</v>
      </c>
      <c r="M13" s="259"/>
      <c r="N13" s="807" t="s">
        <v>736</v>
      </c>
      <c r="O13" s="808" t="s">
        <v>735</v>
      </c>
      <c r="P13" s="256"/>
      <c r="Q13" s="255" t="s">
        <v>734</v>
      </c>
      <c r="R13" s="254"/>
      <c r="S13" s="253" t="s">
        <v>1039</v>
      </c>
      <c r="T13" s="252"/>
      <c r="U13" s="809" t="s">
        <v>733</v>
      </c>
    </row>
    <row r="14" spans="1:25" ht="6.75" customHeight="1" thickTop="1" x14ac:dyDescent="0.25"/>
    <row r="15" spans="1:25" x14ac:dyDescent="0.25">
      <c r="A15" s="251">
        <v>43100</v>
      </c>
      <c r="B15" s="245"/>
      <c r="C15" s="245">
        <v>0</v>
      </c>
      <c r="D15" s="245"/>
      <c r="E15" s="245">
        <v>0</v>
      </c>
      <c r="F15" s="245">
        <v>0</v>
      </c>
      <c r="G15" s="245"/>
      <c r="H15" s="245"/>
      <c r="I15" s="245">
        <v>0</v>
      </c>
      <c r="J15" s="245"/>
      <c r="K15" s="245">
        <v>0</v>
      </c>
      <c r="L15" s="245">
        <v>0</v>
      </c>
      <c r="M15" s="245"/>
      <c r="N15" s="245">
        <v>0</v>
      </c>
      <c r="O15" s="245">
        <v>0</v>
      </c>
      <c r="P15" s="248"/>
      <c r="Q15" s="245">
        <v>0</v>
      </c>
      <c r="R15" s="245"/>
      <c r="S15" s="245">
        <f t="shared" ref="S15:S27" si="0">-Q15*$S$11</f>
        <v>0</v>
      </c>
      <c r="T15" s="245"/>
      <c r="U15" s="245">
        <v>0</v>
      </c>
    </row>
    <row r="16" spans="1:25" x14ac:dyDescent="0.25">
      <c r="A16" s="246">
        <v>43131</v>
      </c>
      <c r="B16" s="245"/>
      <c r="C16" s="245">
        <v>0</v>
      </c>
      <c r="D16" s="245"/>
      <c r="E16" s="245">
        <f ca="1">'Lead E'!E33/12</f>
        <v>4398947.1255157935</v>
      </c>
      <c r="F16" s="245">
        <v>0</v>
      </c>
      <c r="G16" s="250">
        <f t="shared" ref="G16:G27" ca="1" si="1">E16-F16</f>
        <v>4398947.1255157935</v>
      </c>
      <c r="H16" s="245"/>
      <c r="I16" s="243">
        <f>-C16</f>
        <v>0</v>
      </c>
      <c r="J16" s="245"/>
      <c r="K16" s="249">
        <f ca="1">-E16</f>
        <v>-4398947.1255157935</v>
      </c>
      <c r="L16" s="249">
        <f ca="1">+G16</f>
        <v>4398947.1255157935</v>
      </c>
      <c r="M16" s="245"/>
      <c r="N16" s="243">
        <f t="shared" ref="N16:N27" si="2">I16</f>
        <v>0</v>
      </c>
      <c r="O16" s="243">
        <f t="shared" ref="O16:O27" ca="1" si="3">K16</f>
        <v>-4398947.1255157935</v>
      </c>
      <c r="P16" s="248"/>
      <c r="Q16" s="243">
        <f t="shared" ref="Q16:Q27" ca="1" si="4">O16-N16</f>
        <v>-4398947.1255157935</v>
      </c>
      <c r="R16" s="245"/>
      <c r="S16" s="243">
        <f ca="1">-Q16*$S$11</f>
        <v>1539631.4939305277</v>
      </c>
      <c r="T16" s="245"/>
      <c r="U16" s="242">
        <f ca="1">-S16</f>
        <v>-1539631.4939305277</v>
      </c>
    </row>
    <row r="17" spans="1:21" x14ac:dyDescent="0.25">
      <c r="A17" s="246">
        <v>43159</v>
      </c>
      <c r="B17" s="245"/>
      <c r="C17" s="245">
        <f t="shared" ref="C17:C27" si="5">C16</f>
        <v>0</v>
      </c>
      <c r="D17" s="245">
        <v>0</v>
      </c>
      <c r="E17" s="245">
        <f t="shared" ref="E17:E27" ca="1" si="6">E16</f>
        <v>4398947.1255157935</v>
      </c>
      <c r="F17" s="245">
        <v>0</v>
      </c>
      <c r="G17" s="245">
        <f t="shared" ca="1" si="1"/>
        <v>4398947.1255157935</v>
      </c>
      <c r="H17" s="245"/>
      <c r="I17" s="243">
        <f t="shared" ref="I17:I27" si="7">I16-C17</f>
        <v>0</v>
      </c>
      <c r="J17" s="245"/>
      <c r="K17" s="243">
        <f t="shared" ref="K17:K27" ca="1" si="8">K16-E17</f>
        <v>-8797894.2510315869</v>
      </c>
      <c r="L17" s="243">
        <f t="shared" ref="L17:L27" ca="1" si="9">L16+G17</f>
        <v>8797894.2510315869</v>
      </c>
      <c r="M17" s="245"/>
      <c r="N17" s="243">
        <f t="shared" si="2"/>
        <v>0</v>
      </c>
      <c r="O17" s="243">
        <f t="shared" ca="1" si="3"/>
        <v>-8797894.2510315869</v>
      </c>
      <c r="P17" s="248"/>
      <c r="Q17" s="243">
        <f t="shared" ca="1" si="4"/>
        <v>-8797894.2510315869</v>
      </c>
      <c r="R17" s="245"/>
      <c r="S17" s="243">
        <f t="shared" ca="1" si="0"/>
        <v>3079262.9878610554</v>
      </c>
      <c r="T17" s="245"/>
      <c r="U17" s="242">
        <f t="shared" ref="U17:U27" ca="1" si="10">-S17+S16</f>
        <v>-1539631.4939305277</v>
      </c>
    </row>
    <row r="18" spans="1:21" x14ac:dyDescent="0.25">
      <c r="A18" s="246">
        <v>43190</v>
      </c>
      <c r="B18" s="243"/>
      <c r="C18" s="245">
        <f t="shared" si="5"/>
        <v>0</v>
      </c>
      <c r="D18" s="243"/>
      <c r="E18" s="245">
        <f t="shared" ca="1" si="6"/>
        <v>4398947.1255157935</v>
      </c>
      <c r="F18" s="245">
        <v>0</v>
      </c>
      <c r="G18" s="245">
        <f t="shared" ca="1" si="1"/>
        <v>4398947.1255157935</v>
      </c>
      <c r="H18" s="243"/>
      <c r="I18" s="243">
        <f t="shared" si="7"/>
        <v>0</v>
      </c>
      <c r="J18" s="243"/>
      <c r="K18" s="243">
        <f t="shared" ca="1" si="8"/>
        <v>-13196841.376547381</v>
      </c>
      <c r="L18" s="243">
        <f t="shared" ca="1" si="9"/>
        <v>13196841.376547381</v>
      </c>
      <c r="M18" s="243"/>
      <c r="N18" s="243">
        <f t="shared" si="2"/>
        <v>0</v>
      </c>
      <c r="O18" s="243">
        <f t="shared" ca="1" si="3"/>
        <v>-13196841.376547381</v>
      </c>
      <c r="P18" s="244"/>
      <c r="Q18" s="243">
        <f t="shared" ca="1" si="4"/>
        <v>-13196841.376547381</v>
      </c>
      <c r="R18" s="243"/>
      <c r="S18" s="243">
        <f t="shared" ca="1" si="0"/>
        <v>4618894.4817915829</v>
      </c>
      <c r="T18" s="243"/>
      <c r="U18" s="242">
        <f t="shared" ca="1" si="10"/>
        <v>-1539631.4939305275</v>
      </c>
    </row>
    <row r="19" spans="1:21" x14ac:dyDescent="0.25">
      <c r="A19" s="246">
        <v>43220</v>
      </c>
      <c r="B19" s="243"/>
      <c r="C19" s="245">
        <f t="shared" si="5"/>
        <v>0</v>
      </c>
      <c r="D19" s="243"/>
      <c r="E19" s="245">
        <f t="shared" ca="1" si="6"/>
        <v>4398947.1255157935</v>
      </c>
      <c r="F19" s="245">
        <v>0</v>
      </c>
      <c r="G19" s="245">
        <f t="shared" ca="1" si="1"/>
        <v>4398947.1255157935</v>
      </c>
      <c r="H19" s="243"/>
      <c r="I19" s="243">
        <f t="shared" si="7"/>
        <v>0</v>
      </c>
      <c r="J19" s="243"/>
      <c r="K19" s="243">
        <f t="shared" ca="1" si="8"/>
        <v>-17595788.502063174</v>
      </c>
      <c r="L19" s="243">
        <f t="shared" ca="1" si="9"/>
        <v>17595788.502063174</v>
      </c>
      <c r="M19" s="243"/>
      <c r="N19" s="243">
        <f t="shared" si="2"/>
        <v>0</v>
      </c>
      <c r="O19" s="243">
        <f t="shared" ca="1" si="3"/>
        <v>-17595788.502063174</v>
      </c>
      <c r="P19" s="244"/>
      <c r="Q19" s="243">
        <f t="shared" ca="1" si="4"/>
        <v>-17595788.502063174</v>
      </c>
      <c r="R19" s="243"/>
      <c r="S19" s="243">
        <f t="shared" ca="1" si="0"/>
        <v>6158525.9757221108</v>
      </c>
      <c r="T19" s="243"/>
      <c r="U19" s="242">
        <f t="shared" ca="1" si="10"/>
        <v>-1539631.4939305279</v>
      </c>
    </row>
    <row r="20" spans="1:21" x14ac:dyDescent="0.25">
      <c r="A20" s="246">
        <v>43251</v>
      </c>
      <c r="B20" s="243"/>
      <c r="C20" s="245">
        <f t="shared" si="5"/>
        <v>0</v>
      </c>
      <c r="D20" s="243"/>
      <c r="E20" s="245">
        <f t="shared" ca="1" si="6"/>
        <v>4398947.1255157935</v>
      </c>
      <c r="F20" s="245">
        <v>0</v>
      </c>
      <c r="G20" s="245">
        <f t="shared" ca="1" si="1"/>
        <v>4398947.1255157935</v>
      </c>
      <c r="H20" s="243"/>
      <c r="I20" s="243">
        <f t="shared" si="7"/>
        <v>0</v>
      </c>
      <c r="J20" s="243"/>
      <c r="K20" s="243">
        <f t="shared" ca="1" si="8"/>
        <v>-21994735.627578966</v>
      </c>
      <c r="L20" s="243">
        <f t="shared" ca="1" si="9"/>
        <v>21994735.627578966</v>
      </c>
      <c r="M20" s="243"/>
      <c r="N20" s="243">
        <f t="shared" si="2"/>
        <v>0</v>
      </c>
      <c r="O20" s="243">
        <f t="shared" ca="1" si="3"/>
        <v>-21994735.627578966</v>
      </c>
      <c r="P20" s="244"/>
      <c r="Q20" s="243">
        <f t="shared" ca="1" si="4"/>
        <v>-21994735.627578966</v>
      </c>
      <c r="R20" s="243"/>
      <c r="S20" s="243">
        <f t="shared" ca="1" si="0"/>
        <v>7698157.4696526378</v>
      </c>
      <c r="T20" s="243"/>
      <c r="U20" s="242">
        <f t="shared" ca="1" si="10"/>
        <v>-1539631.493930527</v>
      </c>
    </row>
    <row r="21" spans="1:21" x14ac:dyDescent="0.25">
      <c r="A21" s="246">
        <v>43281</v>
      </c>
      <c r="B21" s="243"/>
      <c r="C21" s="245">
        <f t="shared" si="5"/>
        <v>0</v>
      </c>
      <c r="D21" s="243"/>
      <c r="E21" s="245">
        <f t="shared" ca="1" si="6"/>
        <v>4398947.1255157935</v>
      </c>
      <c r="F21" s="245">
        <v>0</v>
      </c>
      <c r="G21" s="245">
        <f t="shared" ca="1" si="1"/>
        <v>4398947.1255157935</v>
      </c>
      <c r="H21" s="243"/>
      <c r="I21" s="243">
        <f t="shared" si="7"/>
        <v>0</v>
      </c>
      <c r="J21" s="243"/>
      <c r="K21" s="243">
        <f t="shared" ca="1" si="8"/>
        <v>-26393682.753094759</v>
      </c>
      <c r="L21" s="243">
        <f t="shared" ca="1" si="9"/>
        <v>26393682.753094759</v>
      </c>
      <c r="M21" s="243"/>
      <c r="N21" s="243">
        <f t="shared" si="2"/>
        <v>0</v>
      </c>
      <c r="O21" s="243">
        <f t="shared" ca="1" si="3"/>
        <v>-26393682.753094759</v>
      </c>
      <c r="P21" s="244"/>
      <c r="Q21" s="243">
        <f t="shared" ca="1" si="4"/>
        <v>-26393682.753094759</v>
      </c>
      <c r="R21" s="243"/>
      <c r="S21" s="243">
        <f t="shared" ca="1" si="0"/>
        <v>9237788.9635831658</v>
      </c>
      <c r="T21" s="243"/>
      <c r="U21" s="242">
        <f t="shared" ca="1" si="10"/>
        <v>-1539631.4939305279</v>
      </c>
    </row>
    <row r="22" spans="1:21" x14ac:dyDescent="0.25">
      <c r="A22" s="246">
        <v>43312</v>
      </c>
      <c r="B22" s="243"/>
      <c r="C22" s="245">
        <f t="shared" si="5"/>
        <v>0</v>
      </c>
      <c r="D22" s="243"/>
      <c r="E22" s="245">
        <f t="shared" ca="1" si="6"/>
        <v>4398947.1255157935</v>
      </c>
      <c r="F22" s="245">
        <v>0</v>
      </c>
      <c r="G22" s="245">
        <f t="shared" ca="1" si="1"/>
        <v>4398947.1255157935</v>
      </c>
      <c r="H22" s="243"/>
      <c r="I22" s="243">
        <f t="shared" si="7"/>
        <v>0</v>
      </c>
      <c r="J22" s="243"/>
      <c r="K22" s="243">
        <f t="shared" ca="1" si="8"/>
        <v>-30792629.878610551</v>
      </c>
      <c r="L22" s="243">
        <f t="shared" ca="1" si="9"/>
        <v>30792629.878610551</v>
      </c>
      <c r="M22" s="243"/>
      <c r="N22" s="243">
        <f t="shared" si="2"/>
        <v>0</v>
      </c>
      <c r="O22" s="243">
        <f t="shared" ca="1" si="3"/>
        <v>-30792629.878610551</v>
      </c>
      <c r="P22" s="244"/>
      <c r="Q22" s="243">
        <f t="shared" ca="1" si="4"/>
        <v>-30792629.878610551</v>
      </c>
      <c r="R22" s="243"/>
      <c r="S22" s="243">
        <f t="shared" ca="1" si="0"/>
        <v>10777420.457513692</v>
      </c>
      <c r="T22" s="243"/>
      <c r="U22" s="242">
        <f t="shared" ca="1" si="10"/>
        <v>-1539631.4939305261</v>
      </c>
    </row>
    <row r="23" spans="1:21" x14ac:dyDescent="0.25">
      <c r="A23" s="246">
        <v>43343</v>
      </c>
      <c r="B23" s="243"/>
      <c r="C23" s="245">
        <f t="shared" si="5"/>
        <v>0</v>
      </c>
      <c r="D23" s="243"/>
      <c r="E23" s="245">
        <f t="shared" ca="1" si="6"/>
        <v>4398947.1255157935</v>
      </c>
      <c r="F23" s="245">
        <v>0</v>
      </c>
      <c r="G23" s="245">
        <f t="shared" ca="1" si="1"/>
        <v>4398947.1255157935</v>
      </c>
      <c r="H23" s="243"/>
      <c r="I23" s="243">
        <f t="shared" si="7"/>
        <v>0</v>
      </c>
      <c r="J23" s="243"/>
      <c r="K23" s="243">
        <f t="shared" ca="1" si="8"/>
        <v>-35191577.004126348</v>
      </c>
      <c r="L23" s="243">
        <f t="shared" ca="1" si="9"/>
        <v>35191577.004126348</v>
      </c>
      <c r="M23" s="243"/>
      <c r="N23" s="243">
        <f t="shared" si="2"/>
        <v>0</v>
      </c>
      <c r="O23" s="243">
        <f t="shared" ca="1" si="3"/>
        <v>-35191577.004126348</v>
      </c>
      <c r="P23" s="244"/>
      <c r="Q23" s="243">
        <f t="shared" ca="1" si="4"/>
        <v>-35191577.004126348</v>
      </c>
      <c r="R23" s="243"/>
      <c r="S23" s="243">
        <f t="shared" ca="1" si="0"/>
        <v>12317051.951444222</v>
      </c>
      <c r="T23" s="243"/>
      <c r="U23" s="242">
        <f t="shared" ca="1" si="10"/>
        <v>-1539631.4939305298</v>
      </c>
    </row>
    <row r="24" spans="1:21" x14ac:dyDescent="0.25">
      <c r="A24" s="246">
        <v>43373</v>
      </c>
      <c r="B24" s="243"/>
      <c r="C24" s="245">
        <f t="shared" si="5"/>
        <v>0</v>
      </c>
      <c r="D24" s="243"/>
      <c r="E24" s="245">
        <f t="shared" ca="1" si="6"/>
        <v>4398947.1255157935</v>
      </c>
      <c r="F24" s="245">
        <v>0</v>
      </c>
      <c r="G24" s="245">
        <f t="shared" ca="1" si="1"/>
        <v>4398947.1255157935</v>
      </c>
      <c r="H24" s="243"/>
      <c r="I24" s="243">
        <f t="shared" si="7"/>
        <v>0</v>
      </c>
      <c r="J24" s="243"/>
      <c r="K24" s="243">
        <f t="shared" ca="1" si="8"/>
        <v>-39590524.129642144</v>
      </c>
      <c r="L24" s="243">
        <f t="shared" ca="1" si="9"/>
        <v>39590524.129642144</v>
      </c>
      <c r="M24" s="243"/>
      <c r="N24" s="243">
        <f t="shared" si="2"/>
        <v>0</v>
      </c>
      <c r="O24" s="243">
        <f t="shared" ca="1" si="3"/>
        <v>-39590524.129642144</v>
      </c>
      <c r="P24" s="244"/>
      <c r="Q24" s="243">
        <f t="shared" ca="1" si="4"/>
        <v>-39590524.129642144</v>
      </c>
      <c r="R24" s="243"/>
      <c r="S24" s="243">
        <f t="shared" ca="1" si="0"/>
        <v>13856683.44537475</v>
      </c>
      <c r="T24" s="243"/>
      <c r="U24" s="242">
        <f t="shared" ca="1" si="10"/>
        <v>-1539631.4939305279</v>
      </c>
    </row>
    <row r="25" spans="1:21" x14ac:dyDescent="0.25">
      <c r="A25" s="246">
        <v>43404</v>
      </c>
      <c r="B25" s="243"/>
      <c r="C25" s="245">
        <f t="shared" si="5"/>
        <v>0</v>
      </c>
      <c r="D25" s="243"/>
      <c r="E25" s="245">
        <f t="shared" ca="1" si="6"/>
        <v>4398947.1255157935</v>
      </c>
      <c r="F25" s="245">
        <v>0</v>
      </c>
      <c r="G25" s="245">
        <f t="shared" ca="1" si="1"/>
        <v>4398947.1255157935</v>
      </c>
      <c r="H25" s="243"/>
      <c r="I25" s="243">
        <f t="shared" si="7"/>
        <v>0</v>
      </c>
      <c r="J25" s="243"/>
      <c r="K25" s="243">
        <f t="shared" ca="1" si="8"/>
        <v>-43989471.25515794</v>
      </c>
      <c r="L25" s="243">
        <f t="shared" ca="1" si="9"/>
        <v>43989471.25515794</v>
      </c>
      <c r="M25" s="243"/>
      <c r="N25" s="243">
        <f t="shared" si="2"/>
        <v>0</v>
      </c>
      <c r="O25" s="243">
        <f t="shared" ca="1" si="3"/>
        <v>-43989471.25515794</v>
      </c>
      <c r="P25" s="244"/>
      <c r="Q25" s="243">
        <f t="shared" ca="1" si="4"/>
        <v>-43989471.25515794</v>
      </c>
      <c r="R25" s="243"/>
      <c r="S25" s="243">
        <f t="shared" ca="1" si="0"/>
        <v>15396314.939305278</v>
      </c>
      <c r="T25" s="243"/>
      <c r="U25" s="242">
        <f t="shared" ca="1" si="10"/>
        <v>-1539631.4939305279</v>
      </c>
    </row>
    <row r="26" spans="1:21" x14ac:dyDescent="0.25">
      <c r="A26" s="246">
        <v>43434</v>
      </c>
      <c r="B26" s="243"/>
      <c r="C26" s="245">
        <f t="shared" si="5"/>
        <v>0</v>
      </c>
      <c r="D26" s="243"/>
      <c r="E26" s="245">
        <f t="shared" ca="1" si="6"/>
        <v>4398947.1255157935</v>
      </c>
      <c r="F26" s="245">
        <v>0</v>
      </c>
      <c r="G26" s="245">
        <f t="shared" ca="1" si="1"/>
        <v>4398947.1255157935</v>
      </c>
      <c r="H26" s="243"/>
      <c r="I26" s="243">
        <f t="shared" si="7"/>
        <v>0</v>
      </c>
      <c r="J26" s="243"/>
      <c r="K26" s="243">
        <f t="shared" ca="1" si="8"/>
        <v>-48388418.380673736</v>
      </c>
      <c r="L26" s="243">
        <f t="shared" ca="1" si="9"/>
        <v>48388418.380673736</v>
      </c>
      <c r="M26" s="243"/>
      <c r="N26" s="243">
        <f t="shared" si="2"/>
        <v>0</v>
      </c>
      <c r="O26" s="243">
        <f t="shared" ca="1" si="3"/>
        <v>-48388418.380673736</v>
      </c>
      <c r="P26" s="244"/>
      <c r="Q26" s="243">
        <f t="shared" ca="1" si="4"/>
        <v>-48388418.380673736</v>
      </c>
      <c r="R26" s="243"/>
      <c r="S26" s="243">
        <f t="shared" ca="1" si="0"/>
        <v>16935946.433235805</v>
      </c>
      <c r="T26" s="243"/>
      <c r="U26" s="242">
        <f t="shared" ca="1" si="10"/>
        <v>-1539631.4939305279</v>
      </c>
    </row>
    <row r="27" spans="1:21" x14ac:dyDescent="0.25">
      <c r="A27" s="246">
        <v>43465</v>
      </c>
      <c r="B27" s="243"/>
      <c r="C27" s="245">
        <f t="shared" si="5"/>
        <v>0</v>
      </c>
      <c r="D27" s="243"/>
      <c r="E27" s="245">
        <f t="shared" ca="1" si="6"/>
        <v>4398947.1255157935</v>
      </c>
      <c r="F27" s="245">
        <v>0</v>
      </c>
      <c r="G27" s="245">
        <f t="shared" ca="1" si="1"/>
        <v>4398947.1255157935</v>
      </c>
      <c r="H27" s="243"/>
      <c r="I27" s="243">
        <f t="shared" si="7"/>
        <v>0</v>
      </c>
      <c r="J27" s="243"/>
      <c r="K27" s="243">
        <f t="shared" ca="1" si="8"/>
        <v>-52787365.506189533</v>
      </c>
      <c r="L27" s="243">
        <f t="shared" ca="1" si="9"/>
        <v>52787365.506189533</v>
      </c>
      <c r="M27" s="243"/>
      <c r="N27" s="243">
        <f t="shared" si="2"/>
        <v>0</v>
      </c>
      <c r="O27" s="243">
        <f t="shared" ca="1" si="3"/>
        <v>-52787365.506189533</v>
      </c>
      <c r="P27" s="244"/>
      <c r="Q27" s="243">
        <f t="shared" ca="1" si="4"/>
        <v>-52787365.506189533</v>
      </c>
      <c r="R27" s="243"/>
      <c r="S27" s="243">
        <f t="shared" ca="1" si="0"/>
        <v>18475577.927166335</v>
      </c>
      <c r="T27" s="243"/>
      <c r="U27" s="242">
        <f t="shared" ca="1" si="10"/>
        <v>-1539631.4939305298</v>
      </c>
    </row>
    <row r="28" spans="1:21" x14ac:dyDescent="0.25">
      <c r="A28" s="246"/>
      <c r="B28" s="243"/>
      <c r="C28" s="243"/>
      <c r="D28" s="243"/>
      <c r="E28" s="245"/>
      <c r="F28" s="245"/>
      <c r="G28" s="245"/>
      <c r="H28" s="243"/>
      <c r="I28" s="243"/>
      <c r="J28" s="243"/>
      <c r="K28" s="243"/>
      <c r="L28" s="243"/>
      <c r="M28" s="243"/>
      <c r="N28" s="243"/>
      <c r="O28" s="243"/>
      <c r="P28" s="244"/>
      <c r="Q28" s="243"/>
      <c r="R28" s="243"/>
      <c r="S28" s="243"/>
      <c r="T28" s="243"/>
      <c r="U28" s="242"/>
    </row>
    <row r="29" spans="1:21" ht="13.8" thickBot="1" x14ac:dyDescent="0.3">
      <c r="A29" s="246"/>
      <c r="B29" s="243"/>
      <c r="C29" s="243"/>
      <c r="D29" s="243"/>
      <c r="E29" s="245"/>
      <c r="F29" s="245"/>
      <c r="G29" s="245"/>
      <c r="H29" s="243"/>
      <c r="I29" s="243"/>
      <c r="J29" s="243"/>
      <c r="K29" s="243"/>
      <c r="L29" s="243"/>
      <c r="M29" s="243"/>
      <c r="N29" s="243"/>
      <c r="O29" s="243"/>
      <c r="P29" s="244"/>
      <c r="Q29" s="243"/>
      <c r="R29" s="243"/>
      <c r="S29" s="565">
        <f ca="1">(S15+S27+SUM(S16:S26)*2)/24</f>
        <v>9237788.9635831658</v>
      </c>
      <c r="T29" s="243"/>
      <c r="U29" s="242"/>
    </row>
    <row r="30" spans="1:21" ht="13.8" thickTop="1" x14ac:dyDescent="0.25">
      <c r="A30" s="246"/>
      <c r="B30" s="243"/>
      <c r="C30" s="243"/>
      <c r="D30" s="243"/>
      <c r="E30" s="245"/>
      <c r="F30" s="245"/>
      <c r="G30" s="245"/>
      <c r="H30" s="243"/>
      <c r="I30" s="243"/>
      <c r="J30" s="243"/>
      <c r="K30" s="243"/>
      <c r="L30" s="243"/>
      <c r="M30" s="243"/>
      <c r="N30" s="243"/>
      <c r="O30" s="243"/>
      <c r="P30" s="244"/>
      <c r="Q30" s="243"/>
      <c r="R30" s="243"/>
      <c r="S30" s="564" t="s">
        <v>879</v>
      </c>
      <c r="T30" s="243"/>
      <c r="U30" s="242"/>
    </row>
    <row r="31" spans="1:21" x14ac:dyDescent="0.25">
      <c r="A31" s="247"/>
      <c r="B31" s="243"/>
      <c r="C31" s="243"/>
      <c r="D31" s="243"/>
      <c r="E31" s="245"/>
      <c r="F31" s="245"/>
      <c r="G31" s="245"/>
      <c r="H31" s="243"/>
      <c r="I31" s="243"/>
      <c r="J31" s="243"/>
      <c r="K31" s="243"/>
      <c r="L31" s="243"/>
      <c r="M31" s="243"/>
      <c r="N31" s="243"/>
      <c r="O31" s="243"/>
      <c r="P31" s="244"/>
      <c r="Q31" s="243"/>
      <c r="R31" s="243"/>
      <c r="S31" s="243"/>
      <c r="T31" s="243"/>
      <c r="U31" s="242"/>
    </row>
    <row r="32" spans="1:21" x14ac:dyDescent="0.25">
      <c r="A32" s="247"/>
      <c r="B32" s="243"/>
      <c r="C32" s="243"/>
      <c r="D32" s="243"/>
      <c r="E32" s="245"/>
      <c r="F32" s="245"/>
      <c r="G32" s="245"/>
      <c r="H32" s="243"/>
      <c r="I32" s="243"/>
      <c r="J32" s="243"/>
      <c r="K32" s="243"/>
      <c r="L32" s="243"/>
      <c r="M32" s="243"/>
      <c r="N32" s="243"/>
      <c r="O32" s="243"/>
      <c r="P32" s="244"/>
      <c r="Q32" s="243"/>
      <c r="R32" s="243"/>
      <c r="S32" s="243"/>
      <c r="T32" s="243"/>
      <c r="U32" s="242"/>
    </row>
    <row r="33" spans="1:21" x14ac:dyDescent="0.25">
      <c r="A33" s="247"/>
      <c r="B33" s="243"/>
      <c r="C33" s="243"/>
      <c r="D33" s="243"/>
      <c r="E33" s="245"/>
      <c r="F33" s="245"/>
      <c r="G33" s="245"/>
      <c r="H33" s="243"/>
      <c r="I33" s="243"/>
      <c r="J33" s="243"/>
      <c r="K33" s="243"/>
      <c r="L33" s="243"/>
      <c r="M33" s="243"/>
      <c r="N33" s="243"/>
      <c r="O33" s="243"/>
      <c r="P33" s="244"/>
      <c r="Q33" s="243"/>
      <c r="R33" s="243"/>
      <c r="S33" s="243"/>
      <c r="T33" s="243"/>
      <c r="U33" s="242"/>
    </row>
    <row r="34" spans="1:21" x14ac:dyDescent="0.25">
      <c r="A34" s="246"/>
      <c r="B34" s="243"/>
      <c r="C34" s="243"/>
      <c r="D34" s="243"/>
      <c r="E34" s="245"/>
      <c r="F34" s="245"/>
      <c r="G34" s="245"/>
      <c r="H34" s="243"/>
      <c r="I34" s="243"/>
      <c r="J34" s="243"/>
      <c r="K34" s="243"/>
      <c r="L34" s="243"/>
      <c r="M34" s="243"/>
      <c r="N34" s="243"/>
      <c r="O34" s="243"/>
      <c r="P34" s="244"/>
      <c r="Q34" s="243"/>
      <c r="R34" s="243"/>
      <c r="S34" s="243"/>
      <c r="T34" s="243"/>
      <c r="U34" s="242"/>
    </row>
    <row r="35" spans="1:21" x14ac:dyDescent="0.25">
      <c r="A35" s="246"/>
      <c r="B35" s="243"/>
      <c r="C35" s="243"/>
      <c r="D35" s="243"/>
      <c r="E35" s="245"/>
      <c r="F35" s="245"/>
      <c r="G35" s="245"/>
      <c r="H35" s="243"/>
      <c r="I35" s="243"/>
      <c r="J35" s="243"/>
      <c r="K35" s="243"/>
      <c r="L35" s="243"/>
      <c r="M35" s="243"/>
      <c r="N35" s="243"/>
      <c r="O35" s="243"/>
      <c r="P35" s="244"/>
      <c r="Q35" s="243"/>
      <c r="R35" s="243"/>
      <c r="S35" s="243"/>
      <c r="T35" s="243"/>
      <c r="U35" s="242"/>
    </row>
    <row r="36" spans="1:21" x14ac:dyDescent="0.25">
      <c r="A36" s="246"/>
      <c r="B36" s="243"/>
      <c r="C36" s="243"/>
      <c r="D36" s="243"/>
      <c r="E36" s="245"/>
      <c r="F36" s="245"/>
      <c r="G36" s="245"/>
      <c r="H36" s="243"/>
      <c r="I36" s="243"/>
      <c r="J36" s="243"/>
      <c r="K36" s="243"/>
      <c r="L36" s="243"/>
      <c r="M36" s="243"/>
      <c r="N36" s="243"/>
      <c r="O36" s="243"/>
      <c r="P36" s="244"/>
      <c r="Q36" s="243"/>
      <c r="R36" s="243"/>
      <c r="S36" s="243"/>
      <c r="T36" s="243"/>
      <c r="U36" s="242"/>
    </row>
    <row r="37" spans="1:21" x14ac:dyDescent="0.25">
      <c r="A37" s="246"/>
      <c r="B37" s="243"/>
      <c r="C37" s="243"/>
      <c r="D37" s="243"/>
      <c r="E37" s="245"/>
      <c r="F37" s="245"/>
      <c r="G37" s="245"/>
      <c r="H37" s="243"/>
      <c r="I37" s="243"/>
      <c r="J37" s="243"/>
      <c r="K37" s="243"/>
      <c r="L37" s="243"/>
      <c r="M37" s="243"/>
      <c r="N37" s="243"/>
      <c r="O37" s="243"/>
      <c r="P37" s="244"/>
      <c r="Q37" s="243"/>
      <c r="R37" s="243"/>
      <c r="S37" s="243"/>
      <c r="T37" s="243"/>
      <c r="U37" s="242"/>
    </row>
    <row r="38" spans="1:21" x14ac:dyDescent="0.25">
      <c r="A38" s="246"/>
      <c r="B38" s="243"/>
      <c r="C38" s="243"/>
      <c r="D38" s="243"/>
      <c r="E38" s="245"/>
      <c r="F38" s="245"/>
      <c r="G38" s="245"/>
      <c r="H38" s="243"/>
      <c r="I38" s="243"/>
      <c r="J38" s="243"/>
      <c r="K38" s="243"/>
      <c r="L38" s="243"/>
      <c r="M38" s="243"/>
      <c r="N38" s="243"/>
      <c r="O38" s="243"/>
      <c r="P38" s="244"/>
      <c r="Q38" s="243"/>
      <c r="R38" s="243"/>
      <c r="S38" s="243"/>
      <c r="T38" s="243"/>
      <c r="U38" s="242"/>
    </row>
    <row r="39" spans="1:21" x14ac:dyDescent="0.25">
      <c r="A39" s="246"/>
      <c r="B39" s="243"/>
      <c r="C39" s="243"/>
      <c r="D39" s="243"/>
      <c r="E39" s="245"/>
      <c r="F39" s="245"/>
      <c r="G39" s="245"/>
      <c r="H39" s="243"/>
      <c r="I39" s="243"/>
      <c r="J39" s="243"/>
      <c r="K39" s="243"/>
      <c r="L39" s="243"/>
      <c r="M39" s="243"/>
      <c r="N39" s="243"/>
      <c r="O39" s="243"/>
      <c r="P39" s="244"/>
      <c r="Q39" s="243"/>
      <c r="R39" s="243"/>
      <c r="S39" s="243"/>
      <c r="T39" s="243"/>
      <c r="U39" s="242"/>
    </row>
    <row r="40" spans="1:21" x14ac:dyDescent="0.25">
      <c r="A40" s="246"/>
      <c r="B40" s="243"/>
      <c r="C40" s="243"/>
      <c r="D40" s="243"/>
      <c r="E40" s="243"/>
      <c r="F40" s="243"/>
      <c r="G40" s="245"/>
      <c r="H40" s="243"/>
      <c r="I40" s="243"/>
      <c r="J40" s="243"/>
      <c r="K40" s="243"/>
      <c r="L40" s="243"/>
      <c r="M40" s="243"/>
      <c r="N40" s="243"/>
      <c r="O40" s="243"/>
      <c r="P40" s="244"/>
      <c r="Q40" s="243"/>
      <c r="R40" s="243"/>
      <c r="S40" s="243"/>
      <c r="T40" s="243"/>
      <c r="U40" s="242"/>
    </row>
    <row r="41" spans="1:21" x14ac:dyDescent="0.25">
      <c r="A41" s="246"/>
      <c r="B41" s="243"/>
      <c r="C41" s="243"/>
      <c r="D41" s="243"/>
      <c r="E41" s="243"/>
      <c r="F41" s="243"/>
      <c r="G41" s="245"/>
      <c r="H41" s="243"/>
      <c r="I41" s="243"/>
      <c r="J41" s="243"/>
      <c r="K41" s="243"/>
      <c r="L41" s="243"/>
      <c r="M41" s="243"/>
      <c r="N41" s="243"/>
      <c r="O41" s="243"/>
      <c r="P41" s="244"/>
      <c r="Q41" s="243"/>
      <c r="R41" s="243"/>
      <c r="S41" s="243"/>
      <c r="T41" s="243"/>
      <c r="U41" s="242"/>
    </row>
    <row r="42" spans="1:21" x14ac:dyDescent="0.25">
      <c r="A42" s="246"/>
      <c r="B42" s="243"/>
      <c r="C42" s="243"/>
      <c r="D42" s="243"/>
      <c r="E42" s="243"/>
      <c r="F42" s="243"/>
      <c r="G42" s="245"/>
      <c r="H42" s="243"/>
      <c r="I42" s="243"/>
      <c r="J42" s="243"/>
      <c r="K42" s="243"/>
      <c r="L42" s="243"/>
      <c r="M42" s="243"/>
      <c r="N42" s="243"/>
      <c r="O42" s="243"/>
      <c r="P42" s="244"/>
      <c r="Q42" s="243"/>
      <c r="R42" s="243"/>
      <c r="S42" s="243"/>
      <c r="T42" s="243"/>
      <c r="U42" s="242"/>
    </row>
    <row r="43" spans="1:21" x14ac:dyDescent="0.25">
      <c r="A43" s="247"/>
      <c r="B43" s="243"/>
      <c r="C43" s="243"/>
      <c r="D43" s="243"/>
      <c r="E43" s="243"/>
      <c r="F43" s="243"/>
      <c r="G43" s="245"/>
      <c r="H43" s="243"/>
      <c r="I43" s="243"/>
      <c r="J43" s="243"/>
      <c r="K43" s="243"/>
      <c r="L43" s="243"/>
      <c r="M43" s="243"/>
      <c r="N43" s="243"/>
      <c r="O43" s="243"/>
      <c r="P43" s="244"/>
      <c r="Q43" s="243"/>
      <c r="R43" s="243"/>
      <c r="S43" s="243"/>
      <c r="T43" s="243"/>
      <c r="U43" s="242"/>
    </row>
    <row r="44" spans="1:21" x14ac:dyDescent="0.25">
      <c r="A44" s="247"/>
      <c r="B44" s="243"/>
      <c r="C44" s="243"/>
      <c r="D44" s="243"/>
      <c r="E44" s="243"/>
      <c r="F44" s="243"/>
      <c r="G44" s="245"/>
      <c r="H44" s="243"/>
      <c r="I44" s="243"/>
      <c r="J44" s="243"/>
      <c r="K44" s="243"/>
      <c r="L44" s="243"/>
      <c r="M44" s="243"/>
      <c r="N44" s="243"/>
      <c r="O44" s="243"/>
      <c r="P44" s="244"/>
      <c r="Q44" s="243"/>
      <c r="R44" s="243"/>
      <c r="S44" s="243"/>
      <c r="T44" s="243"/>
      <c r="U44" s="242"/>
    </row>
    <row r="45" spans="1:21" x14ac:dyDescent="0.25">
      <c r="A45" s="247"/>
      <c r="B45" s="243"/>
      <c r="C45" s="243"/>
      <c r="D45" s="243"/>
      <c r="E45" s="243"/>
      <c r="F45" s="243"/>
      <c r="G45" s="245"/>
      <c r="H45" s="243"/>
      <c r="I45" s="243"/>
      <c r="J45" s="243"/>
      <c r="K45" s="243"/>
      <c r="L45" s="243"/>
      <c r="M45" s="243"/>
      <c r="N45" s="243"/>
      <c r="O45" s="243"/>
      <c r="P45" s="244"/>
      <c r="Q45" s="243"/>
      <c r="R45" s="243"/>
      <c r="S45" s="243"/>
      <c r="T45" s="243"/>
      <c r="U45" s="242"/>
    </row>
    <row r="46" spans="1:21" x14ac:dyDescent="0.25">
      <c r="A46" s="246"/>
      <c r="B46" s="243"/>
      <c r="C46" s="243"/>
      <c r="D46" s="243"/>
      <c r="E46" s="243"/>
      <c r="F46" s="243"/>
      <c r="G46" s="245"/>
      <c r="H46" s="243"/>
      <c r="I46" s="243"/>
      <c r="J46" s="243"/>
      <c r="K46" s="243"/>
      <c r="L46" s="243"/>
      <c r="M46" s="243"/>
      <c r="N46" s="243"/>
      <c r="O46" s="243"/>
      <c r="P46" s="244"/>
      <c r="Q46" s="243"/>
      <c r="R46" s="243"/>
      <c r="S46" s="243"/>
      <c r="T46" s="243"/>
      <c r="U46" s="242"/>
    </row>
    <row r="47" spans="1:21" x14ac:dyDescent="0.25">
      <c r="A47" s="246"/>
      <c r="B47" s="243"/>
      <c r="C47" s="243"/>
      <c r="D47" s="243"/>
      <c r="E47" s="243"/>
      <c r="F47" s="243"/>
      <c r="G47" s="245"/>
      <c r="H47" s="243"/>
      <c r="I47" s="243"/>
      <c r="J47" s="243"/>
      <c r="K47" s="243"/>
      <c r="L47" s="243"/>
      <c r="M47" s="243"/>
      <c r="N47" s="243"/>
      <c r="O47" s="243"/>
      <c r="P47" s="244"/>
      <c r="Q47" s="243"/>
      <c r="R47" s="243"/>
      <c r="S47" s="243"/>
      <c r="T47" s="243"/>
      <c r="U47" s="242"/>
    </row>
    <row r="48" spans="1:21" x14ac:dyDescent="0.25">
      <c r="A48" s="246"/>
      <c r="B48" s="243"/>
      <c r="C48" s="243"/>
      <c r="D48" s="243"/>
      <c r="E48" s="243"/>
      <c r="F48" s="243"/>
      <c r="G48" s="245"/>
      <c r="H48" s="243"/>
      <c r="I48" s="243"/>
      <c r="J48" s="243"/>
      <c r="K48" s="243"/>
      <c r="L48" s="243"/>
      <c r="M48" s="243"/>
      <c r="N48" s="243"/>
      <c r="O48" s="243"/>
      <c r="P48" s="244"/>
      <c r="Q48" s="243"/>
      <c r="R48" s="243"/>
      <c r="S48" s="243"/>
      <c r="T48" s="243"/>
      <c r="U48" s="242"/>
    </row>
    <row r="49" spans="1:21" x14ac:dyDescent="0.25">
      <c r="A49" s="246"/>
      <c r="B49" s="243"/>
      <c r="C49" s="243"/>
      <c r="D49" s="243"/>
      <c r="E49" s="243"/>
      <c r="F49" s="243"/>
      <c r="G49" s="245"/>
      <c r="H49" s="243"/>
      <c r="I49" s="243"/>
      <c r="J49" s="243"/>
      <c r="K49" s="243"/>
      <c r="L49" s="243"/>
      <c r="M49" s="243"/>
      <c r="N49" s="243"/>
      <c r="O49" s="243"/>
      <c r="P49" s="244"/>
      <c r="Q49" s="243"/>
      <c r="R49" s="243"/>
      <c r="S49" s="243"/>
      <c r="T49" s="243"/>
      <c r="U49" s="242"/>
    </row>
    <row r="50" spans="1:21" x14ac:dyDescent="0.25">
      <c r="A50" s="246"/>
      <c r="B50" s="243"/>
      <c r="C50" s="243"/>
      <c r="D50" s="243"/>
      <c r="E50" s="243"/>
      <c r="F50" s="243"/>
      <c r="G50" s="245"/>
      <c r="H50" s="243"/>
      <c r="I50" s="243"/>
      <c r="J50" s="243"/>
      <c r="K50" s="243"/>
      <c r="L50" s="243"/>
      <c r="M50" s="243"/>
      <c r="N50" s="243"/>
      <c r="O50" s="243"/>
      <c r="P50" s="244"/>
      <c r="Q50" s="243"/>
      <c r="R50" s="243"/>
      <c r="S50" s="243"/>
      <c r="T50" s="243"/>
      <c r="U50" s="242"/>
    </row>
    <row r="51" spans="1:21" x14ac:dyDescent="0.25">
      <c r="A51" s="246"/>
      <c r="B51" s="243"/>
      <c r="C51" s="243"/>
      <c r="D51" s="243"/>
      <c r="E51" s="243"/>
      <c r="F51" s="243"/>
      <c r="G51" s="245"/>
      <c r="H51" s="243"/>
      <c r="I51" s="243"/>
      <c r="J51" s="243"/>
      <c r="K51" s="243"/>
      <c r="L51" s="243"/>
      <c r="M51" s="243"/>
      <c r="N51" s="243"/>
      <c r="O51" s="243"/>
      <c r="P51" s="244"/>
      <c r="Q51" s="243"/>
      <c r="R51" s="243"/>
      <c r="S51" s="243"/>
      <c r="T51" s="243"/>
      <c r="U51" s="242"/>
    </row>
    <row r="52" spans="1:21" x14ac:dyDescent="0.25">
      <c r="A52" s="246"/>
      <c r="B52" s="243"/>
      <c r="C52" s="243"/>
      <c r="D52" s="243"/>
      <c r="E52" s="243"/>
      <c r="F52" s="243"/>
      <c r="G52" s="245"/>
      <c r="H52" s="243"/>
      <c r="I52" s="243"/>
      <c r="J52" s="243"/>
      <c r="K52" s="243"/>
      <c r="L52" s="243"/>
      <c r="M52" s="243"/>
      <c r="N52" s="243"/>
      <c r="O52" s="243"/>
      <c r="P52" s="244"/>
      <c r="Q52" s="243"/>
      <c r="R52" s="243"/>
      <c r="S52" s="243"/>
      <c r="T52" s="243"/>
      <c r="U52" s="242"/>
    </row>
    <row r="53" spans="1:21" x14ac:dyDescent="0.25">
      <c r="A53" s="246"/>
      <c r="B53" s="243"/>
      <c r="C53" s="243"/>
      <c r="D53" s="243"/>
      <c r="E53" s="243"/>
      <c r="F53" s="243"/>
      <c r="G53" s="245"/>
      <c r="H53" s="243"/>
      <c r="I53" s="243"/>
      <c r="J53" s="243"/>
      <c r="K53" s="243"/>
      <c r="L53" s="243"/>
      <c r="M53" s="243"/>
      <c r="N53" s="243"/>
      <c r="O53" s="243"/>
      <c r="P53" s="244"/>
      <c r="Q53" s="243"/>
      <c r="R53" s="243"/>
      <c r="S53" s="243"/>
      <c r="T53" s="243"/>
      <c r="U53" s="242"/>
    </row>
    <row r="54" spans="1:21" x14ac:dyDescent="0.25">
      <c r="A54" s="246"/>
      <c r="B54" s="243"/>
      <c r="C54" s="243"/>
      <c r="D54" s="243"/>
      <c r="E54" s="243"/>
      <c r="F54" s="243"/>
      <c r="G54" s="245"/>
      <c r="H54" s="243"/>
      <c r="I54" s="243"/>
      <c r="J54" s="243"/>
      <c r="K54" s="243"/>
      <c r="L54" s="243"/>
      <c r="M54" s="243"/>
      <c r="N54" s="243"/>
      <c r="O54" s="243"/>
      <c r="P54" s="244"/>
      <c r="Q54" s="243"/>
      <c r="R54" s="243"/>
      <c r="S54" s="243"/>
      <c r="T54" s="243"/>
      <c r="U54" s="242"/>
    </row>
    <row r="55" spans="1:21" x14ac:dyDescent="0.25">
      <c r="A55" s="246"/>
      <c r="B55" s="243"/>
      <c r="C55" s="243"/>
      <c r="D55" s="243"/>
      <c r="E55" s="243"/>
      <c r="F55" s="243"/>
      <c r="G55" s="245"/>
      <c r="H55" s="243"/>
      <c r="I55" s="243"/>
      <c r="J55" s="243"/>
      <c r="K55" s="243"/>
      <c r="L55" s="243"/>
      <c r="M55" s="243"/>
      <c r="N55" s="243"/>
      <c r="O55" s="243"/>
      <c r="P55" s="244"/>
      <c r="Q55" s="243"/>
      <c r="R55" s="243"/>
      <c r="S55" s="243"/>
      <c r="T55" s="243"/>
      <c r="U55" s="242"/>
    </row>
    <row r="56" spans="1:21" x14ac:dyDescent="0.25">
      <c r="A56" s="246"/>
      <c r="B56" s="243"/>
      <c r="C56" s="243"/>
      <c r="D56" s="243"/>
      <c r="E56" s="243"/>
      <c r="F56" s="243"/>
      <c r="G56" s="245"/>
      <c r="H56" s="243"/>
      <c r="I56" s="243"/>
      <c r="J56" s="243"/>
      <c r="K56" s="243"/>
      <c r="L56" s="243"/>
      <c r="M56" s="243"/>
      <c r="N56" s="243"/>
      <c r="O56" s="243"/>
      <c r="P56" s="244"/>
      <c r="Q56" s="243"/>
      <c r="R56" s="243"/>
      <c r="S56" s="243"/>
      <c r="T56" s="243"/>
      <c r="U56" s="242"/>
    </row>
    <row r="57" spans="1:21" x14ac:dyDescent="0.25">
      <c r="A57" s="246"/>
      <c r="B57" s="243"/>
      <c r="C57" s="243"/>
      <c r="D57" s="243"/>
      <c r="E57" s="243"/>
      <c r="F57" s="243"/>
      <c r="G57" s="245"/>
      <c r="H57" s="243"/>
      <c r="I57" s="243"/>
      <c r="J57" s="243"/>
      <c r="K57" s="243"/>
      <c r="L57" s="243"/>
      <c r="M57" s="243"/>
      <c r="N57" s="243"/>
      <c r="O57" s="243"/>
      <c r="P57" s="244"/>
      <c r="Q57" s="243"/>
      <c r="R57" s="243"/>
      <c r="S57" s="243"/>
      <c r="T57" s="243"/>
      <c r="U57" s="242"/>
    </row>
    <row r="58" spans="1:21" x14ac:dyDescent="0.25">
      <c r="A58" s="246"/>
      <c r="B58" s="243"/>
      <c r="C58" s="243"/>
      <c r="D58" s="243"/>
      <c r="E58" s="243"/>
      <c r="F58" s="243"/>
      <c r="G58" s="245"/>
      <c r="H58" s="243"/>
      <c r="I58" s="243"/>
      <c r="J58" s="243"/>
      <c r="K58" s="243"/>
      <c r="L58" s="243"/>
      <c r="M58" s="243"/>
      <c r="N58" s="243"/>
      <c r="O58" s="243"/>
      <c r="P58" s="244"/>
      <c r="Q58" s="243"/>
      <c r="R58" s="243"/>
      <c r="S58" s="243"/>
      <c r="T58" s="243"/>
      <c r="U58" s="242"/>
    </row>
  </sheetData>
  <pageMargins left="0.7" right="0.7" top="0.75" bottom="0.7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zoomScaleNormal="100" workbookViewId="0">
      <pane xSplit="3" ySplit="3" topLeftCell="D18" activePane="bottomRight" state="frozen"/>
      <selection pane="topRight"/>
      <selection pane="bottomLeft"/>
      <selection pane="bottomRight" activeCell="I30" sqref="I30"/>
    </sheetView>
  </sheetViews>
  <sheetFormatPr defaultColWidth="9.109375" defaultRowHeight="13.2" outlineLevelRow="1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5.33203125" style="128" customWidth="1" outlineLevel="1"/>
    <col min="6" max="6" width="11" style="128" customWidth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65" t="s">
        <v>630</v>
      </c>
      <c r="M1" s="363"/>
    </row>
    <row r="2" spans="1:21" x14ac:dyDescent="0.25">
      <c r="A2" s="365" t="s">
        <v>129</v>
      </c>
      <c r="B2" s="365"/>
      <c r="C2" s="365"/>
      <c r="D2" s="49" t="s">
        <v>164</v>
      </c>
      <c r="E2" s="49" t="s">
        <v>134</v>
      </c>
      <c r="F2" s="100" t="s">
        <v>135</v>
      </c>
      <c r="G2" s="365" t="s">
        <v>136</v>
      </c>
      <c r="H2" s="365" t="s">
        <v>760</v>
      </c>
      <c r="I2" s="49" t="s">
        <v>164</v>
      </c>
      <c r="J2" s="365" t="s">
        <v>631</v>
      </c>
      <c r="M2" s="363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69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  <c r="M3" s="363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3"/>
    </row>
    <row r="5" spans="1:21" x14ac:dyDescent="0.25">
      <c r="B5" s="366"/>
      <c r="C5" s="99" t="s">
        <v>807</v>
      </c>
      <c r="D5" s="366"/>
      <c r="E5" s="366"/>
      <c r="F5" s="366"/>
      <c r="G5" s="366"/>
      <c r="H5" s="366"/>
      <c r="M5" s="363"/>
    </row>
    <row r="6" spans="1:21" x14ac:dyDescent="0.25">
      <c r="A6" s="366"/>
      <c r="B6" s="366"/>
      <c r="C6" s="366"/>
      <c r="D6" s="366"/>
      <c r="E6" s="141"/>
      <c r="F6" s="141"/>
      <c r="G6" s="366"/>
      <c r="H6" s="366"/>
      <c r="M6" s="363"/>
      <c r="O6" s="310"/>
    </row>
    <row r="7" spans="1:21" x14ac:dyDescent="0.25">
      <c r="A7" s="9"/>
      <c r="B7" s="9"/>
      <c r="C7" s="370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0"/>
      <c r="D8" s="104"/>
      <c r="E8" s="72"/>
      <c r="F8" s="72"/>
      <c r="G8" s="107"/>
      <c r="H8" s="107"/>
      <c r="I8" s="107"/>
      <c r="J8" s="107"/>
      <c r="K8" s="107"/>
      <c r="L8" s="104"/>
      <c r="M8" s="362"/>
    </row>
    <row r="9" spans="1:21" x14ac:dyDescent="0.25">
      <c r="A9" s="110"/>
      <c r="B9" s="110"/>
      <c r="C9" s="368" t="s">
        <v>809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40">
        <f>'Depr Oct15-Sep16 Revised'!T5</f>
        <v>-3982.36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1" si="1">G10/F10</f>
        <v>4.8045494985986155</v>
      </c>
      <c r="I10" s="313">
        <f t="shared" ref="I10:I12" si="2">D10*H10</f>
        <v>-19133.445741239182</v>
      </c>
      <c r="J10" s="313">
        <f>I10-D10</f>
        <v>-15151.085741239182</v>
      </c>
      <c r="M10" s="364"/>
      <c r="N10" s="113"/>
    </row>
    <row r="11" spans="1:21" x14ac:dyDescent="0.25">
      <c r="A11" s="110">
        <v>311</v>
      </c>
      <c r="B11" s="114"/>
      <c r="C11" s="104" t="s">
        <v>467</v>
      </c>
      <c r="D11" s="640">
        <f>'Depr Oct15-Sep16 Revised'!T6</f>
        <v>3374.5800000000008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4">
        <f t="shared" si="2"/>
        <v>8083.9936253136066</v>
      </c>
      <c r="J11" s="364">
        <f t="shared" ref="J11" si="3">I11-D11</f>
        <v>4709.4136253136057</v>
      </c>
      <c r="M11" s="364"/>
      <c r="N11" s="113"/>
    </row>
    <row r="12" spans="1:21" x14ac:dyDescent="0.25">
      <c r="A12" s="110">
        <v>311</v>
      </c>
      <c r="B12" s="114"/>
      <c r="C12" s="113" t="s">
        <v>468</v>
      </c>
      <c r="D12" s="642">
        <f>'Depr Oct15-Sep16 Revised'!T9</f>
        <v>8795.5800000000017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>G12/F12</f>
        <v>1.2930418470941905</v>
      </c>
      <c r="I12" s="314">
        <f t="shared" si="2"/>
        <v>11373.053009464722</v>
      </c>
      <c r="J12" s="314">
        <f>I12-D12</f>
        <v>2577.4730094647202</v>
      </c>
      <c r="M12" s="364"/>
      <c r="N12" s="113"/>
    </row>
    <row r="13" spans="1:21" x14ac:dyDescent="0.25">
      <c r="A13" s="110"/>
      <c r="B13" s="114"/>
      <c r="C13" s="113"/>
      <c r="D13" s="364"/>
      <c r="E13" s="72"/>
      <c r="F13" s="231"/>
      <c r="G13" s="231"/>
      <c r="H13" s="231"/>
      <c r="I13" s="364"/>
      <c r="J13" s="364"/>
      <c r="M13" s="364"/>
      <c r="N13" s="113"/>
    </row>
    <row r="14" spans="1:21" x14ac:dyDescent="0.25">
      <c r="A14" s="110"/>
      <c r="B14" s="110"/>
      <c r="C14" s="367" t="s">
        <v>428</v>
      </c>
      <c r="D14" s="134">
        <f>+SUBTOTAL(9,D10:D12)</f>
        <v>8187.8000000000029</v>
      </c>
      <c r="E14" s="317"/>
      <c r="F14" s="231"/>
      <c r="G14" s="231"/>
      <c r="H14" s="231"/>
      <c r="I14" s="134">
        <f>+SUBTOTAL(9,I10:I12)</f>
        <v>323.60089353914736</v>
      </c>
      <c r="J14" s="134">
        <f>+SUBTOTAL(9,J10:J12)</f>
        <v>-7864.1991064608555</v>
      </c>
      <c r="K14" s="147"/>
      <c r="M14" s="364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2"/>
      <c r="J15" s="318"/>
      <c r="K15" s="147"/>
      <c r="M15" s="363"/>
    </row>
    <row r="16" spans="1:21" x14ac:dyDescent="0.25">
      <c r="A16" s="114"/>
      <c r="B16" s="114"/>
      <c r="C16" s="116" t="s">
        <v>504</v>
      </c>
      <c r="D16" s="136">
        <f>SUBTOTAL(9,D10:D15)</f>
        <v>8187.8000000000029</v>
      </c>
      <c r="E16" s="72"/>
      <c r="F16" s="233"/>
      <c r="G16" s="233"/>
      <c r="H16" s="233"/>
      <c r="I16" s="136">
        <f>SUBTOTAL(9,I10:I15)</f>
        <v>323.60089353914736</v>
      </c>
      <c r="J16" s="136">
        <f>SUBTOTAL(9,J10:J15)</f>
        <v>-7864.1991064608555</v>
      </c>
      <c r="K16" s="148"/>
      <c r="M16" s="363"/>
    </row>
    <row r="17" spans="1:13" x14ac:dyDescent="0.25">
      <c r="A17" s="114"/>
      <c r="B17" s="114"/>
      <c r="C17" s="116"/>
      <c r="D17" s="312"/>
      <c r="E17" s="72"/>
      <c r="F17" s="114"/>
      <c r="G17" s="114"/>
      <c r="H17" s="114"/>
      <c r="I17" s="312"/>
      <c r="J17" s="312"/>
      <c r="K17" s="147"/>
      <c r="M17" s="364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3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3"/>
    </row>
    <row r="20" spans="1:13" x14ac:dyDescent="0.25">
      <c r="A20" s="114"/>
      <c r="B20" s="114"/>
      <c r="C20" s="368" t="s">
        <v>811</v>
      </c>
      <c r="F20" s="114"/>
      <c r="G20" s="114"/>
      <c r="H20" s="114"/>
      <c r="I20" s="9"/>
      <c r="K20" s="147"/>
      <c r="M20" s="363"/>
    </row>
    <row r="21" spans="1:13" x14ac:dyDescent="0.25">
      <c r="A21" s="110">
        <v>341</v>
      </c>
      <c r="B21" s="110"/>
      <c r="C21" s="113" t="s">
        <v>468</v>
      </c>
      <c r="D21" s="641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3">
        <f>D21*H21</f>
        <v>0</v>
      </c>
      <c r="J21" s="143">
        <f>I21-D21</f>
        <v>0</v>
      </c>
      <c r="K21" s="147"/>
      <c r="M21" s="363"/>
    </row>
    <row r="22" spans="1:13" x14ac:dyDescent="0.25">
      <c r="A22" s="110">
        <v>341</v>
      </c>
      <c r="B22" s="110"/>
      <c r="C22" s="113" t="s">
        <v>472</v>
      </c>
      <c r="D22" s="642">
        <f>'Depr Oct15-Sep16 Revised'!T8</f>
        <v>28450.010000000002</v>
      </c>
      <c r="E22" s="72">
        <v>1.5044219999999999</v>
      </c>
      <c r="F22" s="371">
        <f t="shared" si="4"/>
        <v>1.5044219999999999E-2</v>
      </c>
      <c r="G22" s="371">
        <f>'Elec Study Rpt'!V183</f>
        <v>2.2802478456911714E-2</v>
      </c>
      <c r="H22" s="371">
        <f t="shared" si="5"/>
        <v>1.5156969558349795</v>
      </c>
      <c r="I22" s="314">
        <f t="shared" ref="I22" si="6">D22*H22</f>
        <v>43121.593550474732</v>
      </c>
      <c r="J22" s="145">
        <f>I22-D22</f>
        <v>14671.58355047473</v>
      </c>
      <c r="K22" s="147"/>
      <c r="M22" s="363"/>
    </row>
    <row r="23" spans="1:13" x14ac:dyDescent="0.25">
      <c r="A23" s="110"/>
      <c r="B23" s="110"/>
      <c r="C23" s="113"/>
      <c r="D23" s="364"/>
      <c r="E23" s="72"/>
      <c r="F23" s="371"/>
      <c r="G23" s="371"/>
      <c r="H23" s="371"/>
      <c r="I23" s="364"/>
      <c r="J23" s="372"/>
      <c r="K23" s="147"/>
      <c r="M23" s="363"/>
    </row>
    <row r="24" spans="1:13" x14ac:dyDescent="0.25">
      <c r="A24" s="110"/>
      <c r="B24" s="110"/>
      <c r="C24" s="367" t="s">
        <v>428</v>
      </c>
      <c r="D24" s="134">
        <f>+SUBTOTAL(9,D21:D22)</f>
        <v>28450.010000000002</v>
      </c>
      <c r="E24" s="317"/>
      <c r="F24" s="231"/>
      <c r="G24" s="231"/>
      <c r="H24" s="231"/>
      <c r="I24" s="134">
        <f t="shared" ref="I24:J24" si="7">+SUBTOTAL(9,I21:I22)</f>
        <v>43121.593550474732</v>
      </c>
      <c r="J24" s="134">
        <f t="shared" si="7"/>
        <v>14671.58355047473</v>
      </c>
      <c r="K24" s="134"/>
      <c r="M24" s="363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2"/>
      <c r="J25" s="199"/>
      <c r="K25" s="147"/>
      <c r="M25" s="363"/>
    </row>
    <row r="26" spans="1:13" x14ac:dyDescent="0.25">
      <c r="A26" s="110"/>
      <c r="B26" s="110"/>
      <c r="C26" s="113" t="s">
        <v>812</v>
      </c>
      <c r="D26" s="9"/>
      <c r="E26" s="72"/>
      <c r="F26" s="114"/>
      <c r="G26" s="114"/>
      <c r="H26" s="114"/>
      <c r="I26" s="9"/>
      <c r="K26" s="147"/>
      <c r="M26" s="363"/>
    </row>
    <row r="27" spans="1:13" x14ac:dyDescent="0.25">
      <c r="A27" s="110">
        <v>341.01</v>
      </c>
      <c r="B27" s="110"/>
      <c r="C27" s="367" t="s">
        <v>541</v>
      </c>
      <c r="D27" s="640">
        <f>'Depr Oct15-Sep16 Revised'!T12</f>
        <v>478487.03000000009</v>
      </c>
      <c r="E27" s="72">
        <v>4.24</v>
      </c>
      <c r="F27" s="231">
        <f t="shared" ref="F27:F30" si="8">E27*0.01</f>
        <v>4.24E-2</v>
      </c>
      <c r="G27" s="231">
        <f>'Elec Study Rpt'!V188</f>
        <v>4.37185440441323E-2</v>
      </c>
      <c r="H27" s="231">
        <f t="shared" ref="H27:H30" si="9">G27/F27</f>
        <v>1.0310977368899128</v>
      </c>
      <c r="I27" s="313">
        <f t="shared" ref="I27:I30" si="10">D27*H27</f>
        <v>493366.89376417588</v>
      </c>
      <c r="J27" s="143">
        <f t="shared" ref="J27:J30" si="11">I27-D27</f>
        <v>14879.863764175796</v>
      </c>
      <c r="K27" s="147"/>
      <c r="M27" s="363"/>
    </row>
    <row r="28" spans="1:13" x14ac:dyDescent="0.25">
      <c r="A28" s="110">
        <v>341.01</v>
      </c>
      <c r="B28" s="110"/>
      <c r="C28" s="367" t="s">
        <v>814</v>
      </c>
      <c r="D28" s="640">
        <f>'Depr Oct15-Sep16 Revised'!T13</f>
        <v>2459.77</v>
      </c>
      <c r="E28" s="72">
        <v>4.24</v>
      </c>
      <c r="F28" s="231">
        <f t="shared" si="8"/>
        <v>4.24E-2</v>
      </c>
      <c r="G28" s="231">
        <f>'Elec Study Rpt'!V188</f>
        <v>4.37185440441323E-2</v>
      </c>
      <c r="H28" s="231">
        <f t="shared" si="9"/>
        <v>1.0310977368899128</v>
      </c>
      <c r="I28" s="313">
        <f t="shared" si="10"/>
        <v>2536.2632802697008</v>
      </c>
      <c r="J28" s="143">
        <f t="shared" si="11"/>
        <v>76.49328026970079</v>
      </c>
      <c r="K28" s="147"/>
      <c r="M28" s="363"/>
    </row>
    <row r="29" spans="1:13" x14ac:dyDescent="0.25">
      <c r="A29" s="110">
        <v>341.01</v>
      </c>
      <c r="B29" s="110"/>
      <c r="C29" s="113" t="s">
        <v>542</v>
      </c>
      <c r="D29" s="640">
        <f>'Depr Oct15-Sep16 Revised'!T11</f>
        <v>445066.78</v>
      </c>
      <c r="E29" s="72">
        <v>4.24</v>
      </c>
      <c r="F29" s="231">
        <f t="shared" si="8"/>
        <v>4.24E-2</v>
      </c>
      <c r="G29" s="231">
        <f>'Elec Study Rpt'!V189</f>
        <v>6.8764003941710991E-2</v>
      </c>
      <c r="H29" s="231">
        <f t="shared" si="9"/>
        <v>1.6217925457950706</v>
      </c>
      <c r="I29" s="313">
        <f>D29*H29-534</f>
        <v>721271.9861850146</v>
      </c>
      <c r="J29" s="143">
        <f t="shared" si="11"/>
        <v>276205.20618501457</v>
      </c>
      <c r="K29" s="147"/>
      <c r="M29" s="363"/>
    </row>
    <row r="30" spans="1:13" x14ac:dyDescent="0.25">
      <c r="A30" s="110">
        <v>341.01</v>
      </c>
      <c r="B30" s="110"/>
      <c r="C30" s="113" t="s">
        <v>543</v>
      </c>
      <c r="D30" s="642">
        <f>'Depr Oct15-Sep16 Revised'!T15</f>
        <v>235972.94</v>
      </c>
      <c r="E30" s="72">
        <v>4.28</v>
      </c>
      <c r="F30" s="371">
        <f t="shared" si="8"/>
        <v>4.2800000000000005E-2</v>
      </c>
      <c r="G30" s="371">
        <f>'Elec Study Rpt'!V190</f>
        <v>5.702307468297263E-2</v>
      </c>
      <c r="H30" s="371">
        <f t="shared" si="9"/>
        <v>1.3323148290414164</v>
      </c>
      <c r="I30" s="314">
        <f t="shared" si="10"/>
        <v>314390.24721450038</v>
      </c>
      <c r="J30" s="145">
        <f t="shared" si="11"/>
        <v>78417.307214500383</v>
      </c>
      <c r="K30" s="147"/>
      <c r="M30" s="363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3"/>
    </row>
    <row r="32" spans="1:13" x14ac:dyDescent="0.25">
      <c r="A32" s="110"/>
      <c r="B32" s="110"/>
      <c r="C32" s="367" t="s">
        <v>544</v>
      </c>
      <c r="D32" s="135">
        <f>+SUBTOTAL(9,D27:D30)</f>
        <v>1161986.52</v>
      </c>
      <c r="E32" s="317"/>
      <c r="F32" s="231"/>
      <c r="G32" s="231"/>
      <c r="H32" s="231"/>
      <c r="I32" s="135">
        <f>+SUBTOTAL(9,I27:I30)</f>
        <v>1531565.3904439604</v>
      </c>
      <c r="J32" s="135">
        <f>+SUBTOTAL(9,J27:J30)</f>
        <v>369578.87044396042</v>
      </c>
      <c r="K32" s="134"/>
      <c r="M32" s="363"/>
    </row>
    <row r="33" spans="1:11" x14ac:dyDescent="0.25">
      <c r="A33" s="110"/>
      <c r="B33" s="110"/>
      <c r="C33" s="111"/>
      <c r="F33" s="110"/>
      <c r="G33" s="110"/>
      <c r="H33" s="110"/>
      <c r="I33" s="312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1190436.53</v>
      </c>
      <c r="F34" s="233"/>
      <c r="G34" s="233"/>
      <c r="H34" s="233"/>
      <c r="I34" s="136">
        <f t="shared" ref="I34:J34" si="12">SUBTOTAL(9,I20:I32)</f>
        <v>1574686.9839944351</v>
      </c>
      <c r="J34" s="136">
        <f t="shared" si="12"/>
        <v>384250.4539944352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2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0" t="s">
        <v>578</v>
      </c>
      <c r="D37" s="9"/>
      <c r="F37" s="114"/>
      <c r="G37" s="114"/>
      <c r="H37" s="114"/>
      <c r="I37" s="312"/>
      <c r="K37" s="147"/>
    </row>
    <row r="38" spans="1:11" x14ac:dyDescent="0.25">
      <c r="A38" s="114"/>
      <c r="B38" s="114"/>
      <c r="C38" s="370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42">
        <f>'Depr Oct15-Sep16 Revised'!T14</f>
        <v>99569.24</v>
      </c>
      <c r="E39" s="128">
        <v>3.02</v>
      </c>
      <c r="F39" s="231">
        <f t="shared" ref="F39" si="13">E39*0.01</f>
        <v>3.0200000000000001E-2</v>
      </c>
      <c r="G39" s="231">
        <f>'Elec Study Rpt'!V316</f>
        <v>3.0389125381143935E-2</v>
      </c>
      <c r="H39" s="231">
        <f t="shared" ref="H39" si="14">G39/F39</f>
        <v>1.0062624298392031</v>
      </c>
      <c r="I39" s="314">
        <f>D39*H39</f>
        <v>100192.78537964278</v>
      </c>
      <c r="J39" s="145">
        <f t="shared" ref="J39" si="15">I39-D39</f>
        <v>623.54537964277552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99569.24</v>
      </c>
      <c r="E41" s="198"/>
      <c r="F41" s="233"/>
      <c r="G41" s="233"/>
      <c r="H41" s="233"/>
      <c r="I41" s="136">
        <f t="shared" ref="I41:J41" si="16">+SUBTOTAL(9,I39:I39)</f>
        <v>100192.78537964278</v>
      </c>
      <c r="J41" s="136">
        <f t="shared" si="16"/>
        <v>623.54537964277552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2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0" t="s">
        <v>452</v>
      </c>
      <c r="D44" s="9"/>
      <c r="F44" s="114"/>
      <c r="G44" s="114"/>
      <c r="H44" s="114"/>
      <c r="I44" s="312"/>
      <c r="K44" s="147"/>
    </row>
    <row r="45" spans="1:11" x14ac:dyDescent="0.25">
      <c r="A45" s="114"/>
      <c r="B45" s="114"/>
      <c r="C45" s="370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42">
        <f>'Depr Oct15-Sep16 Revised'!T7</f>
        <v>53931.159999999989</v>
      </c>
      <c r="E46" s="128">
        <v>3.11</v>
      </c>
      <c r="F46" s="231">
        <f t="shared" ref="F46" si="17">E46*0.01</f>
        <v>3.1099999999999999E-2</v>
      </c>
      <c r="G46" s="231">
        <f>'Elec Study Rpt'!V344</f>
        <v>3.1427873986990325E-2</v>
      </c>
      <c r="H46" s="231">
        <f t="shared" ref="H46" si="18">G46/F46</f>
        <v>1.0105425719289494</v>
      </c>
      <c r="I46" s="314">
        <f>D46*H46</f>
        <v>54499.733133511669</v>
      </c>
      <c r="J46" s="145">
        <f>I46-D46</f>
        <v>568.57313351167977</v>
      </c>
      <c r="K46" s="147"/>
    </row>
    <row r="47" spans="1:11" x14ac:dyDescent="0.25">
      <c r="A47" s="114"/>
      <c r="B47" s="114"/>
      <c r="C47" s="104"/>
      <c r="D47" s="313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53931.159999999989</v>
      </c>
      <c r="E48" s="148"/>
      <c r="F48" s="233"/>
      <c r="G48" s="233"/>
      <c r="H48" s="233"/>
      <c r="I48" s="136">
        <f>+SUBTOTAL(9,I46:I46)</f>
        <v>54499.733133511669</v>
      </c>
      <c r="J48" s="136">
        <f>+SUBTOTAL(9,J46:J46)</f>
        <v>568.57313351167977</v>
      </c>
      <c r="K48" s="148"/>
    </row>
    <row r="49" spans="1:15" x14ac:dyDescent="0.25">
      <c r="A49" s="114"/>
      <c r="B49" s="114"/>
      <c r="C49" s="373"/>
      <c r="F49" s="114"/>
      <c r="G49" s="114"/>
      <c r="H49" s="114"/>
      <c r="I49" s="312"/>
      <c r="J49" s="9"/>
      <c r="K49" s="147"/>
    </row>
    <row r="50" spans="1:15" x14ac:dyDescent="0.25">
      <c r="A50" s="114"/>
      <c r="B50" s="114"/>
      <c r="C50" s="32" t="s">
        <v>806</v>
      </c>
      <c r="D50" s="136">
        <f>+SUBTOTAL(9,D10:D49)</f>
        <v>1352124.73</v>
      </c>
      <c r="E50" s="72"/>
      <c r="F50" s="114"/>
      <c r="G50" s="114"/>
      <c r="H50" s="114"/>
      <c r="I50" s="136">
        <f>+SUBTOTAL(9,I9:I48)</f>
        <v>1729703.1034011289</v>
      </c>
      <c r="J50" s="136">
        <f t="shared" ref="J50" si="19">+SUBTOTAL(9,J9:J48)</f>
        <v>377578.3734011288</v>
      </c>
      <c r="K50" s="147"/>
    </row>
    <row r="51" spans="1:15" x14ac:dyDescent="0.25">
      <c r="D51" s="146">
        <f>D50-SUM('Depr Oct15-Sep16 Revised'!T5:T9)-SUM('Depr Oct15-Sep16 Revised'!T11:T15)</f>
        <v>0</v>
      </c>
      <c r="E51" s="128" t="s">
        <v>817</v>
      </c>
      <c r="K51" s="146"/>
      <c r="L51" s="146"/>
      <c r="O51" s="104"/>
    </row>
    <row r="52" spans="1:15" x14ac:dyDescent="0.25">
      <c r="O52" s="104"/>
    </row>
    <row r="53" spans="1:15" x14ac:dyDescent="0.25">
      <c r="C53" s="99" t="s">
        <v>808</v>
      </c>
      <c r="O53" s="104"/>
    </row>
    <row r="54" spans="1:15" x14ac:dyDescent="0.25">
      <c r="C54" s="366"/>
      <c r="O54" s="104"/>
    </row>
    <row r="55" spans="1:15" x14ac:dyDescent="0.25">
      <c r="C55" s="105" t="s">
        <v>461</v>
      </c>
      <c r="O55" s="104"/>
    </row>
    <row r="56" spans="1:15" x14ac:dyDescent="0.25">
      <c r="C56" s="105"/>
      <c r="O56" s="104"/>
    </row>
    <row r="57" spans="1:15" x14ac:dyDescent="0.25">
      <c r="C57" s="368" t="s">
        <v>809</v>
      </c>
      <c r="O57" s="104"/>
    </row>
    <row r="58" spans="1:15" x14ac:dyDescent="0.25">
      <c r="A58" s="110">
        <v>311</v>
      </c>
      <c r="B58" s="114"/>
      <c r="C58" s="104" t="s">
        <v>466</v>
      </c>
      <c r="D58" s="643">
        <f>'Depr Oct15-Sep16 Revised'!T24</f>
        <v>645437.99999999988</v>
      </c>
      <c r="E58" s="72">
        <v>1.23</v>
      </c>
      <c r="F58" s="231">
        <f t="shared" ref="F58:F67" si="20">E58*0.01</f>
        <v>1.23E-2</v>
      </c>
      <c r="G58" s="231">
        <f>'Elec Study Rpt'!V28</f>
        <v>5.9095958832762967E-2</v>
      </c>
      <c r="H58" s="231">
        <f t="shared" ref="H58:H67" si="21">G58/F58</f>
        <v>4.8045494985986155</v>
      </c>
      <c r="I58" s="313"/>
      <c r="J58" s="313">
        <f t="shared" ref="J58:J59" si="22">I58-D58</f>
        <v>-645437.99999999988</v>
      </c>
    </row>
    <row r="59" spans="1:15" x14ac:dyDescent="0.25">
      <c r="A59" s="110">
        <v>311</v>
      </c>
      <c r="B59" s="114"/>
      <c r="C59" s="104" t="s">
        <v>467</v>
      </c>
      <c r="D59" s="645">
        <f>'Depr Oct15-Sep16 Revised'!T25</f>
        <v>694356.62</v>
      </c>
      <c r="E59" s="72">
        <v>1.31</v>
      </c>
      <c r="F59" s="231">
        <f t="shared" si="20"/>
        <v>1.3100000000000001E-2</v>
      </c>
      <c r="G59" s="231">
        <f>'Elec Study Rpt'!V29</f>
        <v>3.1381776840853741E-2</v>
      </c>
      <c r="H59" s="231">
        <f t="shared" si="21"/>
        <v>2.3955554840346367</v>
      </c>
      <c r="I59" s="314"/>
      <c r="J59" s="314">
        <f t="shared" si="22"/>
        <v>-694356.62</v>
      </c>
    </row>
    <row r="60" spans="1:15" x14ac:dyDescent="0.25">
      <c r="A60" s="110"/>
      <c r="B60" s="114"/>
      <c r="C60" s="104"/>
      <c r="D60" s="364"/>
      <c r="E60" s="72"/>
      <c r="F60" s="231"/>
      <c r="G60" s="231"/>
      <c r="H60" s="231"/>
      <c r="I60" s="313"/>
      <c r="J60" s="313"/>
    </row>
    <row r="61" spans="1:15" x14ac:dyDescent="0.25">
      <c r="A61" s="110"/>
      <c r="B61" s="114"/>
      <c r="C61" s="207" t="s">
        <v>428</v>
      </c>
      <c r="D61" s="313">
        <f>+SUBTOTAL(9,D58:D59)</f>
        <v>1339794.6199999999</v>
      </c>
      <c r="E61" s="72"/>
      <c r="F61" s="231"/>
      <c r="G61" s="231"/>
      <c r="H61" s="231"/>
      <c r="I61" s="313">
        <f t="shared" ref="I61:J61" si="23">+SUBTOTAL(9,I58:I59)</f>
        <v>0</v>
      </c>
      <c r="J61" s="313">
        <f t="shared" si="23"/>
        <v>-1339794.6199999999</v>
      </c>
      <c r="K61" s="143"/>
    </row>
    <row r="62" spans="1:15" x14ac:dyDescent="0.25">
      <c r="A62" s="110"/>
      <c r="B62" s="114"/>
      <c r="C62" s="207"/>
      <c r="D62" s="313"/>
      <c r="E62" s="72"/>
      <c r="F62" s="231"/>
      <c r="G62" s="231"/>
      <c r="H62" s="231"/>
      <c r="I62" s="313"/>
      <c r="J62" s="313"/>
    </row>
    <row r="63" spans="1:15" x14ac:dyDescent="0.25">
      <c r="A63" s="110"/>
      <c r="B63" s="114"/>
      <c r="C63" s="105" t="s">
        <v>815</v>
      </c>
      <c r="D63" s="136">
        <f>+SUBTOTAL(9,D58:D61)</f>
        <v>1339794.6199999999</v>
      </c>
      <c r="E63" s="72"/>
      <c r="F63" s="231"/>
      <c r="G63" s="231"/>
      <c r="H63" s="231"/>
      <c r="I63" s="136">
        <f t="shared" ref="I63:J63" si="24">+SUBTOTAL(9,I58:I61)</f>
        <v>0</v>
      </c>
      <c r="J63" s="136">
        <f t="shared" si="24"/>
        <v>-1339794.6199999999</v>
      </c>
    </row>
    <row r="64" spans="1:15" x14ac:dyDescent="0.25">
      <c r="A64" s="110"/>
      <c r="B64" s="114"/>
      <c r="C64" s="207"/>
      <c r="D64" s="313"/>
      <c r="E64" s="72"/>
      <c r="F64" s="231"/>
      <c r="G64" s="231"/>
      <c r="H64" s="231"/>
      <c r="I64" s="313"/>
      <c r="J64" s="313"/>
    </row>
    <row r="65" spans="1:10" x14ac:dyDescent="0.25">
      <c r="A65" s="110"/>
      <c r="B65" s="114"/>
      <c r="C65" s="105" t="s">
        <v>45</v>
      </c>
      <c r="D65" s="313"/>
      <c r="E65" s="72"/>
      <c r="F65" s="231"/>
      <c r="G65" s="231"/>
      <c r="H65" s="231"/>
      <c r="I65" s="313"/>
      <c r="J65" s="313"/>
    </row>
    <row r="66" spans="1:10" x14ac:dyDescent="0.25">
      <c r="A66" s="110"/>
      <c r="B66" s="114"/>
      <c r="C66" s="105"/>
      <c r="D66" s="313"/>
      <c r="E66" s="72"/>
      <c r="F66" s="231"/>
      <c r="G66" s="231"/>
      <c r="H66" s="231"/>
      <c r="I66" s="313"/>
      <c r="J66" s="313"/>
    </row>
    <row r="67" spans="1:10" x14ac:dyDescent="0.25">
      <c r="A67" s="110">
        <v>341</v>
      </c>
      <c r="B67" s="110"/>
      <c r="C67" s="113" t="s">
        <v>536</v>
      </c>
      <c r="D67" s="645">
        <f>'Depr Oct15-Sep16 Revised'!T26</f>
        <v>30434.939999999991</v>
      </c>
      <c r="E67" s="72">
        <v>5</v>
      </c>
      <c r="F67" s="231">
        <f t="shared" si="20"/>
        <v>0.05</v>
      </c>
      <c r="G67" s="231">
        <f>'Elec Study Rpt'!V179</f>
        <v>5.0461675328360545E-2</v>
      </c>
      <c r="H67" s="231">
        <f t="shared" si="21"/>
        <v>1.0092335065672109</v>
      </c>
      <c r="I67" s="314"/>
      <c r="J67" s="145">
        <f>I67-D67</f>
        <v>-30434.939999999991</v>
      </c>
    </row>
    <row r="68" spans="1:10" x14ac:dyDescent="0.25">
      <c r="A68" s="110"/>
      <c r="B68" s="110"/>
      <c r="C68" s="113"/>
      <c r="D68" s="313"/>
      <c r="E68" s="72"/>
      <c r="F68" s="231"/>
      <c r="G68" s="231"/>
      <c r="H68" s="231"/>
      <c r="I68" s="313"/>
      <c r="J68" s="143"/>
    </row>
    <row r="69" spans="1:10" x14ac:dyDescent="0.25">
      <c r="A69" s="110"/>
      <c r="B69" s="110"/>
      <c r="C69" s="125" t="s">
        <v>577</v>
      </c>
      <c r="D69" s="136">
        <f>+SUBTOTAL(9,D66:D67)</f>
        <v>30434.939999999991</v>
      </c>
      <c r="E69" s="72"/>
      <c r="F69" s="231"/>
      <c r="G69" s="231"/>
      <c r="H69" s="231"/>
      <c r="I69" s="136">
        <f t="shared" ref="I69:J69" si="25">+SUBTOTAL(9,I66:I67)</f>
        <v>0</v>
      </c>
      <c r="J69" s="136">
        <f t="shared" si="25"/>
        <v>-30434.939999999991</v>
      </c>
    </row>
    <row r="70" spans="1:10" x14ac:dyDescent="0.25">
      <c r="A70" s="110"/>
      <c r="B70" s="110"/>
      <c r="C70" s="113"/>
      <c r="D70" s="313"/>
      <c r="E70" s="72"/>
      <c r="F70" s="231"/>
      <c r="G70" s="231"/>
      <c r="H70" s="231"/>
      <c r="I70" s="313"/>
      <c r="J70" s="143"/>
    </row>
    <row r="71" spans="1:10" x14ac:dyDescent="0.25">
      <c r="A71" s="110"/>
      <c r="B71" s="110"/>
      <c r="C71" s="105" t="s">
        <v>453</v>
      </c>
      <c r="D71" s="313"/>
      <c r="E71" s="72"/>
      <c r="F71" s="231"/>
      <c r="G71" s="231"/>
      <c r="H71" s="231"/>
      <c r="I71" s="313"/>
      <c r="J71" s="143"/>
    </row>
    <row r="72" spans="1:10" x14ac:dyDescent="0.25">
      <c r="A72" s="114"/>
      <c r="B72" s="114"/>
      <c r="C72" s="119" t="s">
        <v>451</v>
      </c>
      <c r="D72" s="313"/>
      <c r="E72" s="72"/>
      <c r="F72" s="231"/>
      <c r="G72" s="231"/>
      <c r="H72" s="231"/>
      <c r="I72" s="313"/>
      <c r="J72" s="143"/>
    </row>
    <row r="73" spans="1:10" x14ac:dyDescent="0.25">
      <c r="A73" s="114">
        <v>390</v>
      </c>
      <c r="B73" s="114"/>
      <c r="C73" s="119" t="s">
        <v>805</v>
      </c>
      <c r="D73" s="647">
        <f ca="1">'Depr Oct15-Sep16 Revised'!V119</f>
        <v>105787.14347799998</v>
      </c>
      <c r="E73" s="72">
        <v>5.27</v>
      </c>
      <c r="F73" s="231">
        <v>5.2699999999999997E-2</v>
      </c>
      <c r="G73" s="231">
        <f>'Comm Study Rpt'!V20</f>
        <v>2.9479687839124316E-2</v>
      </c>
      <c r="H73" s="231">
        <f>G73/F73</f>
        <v>0.55938686601753929</v>
      </c>
      <c r="I73" s="314"/>
      <c r="J73" s="314">
        <f ca="1">I73-D73</f>
        <v>-105787.14347799998</v>
      </c>
    </row>
    <row r="74" spans="1:10" x14ac:dyDescent="0.25">
      <c r="A74" s="114"/>
      <c r="B74" s="114"/>
      <c r="C74" s="119"/>
      <c r="D74" s="312"/>
      <c r="E74" s="72"/>
      <c r="F74" s="231"/>
      <c r="G74" s="231"/>
      <c r="H74" s="231"/>
      <c r="I74" s="313"/>
      <c r="J74" s="313"/>
    </row>
    <row r="75" spans="1:10" x14ac:dyDescent="0.25">
      <c r="C75" s="105" t="s">
        <v>813</v>
      </c>
      <c r="D75" s="136">
        <f ca="1">+SUBTOTAL(9,D72:D73)</f>
        <v>105787.14347799998</v>
      </c>
      <c r="I75" s="136">
        <f t="shared" ref="I75:J75" si="26">+SUBTOTAL(9,I72:I73)</f>
        <v>0</v>
      </c>
      <c r="J75" s="136">
        <f t="shared" ca="1" si="26"/>
        <v>-105787.14347799998</v>
      </c>
    </row>
    <row r="77" spans="1:10" x14ac:dyDescent="0.25">
      <c r="C77" s="99" t="s">
        <v>816</v>
      </c>
      <c r="D77" s="136">
        <f ca="1">+SUBTOTAL(9,D53:D75)</f>
        <v>1476016.7034779999</v>
      </c>
      <c r="I77" s="136">
        <f t="shared" ref="I77:J77" si="27">+SUBTOTAL(9,I53:I75)</f>
        <v>0</v>
      </c>
      <c r="J77" s="136">
        <f t="shared" ca="1" si="27"/>
        <v>-1476016.7034779999</v>
      </c>
    </row>
    <row r="78" spans="1:10" x14ac:dyDescent="0.25">
      <c r="D78" s="143">
        <f ca="1">D77-SUM('Depr Oct15-Sep16 Revised'!T24:T26)-'Depr Oct15-Sep16 Revised'!V119</f>
        <v>0</v>
      </c>
      <c r="E78" s="128" t="s">
        <v>817</v>
      </c>
    </row>
    <row r="80" spans="1:10" x14ac:dyDescent="0.25">
      <c r="D80" s="136">
        <f ca="1">D50+D77</f>
        <v>2828141.4334779996</v>
      </c>
      <c r="E80" s="72"/>
      <c r="F80" s="114"/>
      <c r="G80" s="114"/>
      <c r="H80" s="114"/>
      <c r="I80" s="136">
        <f>I50+I77</f>
        <v>1729703.1034011289</v>
      </c>
      <c r="J80" s="136">
        <f ca="1">J50+J77</f>
        <v>-1098438.330076871</v>
      </c>
    </row>
    <row r="81" spans="4:9" hidden="1" outlineLevel="1" x14ac:dyDescent="0.25">
      <c r="D81" s="401">
        <f ca="1">Electric!D485+Common!E74+D80</f>
        <v>0.8128779991529882</v>
      </c>
      <c r="I81" s="146"/>
    </row>
    <row r="82" spans="4:9" collapsed="1" x14ac:dyDescent="0.25"/>
    <row r="85" spans="4:9" x14ac:dyDescent="0.25">
      <c r="D85" s="146">
        <f ca="1">D77</f>
        <v>1476016.7034779999</v>
      </c>
      <c r="E85" s="128">
        <f>D50</f>
        <v>1352124.73</v>
      </c>
    </row>
    <row r="86" spans="4:9" x14ac:dyDescent="0.25">
      <c r="D86" s="143">
        <f>-SUM('Depr Oct15-Sep16 Revised'!T24:T26)</f>
        <v>-1370229.5599999998</v>
      </c>
      <c r="E86" s="128">
        <f>-SUM('Depr Oct15-Sep16 Revised'!T5:T9)</f>
        <v>-90568.969999999987</v>
      </c>
    </row>
    <row r="87" spans="4:9" x14ac:dyDescent="0.25">
      <c r="D87" s="143">
        <f>-SUM('Depr Oct15-Sep16 Revised'!V24:V26)</f>
        <v>-8148.3699999999953</v>
      </c>
      <c r="E87" s="128">
        <f>-SUM('Depr Oct15-Sep16 Revised'!T11:T15)</f>
        <v>-1261555.76</v>
      </c>
    </row>
    <row r="88" spans="4:9" x14ac:dyDescent="0.25">
      <c r="D88" s="143">
        <f ca="1">-'Depr Oct15-Sep16 Revised'!V119</f>
        <v>-105787.14347799998</v>
      </c>
      <c r="E88" s="128">
        <f>-SUM('Depr Oct15-Sep16 Revised'!V5:V9)</f>
        <v>-24447.100000000093</v>
      </c>
    </row>
    <row r="89" spans="4:9" x14ac:dyDescent="0.25">
      <c r="E89" s="128">
        <f>-SUM('Depr Oct15-Sep16 Revised'!V11:V15)</f>
        <v>197574.12000000046</v>
      </c>
    </row>
  </sheetData>
  <pageMargins left="0.7" right="0.7" top="0.75" bottom="0.75" header="0.3" footer="0.3"/>
  <pageSetup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zoomScaleNormal="100" workbookViewId="0">
      <pane xSplit="3" ySplit="3" topLeftCell="D24" activePane="bottomRight" state="frozen"/>
      <selection pane="topRight"/>
      <selection pane="bottomLeft"/>
      <selection pane="bottomRight" activeCell="I28" sqref="I28"/>
    </sheetView>
  </sheetViews>
  <sheetFormatPr defaultColWidth="9.109375" defaultRowHeight="13.2" outlineLevelCol="1" x14ac:dyDescent="0.25"/>
  <cols>
    <col min="1" max="1" width="10.109375" style="76" bestFit="1" customWidth="1"/>
    <col min="2" max="2" width="10.109375" style="76" customWidth="1"/>
    <col min="3" max="3" width="59.109375" style="34" bestFit="1" customWidth="1"/>
    <col min="4" max="4" width="16" style="34" customWidth="1"/>
    <col min="5" max="5" width="13.109375" style="128" hidden="1" customWidth="1" outlineLevel="1"/>
    <col min="6" max="6" width="11" style="128" customWidth="1" collapsed="1"/>
    <col min="7" max="7" width="11.44140625" style="34" bestFit="1" customWidth="1"/>
    <col min="8" max="8" width="11.44140625" style="34" customWidth="1"/>
    <col min="9" max="9" width="18.5546875" style="34" customWidth="1"/>
    <col min="10" max="10" width="16.5546875" style="34" customWidth="1"/>
    <col min="11" max="11" width="15.44140625" style="34" bestFit="1" customWidth="1"/>
    <col min="12" max="12" width="11.88671875" style="34" customWidth="1"/>
    <col min="13" max="13" width="16" style="34" bestFit="1" customWidth="1"/>
    <col min="14" max="14" width="9.109375" style="34"/>
    <col min="15" max="15" width="13.44140625" style="34" bestFit="1" customWidth="1"/>
    <col min="16" max="16" width="9.109375" style="34"/>
    <col min="17" max="17" width="13.44140625" style="34" bestFit="1" customWidth="1"/>
    <col min="18" max="18" width="9.109375" style="34"/>
    <col min="19" max="19" width="11.6640625" style="34" bestFit="1" customWidth="1"/>
    <col min="20" max="20" width="9.109375" style="34"/>
    <col min="21" max="21" width="9.33203125" style="34" bestFit="1" customWidth="1"/>
    <col min="22" max="16384" width="9.109375" style="34"/>
  </cols>
  <sheetData>
    <row r="1" spans="1:21" x14ac:dyDescent="0.25">
      <c r="D1" s="65" t="s">
        <v>134</v>
      </c>
      <c r="F1" s="49" t="s">
        <v>134</v>
      </c>
      <c r="I1" s="49" t="s">
        <v>136</v>
      </c>
      <c r="J1" s="328" t="s">
        <v>630</v>
      </c>
      <c r="M1" s="363"/>
    </row>
    <row r="2" spans="1:21" x14ac:dyDescent="0.25">
      <c r="A2" s="328" t="s">
        <v>129</v>
      </c>
      <c r="B2" s="328"/>
      <c r="C2" s="328"/>
      <c r="D2" s="49" t="s">
        <v>164</v>
      </c>
      <c r="E2" s="49" t="s">
        <v>134</v>
      </c>
      <c r="F2" s="100" t="s">
        <v>135</v>
      </c>
      <c r="G2" s="328" t="s">
        <v>136</v>
      </c>
      <c r="H2" s="328" t="s">
        <v>760</v>
      </c>
      <c r="I2" s="49" t="s">
        <v>164</v>
      </c>
      <c r="J2" s="328" t="s">
        <v>631</v>
      </c>
      <c r="M2" s="363"/>
    </row>
    <row r="3" spans="1:21" x14ac:dyDescent="0.25">
      <c r="A3" s="99" t="s">
        <v>130</v>
      </c>
      <c r="B3" s="99"/>
      <c r="C3" s="99" t="s">
        <v>131</v>
      </c>
      <c r="D3" s="100" t="s">
        <v>165</v>
      </c>
      <c r="E3" s="100" t="s">
        <v>135</v>
      </c>
      <c r="F3" s="369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  <c r="M3" s="363"/>
    </row>
    <row r="4" spans="1:21" x14ac:dyDescent="0.25">
      <c r="A4" s="99"/>
      <c r="B4" s="99"/>
      <c r="C4" s="99"/>
      <c r="D4" s="100"/>
      <c r="E4" s="100"/>
      <c r="F4" s="100"/>
      <c r="G4" s="99"/>
      <c r="H4" s="99"/>
      <c r="M4" s="363"/>
    </row>
    <row r="5" spans="1:21" x14ac:dyDescent="0.25">
      <c r="B5" s="330"/>
      <c r="C5" s="99" t="s">
        <v>807</v>
      </c>
      <c r="D5" s="330"/>
      <c r="E5" s="330"/>
      <c r="F5" s="330"/>
      <c r="G5" s="330"/>
      <c r="H5" s="329"/>
      <c r="M5" s="363"/>
    </row>
    <row r="6" spans="1:21" x14ac:dyDescent="0.25">
      <c r="A6" s="329"/>
      <c r="B6" s="329"/>
      <c r="C6" s="329"/>
      <c r="D6" s="329"/>
      <c r="E6" s="141"/>
      <c r="F6" s="141"/>
      <c r="G6" s="329"/>
      <c r="H6" s="329"/>
      <c r="M6" s="363"/>
      <c r="O6" s="310"/>
    </row>
    <row r="7" spans="1:21" x14ac:dyDescent="0.25">
      <c r="A7" s="9"/>
      <c r="B7" s="9"/>
      <c r="C7" s="370" t="s">
        <v>461</v>
      </c>
      <c r="D7" s="104"/>
      <c r="E7" s="142"/>
      <c r="F7" s="142"/>
      <c r="G7" s="104"/>
      <c r="H7" s="104"/>
      <c r="I7" s="104"/>
      <c r="J7" s="104"/>
      <c r="K7" s="106"/>
      <c r="L7" s="104"/>
      <c r="M7" s="111"/>
      <c r="N7" s="104"/>
      <c r="O7" s="107"/>
      <c r="P7" s="107"/>
      <c r="Q7" s="107"/>
      <c r="R7" s="107"/>
      <c r="S7" s="107"/>
      <c r="T7" s="104"/>
      <c r="U7" s="108"/>
    </row>
    <row r="8" spans="1:21" x14ac:dyDescent="0.25">
      <c r="A8" s="9"/>
      <c r="B8" s="9"/>
      <c r="C8" s="370"/>
      <c r="D8" s="104"/>
      <c r="E8" s="72"/>
      <c r="F8" s="72"/>
      <c r="G8" s="107"/>
      <c r="H8" s="107"/>
      <c r="I8" s="107"/>
      <c r="J8" s="107"/>
      <c r="K8" s="107"/>
      <c r="L8" s="104"/>
      <c r="M8" s="362"/>
    </row>
    <row r="9" spans="1:21" x14ac:dyDescent="0.25">
      <c r="A9" s="110"/>
      <c r="B9" s="110"/>
      <c r="C9" s="368" t="s">
        <v>809</v>
      </c>
      <c r="D9" s="111"/>
      <c r="E9" s="95"/>
      <c r="F9" s="95"/>
      <c r="G9" s="112"/>
      <c r="H9" s="112"/>
      <c r="I9" s="112"/>
      <c r="J9" s="112"/>
      <c r="K9" s="112"/>
      <c r="L9" s="104"/>
      <c r="M9" s="111"/>
    </row>
    <row r="10" spans="1:21" x14ac:dyDescent="0.25">
      <c r="A10" s="110">
        <v>311</v>
      </c>
      <c r="B10" s="114"/>
      <c r="C10" s="104" t="s">
        <v>466</v>
      </c>
      <c r="D10" s="652">
        <f>'Depr Oct15-Sep16 Revised'!AF5</f>
        <v>71456.988698967907</v>
      </c>
      <c r="E10" s="72">
        <v>1.23</v>
      </c>
      <c r="F10" s="231">
        <f t="shared" ref="F10:F12" si="0">E10*0.01</f>
        <v>1.23E-2</v>
      </c>
      <c r="G10" s="231">
        <f>'Elec Study Rpt'!V28</f>
        <v>5.9095958832762967E-2</v>
      </c>
      <c r="H10" s="231">
        <f t="shared" ref="H10:H12" si="1">G10/F10</f>
        <v>4.8045494985986155</v>
      </c>
      <c r="I10" s="313">
        <f>D10*H10</f>
        <v>343318.63922499318</v>
      </c>
      <c r="J10" s="313">
        <f>I10-D10</f>
        <v>271861.65052602527</v>
      </c>
      <c r="M10" s="364"/>
      <c r="N10" s="113"/>
    </row>
    <row r="11" spans="1:21" x14ac:dyDescent="0.25">
      <c r="A11" s="110">
        <v>311</v>
      </c>
      <c r="B11" s="114"/>
      <c r="C11" s="104" t="s">
        <v>467</v>
      </c>
      <c r="D11" s="654">
        <f>'Depr Oct15-Sep16 Revised'!AF6</f>
        <v>39135.303869619107</v>
      </c>
      <c r="E11" s="72">
        <v>1.31</v>
      </c>
      <c r="F11" s="231">
        <f t="shared" si="0"/>
        <v>1.3100000000000001E-2</v>
      </c>
      <c r="G11" s="231">
        <f>'Elec Study Rpt'!V29</f>
        <v>3.1381776840853741E-2</v>
      </c>
      <c r="H11" s="231">
        <f t="shared" si="1"/>
        <v>2.3955554840346367</v>
      </c>
      <c r="I11" s="364">
        <f t="shared" ref="I11:I12" si="2">D11*H11</f>
        <v>93750.791804227993</v>
      </c>
      <c r="J11" s="364">
        <f t="shared" ref="J11" si="3">I11-D11</f>
        <v>54615.487934608886</v>
      </c>
      <c r="M11" s="364"/>
      <c r="N11" s="113"/>
    </row>
    <row r="12" spans="1:21" x14ac:dyDescent="0.25">
      <c r="A12" s="110">
        <v>311</v>
      </c>
      <c r="B12" s="114"/>
      <c r="C12" s="113" t="s">
        <v>468</v>
      </c>
      <c r="D12" s="655">
        <f>'Depr Oct15-Sep16 Revised'!AF9</f>
        <v>55301.75</v>
      </c>
      <c r="E12" s="72">
        <v>3.18</v>
      </c>
      <c r="F12" s="231">
        <f t="shared" si="0"/>
        <v>3.1800000000000002E-2</v>
      </c>
      <c r="G12" s="231">
        <f>'Elec Study Rpt'!V30</f>
        <v>4.1118730737595262E-2</v>
      </c>
      <c r="H12" s="231">
        <f t="shared" si="1"/>
        <v>1.2930418470941905</v>
      </c>
      <c r="I12" s="314">
        <f t="shared" si="2"/>
        <v>71507.476967541152</v>
      </c>
      <c r="J12" s="314">
        <f>I12-D12</f>
        <v>16205.726967541152</v>
      </c>
      <c r="M12" s="364"/>
      <c r="N12" s="113"/>
    </row>
    <row r="13" spans="1:21" x14ac:dyDescent="0.25">
      <c r="A13" s="110"/>
      <c r="B13" s="114"/>
      <c r="C13" s="113"/>
      <c r="D13" s="364"/>
      <c r="E13" s="72"/>
      <c r="F13" s="231"/>
      <c r="G13" s="231"/>
      <c r="H13" s="231"/>
      <c r="I13" s="364"/>
      <c r="J13" s="364"/>
      <c r="M13" s="364"/>
      <c r="N13" s="113"/>
    </row>
    <row r="14" spans="1:21" x14ac:dyDescent="0.25">
      <c r="A14" s="110"/>
      <c r="B14" s="110"/>
      <c r="C14" s="367" t="s">
        <v>428</v>
      </c>
      <c r="D14" s="134">
        <f>+SUBTOTAL(9,D10:D12)</f>
        <v>165894.042568587</v>
      </c>
      <c r="E14" s="317"/>
      <c r="F14" s="231"/>
      <c r="G14" s="231"/>
      <c r="H14" s="231"/>
      <c r="I14" s="134">
        <f>+SUBTOTAL(9,I10:I12)</f>
        <v>508576.90799676231</v>
      </c>
      <c r="J14" s="134">
        <f>+SUBTOTAL(9,J10:J12)</f>
        <v>342682.86542817531</v>
      </c>
      <c r="K14" s="147"/>
      <c r="M14" s="364"/>
      <c r="N14" s="143"/>
      <c r="O14" s="204"/>
    </row>
    <row r="15" spans="1:21" x14ac:dyDescent="0.25">
      <c r="A15" s="110"/>
      <c r="B15" s="110"/>
      <c r="C15" s="113"/>
      <c r="D15" s="9"/>
      <c r="E15" s="72"/>
      <c r="F15" s="114"/>
      <c r="G15" s="114"/>
      <c r="H15" s="114"/>
      <c r="I15" s="312"/>
      <c r="J15" s="318"/>
      <c r="K15" s="147"/>
      <c r="M15" s="363"/>
    </row>
    <row r="16" spans="1:21" x14ac:dyDescent="0.25">
      <c r="A16" s="114"/>
      <c r="B16" s="114"/>
      <c r="C16" s="116" t="s">
        <v>504</v>
      </c>
      <c r="D16" s="136">
        <f>SUBTOTAL(9,D10:D15)</f>
        <v>165894.042568587</v>
      </c>
      <c r="E16" s="72"/>
      <c r="F16" s="233"/>
      <c r="G16" s="233"/>
      <c r="H16" s="233"/>
      <c r="I16" s="136">
        <f>SUBTOTAL(9,I10:I15)</f>
        <v>508576.90799676231</v>
      </c>
      <c r="J16" s="136">
        <f>SUBTOTAL(9,J10:J15)</f>
        <v>342682.86542817531</v>
      </c>
      <c r="K16" s="148"/>
      <c r="M16" s="363"/>
    </row>
    <row r="17" spans="1:13" x14ac:dyDescent="0.25">
      <c r="A17" s="114"/>
      <c r="B17" s="114"/>
      <c r="C17" s="116"/>
      <c r="D17" s="312"/>
      <c r="E17" s="72"/>
      <c r="F17" s="114"/>
      <c r="G17" s="114"/>
      <c r="H17" s="114"/>
      <c r="I17" s="312"/>
      <c r="J17" s="312"/>
      <c r="K17" s="147"/>
      <c r="M17" s="364"/>
    </row>
    <row r="18" spans="1:13" x14ac:dyDescent="0.25">
      <c r="A18" s="114"/>
      <c r="B18" s="114"/>
      <c r="C18" s="105" t="s">
        <v>45</v>
      </c>
      <c r="F18" s="114"/>
      <c r="G18" s="114"/>
      <c r="H18" s="114"/>
      <c r="I18" s="9"/>
      <c r="K18" s="147"/>
      <c r="M18" s="363"/>
    </row>
    <row r="19" spans="1:13" x14ac:dyDescent="0.25">
      <c r="A19" s="114"/>
      <c r="B19" s="114"/>
      <c r="C19" s="105"/>
      <c r="F19" s="114"/>
      <c r="G19" s="114"/>
      <c r="H19" s="114"/>
      <c r="I19" s="9"/>
      <c r="K19" s="147"/>
      <c r="M19" s="363"/>
    </row>
    <row r="20" spans="1:13" x14ac:dyDescent="0.25">
      <c r="A20" s="114"/>
      <c r="B20" s="114"/>
      <c r="C20" s="368" t="s">
        <v>811</v>
      </c>
      <c r="F20" s="114"/>
      <c r="G20" s="114"/>
      <c r="H20" s="114"/>
      <c r="I20" s="9"/>
      <c r="K20" s="147"/>
      <c r="M20" s="363"/>
    </row>
    <row r="21" spans="1:13" x14ac:dyDescent="0.25">
      <c r="A21" s="110">
        <v>341</v>
      </c>
      <c r="B21" s="110"/>
      <c r="C21" s="113" t="s">
        <v>468</v>
      </c>
      <c r="D21" s="652">
        <v>0</v>
      </c>
      <c r="E21" s="72">
        <v>3.33</v>
      </c>
      <c r="F21" s="231">
        <f t="shared" ref="F21:F22" si="4">E21*0.01</f>
        <v>3.3300000000000003E-2</v>
      </c>
      <c r="G21" s="231">
        <f>'Elec Study Rpt'!V175</f>
        <v>2.4667381345733382E-2</v>
      </c>
      <c r="H21" s="231">
        <f t="shared" ref="H21:H22" si="5">G21/F21</f>
        <v>0.74076220257457592</v>
      </c>
      <c r="I21" s="313">
        <f>D21*H21</f>
        <v>0</v>
      </c>
      <c r="J21" s="143">
        <f>I21-D21</f>
        <v>0</v>
      </c>
      <c r="K21" s="147"/>
      <c r="M21" s="363"/>
    </row>
    <row r="22" spans="1:13" x14ac:dyDescent="0.25">
      <c r="A22" s="110">
        <v>341</v>
      </c>
      <c r="B22" s="110"/>
      <c r="C22" s="113" t="s">
        <v>472</v>
      </c>
      <c r="D22" s="655">
        <f>'Depr Oct15-Sep16 Revised'!AF8</f>
        <v>48247.079999999994</v>
      </c>
      <c r="E22" s="72">
        <v>1.5044219999999999</v>
      </c>
      <c r="F22" s="371">
        <f t="shared" si="4"/>
        <v>1.5044219999999999E-2</v>
      </c>
      <c r="G22" s="371">
        <f>'Elec Study Rpt'!V183</f>
        <v>2.2802478456911714E-2</v>
      </c>
      <c r="H22" s="371">
        <f t="shared" si="5"/>
        <v>1.5156969558349795</v>
      </c>
      <c r="I22" s="314">
        <f t="shared" ref="I22" si="6">D22*H22</f>
        <v>73127.952283926716</v>
      </c>
      <c r="J22" s="145">
        <f t="shared" ref="J22" si="7">I22-D22</f>
        <v>24880.872283926721</v>
      </c>
      <c r="K22" s="147"/>
      <c r="M22" s="363"/>
    </row>
    <row r="23" spans="1:13" x14ac:dyDescent="0.25">
      <c r="A23" s="110"/>
      <c r="B23" s="110"/>
      <c r="C23" s="113"/>
      <c r="D23" s="364"/>
      <c r="E23" s="72"/>
      <c r="F23" s="371"/>
      <c r="G23" s="371"/>
      <c r="H23" s="371"/>
      <c r="I23" s="364"/>
      <c r="J23" s="372"/>
      <c r="K23" s="147"/>
      <c r="M23" s="363"/>
    </row>
    <row r="24" spans="1:13" x14ac:dyDescent="0.25">
      <c r="A24" s="110"/>
      <c r="B24" s="110"/>
      <c r="C24" s="367" t="s">
        <v>428</v>
      </c>
      <c r="D24" s="134">
        <f>+SUBTOTAL(9,D21:D22)</f>
        <v>48247.079999999994</v>
      </c>
      <c r="E24" s="317"/>
      <c r="F24" s="231"/>
      <c r="G24" s="231"/>
      <c r="H24" s="231"/>
      <c r="I24" s="134">
        <f t="shared" ref="I24:J24" si="8">+SUBTOTAL(9,I21:I22)</f>
        <v>73127.952283926716</v>
      </c>
      <c r="J24" s="134">
        <f t="shared" si="8"/>
        <v>24880.872283926721</v>
      </c>
      <c r="K24" s="134"/>
      <c r="M24" s="363"/>
    </row>
    <row r="25" spans="1:13" x14ac:dyDescent="0.25">
      <c r="A25" s="110"/>
      <c r="B25" s="110"/>
      <c r="C25" s="115"/>
      <c r="D25" s="9"/>
      <c r="E25" s="72"/>
      <c r="F25" s="114"/>
      <c r="G25" s="114"/>
      <c r="H25" s="114"/>
      <c r="I25" s="312"/>
      <c r="J25" s="199"/>
      <c r="K25" s="147"/>
      <c r="M25" s="363"/>
    </row>
    <row r="26" spans="1:13" x14ac:dyDescent="0.25">
      <c r="A26" s="110"/>
      <c r="B26" s="110"/>
      <c r="C26" s="113" t="s">
        <v>812</v>
      </c>
      <c r="D26" s="9"/>
      <c r="E26" s="72"/>
      <c r="F26" s="114"/>
      <c r="G26" s="114"/>
      <c r="H26" s="114"/>
      <c r="I26" s="9"/>
      <c r="K26" s="147"/>
      <c r="M26" s="363"/>
    </row>
    <row r="27" spans="1:13" x14ac:dyDescent="0.25">
      <c r="A27" s="110">
        <v>341.01</v>
      </c>
      <c r="B27" s="110"/>
      <c r="C27" s="367" t="s">
        <v>541</v>
      </c>
      <c r="D27" s="652">
        <f>'Depr Oct15-Sep16 Revised'!AF12</f>
        <v>472792.87</v>
      </c>
      <c r="E27" s="72">
        <v>4.24</v>
      </c>
      <c r="F27" s="231">
        <f t="shared" ref="F27:F30" si="9">E27*0.01</f>
        <v>4.24E-2</v>
      </c>
      <c r="G27" s="231">
        <f>'Elec Study Rpt'!V188</f>
        <v>4.37185440441323E-2</v>
      </c>
      <c r="H27" s="231">
        <f t="shared" ref="H27:H30" si="10">G27/F27</f>
        <v>1.0310977368899128</v>
      </c>
      <c r="I27" s="313">
        <f>D27*H27-530</f>
        <v>486965.65827468672</v>
      </c>
      <c r="J27" s="143">
        <f t="shared" ref="J27:J30" si="11">I27-D27</f>
        <v>14172.788274686725</v>
      </c>
      <c r="K27" s="147"/>
      <c r="M27" s="363"/>
    </row>
    <row r="28" spans="1:13" x14ac:dyDescent="0.25">
      <c r="A28" s="110">
        <v>341.01</v>
      </c>
      <c r="B28" s="110"/>
      <c r="C28" s="367" t="s">
        <v>814</v>
      </c>
      <c r="D28" s="652">
        <f>'Depr Oct15-Sep16 Revised'!AF13</f>
        <v>2874.83</v>
      </c>
      <c r="E28" s="72">
        <v>4.24</v>
      </c>
      <c r="F28" s="231">
        <f t="shared" si="9"/>
        <v>4.24E-2</v>
      </c>
      <c r="G28" s="231">
        <f>'Elec Study Rpt'!V188</f>
        <v>4.37185440441323E-2</v>
      </c>
      <c r="H28" s="231">
        <f t="shared" si="10"/>
        <v>1.0310977368899128</v>
      </c>
      <c r="I28" s="313">
        <f t="shared" ref="I28:I30" si="12">D28*H28</f>
        <v>2964.2307069432281</v>
      </c>
      <c r="J28" s="143">
        <f t="shared" si="11"/>
        <v>89.400706943228215</v>
      </c>
      <c r="K28" s="147"/>
      <c r="M28" s="363"/>
    </row>
    <row r="29" spans="1:13" x14ac:dyDescent="0.25">
      <c r="A29" s="110">
        <v>341.01</v>
      </c>
      <c r="B29" s="110"/>
      <c r="C29" s="113" t="s">
        <v>542</v>
      </c>
      <c r="D29" s="652">
        <f>'Depr Oct15-Sep16 Revised'!AF11</f>
        <v>266713.8</v>
      </c>
      <c r="E29" s="72">
        <v>4.24</v>
      </c>
      <c r="F29" s="231">
        <f t="shared" si="9"/>
        <v>4.24E-2</v>
      </c>
      <c r="G29" s="231">
        <f>'Elec Study Rpt'!V189</f>
        <v>6.8764003941710991E-2</v>
      </c>
      <c r="H29" s="231">
        <f t="shared" si="10"/>
        <v>1.6217925457950706</v>
      </c>
      <c r="I29" s="313">
        <f t="shared" si="12"/>
        <v>432554.45270067727</v>
      </c>
      <c r="J29" s="143">
        <f t="shared" si="11"/>
        <v>165840.65270067728</v>
      </c>
      <c r="K29" s="147"/>
      <c r="M29" s="363"/>
    </row>
    <row r="30" spans="1:13" x14ac:dyDescent="0.25">
      <c r="A30" s="110">
        <v>341.01</v>
      </c>
      <c r="B30" s="110"/>
      <c r="C30" s="113" t="s">
        <v>543</v>
      </c>
      <c r="D30" s="655">
        <f>'Depr Oct15-Sep16 Revised'!AF15</f>
        <v>265931.2</v>
      </c>
      <c r="E30" s="72">
        <v>4.28</v>
      </c>
      <c r="F30" s="371">
        <f t="shared" si="9"/>
        <v>4.2800000000000005E-2</v>
      </c>
      <c r="G30" s="371">
        <f>'Elec Study Rpt'!V190</f>
        <v>5.702307468297263E-2</v>
      </c>
      <c r="H30" s="371">
        <f t="shared" si="10"/>
        <v>1.3323148290414164</v>
      </c>
      <c r="I30" s="314">
        <f t="shared" si="12"/>
        <v>354304.08126477874</v>
      </c>
      <c r="J30" s="145">
        <f t="shared" si="11"/>
        <v>88372.881264778727</v>
      </c>
      <c r="K30" s="147"/>
      <c r="M30" s="363"/>
    </row>
    <row r="31" spans="1:13" x14ac:dyDescent="0.25">
      <c r="A31" s="110"/>
      <c r="B31" s="110"/>
      <c r="C31" s="113"/>
      <c r="D31" s="9"/>
      <c r="E31" s="72"/>
      <c r="F31" s="114"/>
      <c r="G31" s="114"/>
      <c r="H31" s="114"/>
      <c r="I31" s="9"/>
      <c r="K31" s="147"/>
      <c r="M31" s="363"/>
    </row>
    <row r="32" spans="1:13" x14ac:dyDescent="0.25">
      <c r="A32" s="110"/>
      <c r="B32" s="110"/>
      <c r="C32" s="367" t="s">
        <v>544</v>
      </c>
      <c r="D32" s="135">
        <f>+SUBTOTAL(9,D27:D30)</f>
        <v>1008312.7</v>
      </c>
      <c r="E32" s="317"/>
      <c r="F32" s="231"/>
      <c r="G32" s="231"/>
      <c r="H32" s="231"/>
      <c r="I32" s="135">
        <f>+SUBTOTAL(9,I27:I30)</f>
        <v>1276788.4229470859</v>
      </c>
      <c r="J32" s="135">
        <f>+SUBTOTAL(9,J27:J30)</f>
        <v>268475.72294708597</v>
      </c>
      <c r="K32" s="134"/>
      <c r="M32" s="363"/>
    </row>
    <row r="33" spans="1:11" x14ac:dyDescent="0.25">
      <c r="A33" s="110"/>
      <c r="B33" s="110"/>
      <c r="C33" s="111"/>
      <c r="F33" s="110"/>
      <c r="G33" s="110"/>
      <c r="H33" s="110"/>
      <c r="I33" s="312"/>
      <c r="J33" s="199"/>
      <c r="K33" s="147"/>
    </row>
    <row r="34" spans="1:11" x14ac:dyDescent="0.25">
      <c r="A34" s="114"/>
      <c r="B34" s="114"/>
      <c r="C34" s="125" t="s">
        <v>577</v>
      </c>
      <c r="D34" s="136">
        <f>SUBTOTAL(9,D20:D32)</f>
        <v>1056559.78</v>
      </c>
      <c r="F34" s="233"/>
      <c r="G34" s="233"/>
      <c r="H34" s="233"/>
      <c r="I34" s="136">
        <f t="shared" ref="I34:J34" si="13">SUBTOTAL(9,I20:I32)</f>
        <v>1349916.3752310127</v>
      </c>
      <c r="J34" s="136">
        <f t="shared" si="13"/>
        <v>293356.59523101267</v>
      </c>
      <c r="K34" s="148"/>
    </row>
    <row r="35" spans="1:11" x14ac:dyDescent="0.25">
      <c r="A35" s="114"/>
      <c r="B35" s="114"/>
      <c r="C35" s="125"/>
      <c r="D35" s="9"/>
      <c r="F35" s="114"/>
      <c r="G35" s="114"/>
      <c r="H35" s="114"/>
      <c r="I35" s="312"/>
      <c r="J35" s="199"/>
      <c r="K35" s="147"/>
    </row>
    <row r="36" spans="1:11" x14ac:dyDescent="0.25">
      <c r="A36" s="114"/>
      <c r="B36" s="114"/>
      <c r="C36" s="104"/>
      <c r="D36" s="9"/>
      <c r="F36" s="114"/>
      <c r="G36" s="114"/>
      <c r="H36" s="114"/>
      <c r="I36" s="9"/>
      <c r="K36" s="147"/>
    </row>
    <row r="37" spans="1:11" x14ac:dyDescent="0.25">
      <c r="A37" s="114"/>
      <c r="B37" s="114"/>
      <c r="C37" s="370" t="s">
        <v>578</v>
      </c>
      <c r="D37" s="9"/>
      <c r="F37" s="114"/>
      <c r="G37" s="114"/>
      <c r="H37" s="114"/>
      <c r="I37" s="312"/>
      <c r="K37" s="147"/>
    </row>
    <row r="38" spans="1:11" x14ac:dyDescent="0.25">
      <c r="A38" s="114"/>
      <c r="B38" s="114"/>
      <c r="C38" s="370"/>
      <c r="D38" s="9"/>
      <c r="F38" s="114"/>
      <c r="G38" s="114"/>
      <c r="H38" s="114"/>
      <c r="I38" s="9"/>
      <c r="K38" s="147"/>
    </row>
    <row r="39" spans="1:11" x14ac:dyDescent="0.25">
      <c r="A39" s="114">
        <v>355</v>
      </c>
      <c r="B39" s="114"/>
      <c r="C39" s="104" t="s">
        <v>594</v>
      </c>
      <c r="D39" s="655">
        <f>'Depr Oct15-Sep16 Revised'!AF14+'Depr Oct15-Sep16 Revised'!AF16</f>
        <v>173123.80000000002</v>
      </c>
      <c r="E39" s="128">
        <v>3.02</v>
      </c>
      <c r="F39" s="231">
        <f t="shared" ref="F39" si="14">E39*0.01</f>
        <v>3.0200000000000001E-2</v>
      </c>
      <c r="G39" s="231">
        <f>'Elec Study Rpt'!V316</f>
        <v>3.0389125381143935E-2</v>
      </c>
      <c r="H39" s="231">
        <f t="shared" ref="H39" si="15">G39/F39</f>
        <v>1.0062624298392031</v>
      </c>
      <c r="I39" s="314">
        <f>D39*H39</f>
        <v>174207.97565099626</v>
      </c>
      <c r="J39" s="145">
        <f t="shared" ref="J39" si="16">I39-D39</f>
        <v>1084.1756509962433</v>
      </c>
      <c r="K39" s="147"/>
    </row>
    <row r="40" spans="1:11" x14ac:dyDescent="0.25">
      <c r="A40" s="114"/>
      <c r="B40" s="114"/>
      <c r="C40" s="104"/>
      <c r="D40" s="9"/>
      <c r="F40" s="114"/>
      <c r="G40" s="114"/>
      <c r="H40" s="114"/>
      <c r="I40" s="9"/>
      <c r="K40" s="147"/>
    </row>
    <row r="41" spans="1:11" x14ac:dyDescent="0.25">
      <c r="A41" s="114"/>
      <c r="B41" s="114"/>
      <c r="C41" s="116" t="s">
        <v>608</v>
      </c>
      <c r="D41" s="136">
        <f>+SUBTOTAL(9,D39:D39)</f>
        <v>173123.80000000002</v>
      </c>
      <c r="E41" s="198"/>
      <c r="F41" s="233"/>
      <c r="G41" s="233"/>
      <c r="H41" s="233"/>
      <c r="I41" s="136">
        <f t="shared" ref="I41:J41" si="17">+SUBTOTAL(9,I39:I39)</f>
        <v>174207.97565099626</v>
      </c>
      <c r="J41" s="136">
        <f t="shared" si="17"/>
        <v>1084.1756509962433</v>
      </c>
      <c r="K41" s="148"/>
    </row>
    <row r="42" spans="1:11" x14ac:dyDescent="0.25">
      <c r="A42" s="114"/>
      <c r="B42" s="114"/>
      <c r="C42" s="116"/>
      <c r="D42" s="9"/>
      <c r="F42" s="233"/>
      <c r="G42" s="233"/>
      <c r="H42" s="233"/>
      <c r="I42" s="312"/>
      <c r="J42" s="199"/>
      <c r="K42" s="147"/>
    </row>
    <row r="43" spans="1:11" x14ac:dyDescent="0.25">
      <c r="A43" s="114"/>
      <c r="B43" s="114"/>
      <c r="C43" s="104"/>
      <c r="D43" s="9"/>
      <c r="F43" s="114"/>
      <c r="G43" s="114"/>
      <c r="H43" s="114"/>
      <c r="I43" s="9"/>
      <c r="K43" s="147"/>
    </row>
    <row r="44" spans="1:11" x14ac:dyDescent="0.25">
      <c r="A44" s="114"/>
      <c r="B44" s="114"/>
      <c r="C44" s="370" t="s">
        <v>452</v>
      </c>
      <c r="D44" s="9"/>
      <c r="F44" s="114"/>
      <c r="G44" s="114"/>
      <c r="H44" s="114"/>
      <c r="I44" s="312"/>
      <c r="K44" s="147"/>
    </row>
    <row r="45" spans="1:11" x14ac:dyDescent="0.25">
      <c r="A45" s="114"/>
      <c r="B45" s="114"/>
      <c r="C45" s="370"/>
      <c r="D45" s="9"/>
      <c r="F45" s="114"/>
      <c r="G45" s="114"/>
      <c r="H45" s="114"/>
      <c r="I45" s="9"/>
      <c r="K45" s="147"/>
    </row>
    <row r="46" spans="1:11" x14ac:dyDescent="0.25">
      <c r="A46" s="114">
        <v>364</v>
      </c>
      <c r="B46" s="114"/>
      <c r="C46" s="104" t="s">
        <v>610</v>
      </c>
      <c r="D46" s="655">
        <f>'Depr Oct15-Sep16 Revised'!AF7</f>
        <v>29083.460000000003</v>
      </c>
      <c r="E46" s="128">
        <v>3.11</v>
      </c>
      <c r="F46" s="231">
        <f t="shared" ref="F46" si="18">E46*0.01</f>
        <v>3.1099999999999999E-2</v>
      </c>
      <c r="G46" s="231">
        <f>'Elec Study Rpt'!V344</f>
        <v>3.1427873986990325E-2</v>
      </c>
      <c r="H46" s="231">
        <f t="shared" ref="H46" si="19">G46/F46</f>
        <v>1.0105425719289494</v>
      </c>
      <c r="I46" s="314">
        <f>D46*H46</f>
        <v>29390.074468992723</v>
      </c>
      <c r="J46" s="145">
        <f>I46-D46</f>
        <v>306.6144689927205</v>
      </c>
      <c r="K46" s="147"/>
    </row>
    <row r="47" spans="1:11" x14ac:dyDescent="0.25">
      <c r="A47" s="114"/>
      <c r="B47" s="114"/>
      <c r="C47" s="104"/>
      <c r="D47" s="9"/>
      <c r="F47" s="114"/>
      <c r="G47" s="114"/>
      <c r="H47" s="114"/>
      <c r="I47" s="9"/>
      <c r="J47" s="9"/>
      <c r="K47" s="147"/>
    </row>
    <row r="48" spans="1:11" x14ac:dyDescent="0.25">
      <c r="A48" s="114"/>
      <c r="B48" s="114"/>
      <c r="C48" s="116" t="s">
        <v>617</v>
      </c>
      <c r="D48" s="136">
        <f>+SUBTOTAL(9,D46:D46)</f>
        <v>29083.460000000003</v>
      </c>
      <c r="E48" s="148"/>
      <c r="F48" s="233"/>
      <c r="G48" s="233"/>
      <c r="H48" s="233"/>
      <c r="I48" s="136">
        <f>+SUBTOTAL(9,I46:I46)</f>
        <v>29390.074468992723</v>
      </c>
      <c r="J48" s="136">
        <f>+SUBTOTAL(9,J46:J46)</f>
        <v>306.6144689927205</v>
      </c>
      <c r="K48" s="148"/>
    </row>
    <row r="49" spans="1:15" x14ac:dyDescent="0.25">
      <c r="A49" s="114"/>
      <c r="B49" s="114"/>
      <c r="C49" s="373"/>
      <c r="F49" s="114"/>
      <c r="G49" s="114"/>
      <c r="H49" s="114"/>
      <c r="I49" s="312"/>
      <c r="J49" s="9"/>
      <c r="K49" s="147"/>
    </row>
    <row r="50" spans="1:15" x14ac:dyDescent="0.25">
      <c r="A50" s="114"/>
      <c r="B50" s="114"/>
      <c r="C50" s="32" t="s">
        <v>806</v>
      </c>
      <c r="D50" s="136">
        <f>+SUBTOTAL(9,D10:D49)</f>
        <v>1424661.0825685868</v>
      </c>
      <c r="E50" s="72"/>
      <c r="F50" s="114"/>
      <c r="G50" s="114"/>
      <c r="H50" s="114"/>
      <c r="I50" s="136">
        <f t="shared" ref="I50:J50" si="20">+SUBTOTAL(9,I9:I48)</f>
        <v>2062091.3333477639</v>
      </c>
      <c r="J50" s="136">
        <f t="shared" si="20"/>
        <v>637430.25077917695</v>
      </c>
      <c r="K50" s="147"/>
    </row>
    <row r="51" spans="1:15" x14ac:dyDescent="0.25">
      <c r="D51" s="146">
        <f>D50-SUM('Depr Oct15-Sep16 Revised'!AF5:AF9)-SUM('Depr Oct15-Sep16 Revised'!AF11:AF16)</f>
        <v>0</v>
      </c>
      <c r="E51" s="128" t="s">
        <v>817</v>
      </c>
      <c r="K51" s="146"/>
      <c r="L51" s="146"/>
      <c r="O51" s="104"/>
    </row>
    <row r="52" spans="1:15" x14ac:dyDescent="0.25">
      <c r="C52" s="32"/>
      <c r="D52" s="136"/>
      <c r="K52" s="146"/>
      <c r="L52" s="146"/>
      <c r="O52" s="104"/>
    </row>
    <row r="53" spans="1:15" x14ac:dyDescent="0.25">
      <c r="O53" s="104"/>
    </row>
    <row r="54" spans="1:15" x14ac:dyDescent="0.25">
      <c r="C54" s="99" t="s">
        <v>808</v>
      </c>
      <c r="O54" s="104"/>
    </row>
    <row r="55" spans="1:15" x14ac:dyDescent="0.25">
      <c r="C55" s="330"/>
      <c r="O55" s="104"/>
    </row>
    <row r="56" spans="1:15" x14ac:dyDescent="0.25">
      <c r="C56" s="105" t="s">
        <v>461</v>
      </c>
      <c r="O56" s="104"/>
    </row>
    <row r="57" spans="1:15" x14ac:dyDescent="0.25">
      <c r="C57" s="105"/>
      <c r="O57" s="104"/>
    </row>
    <row r="58" spans="1:15" x14ac:dyDescent="0.25">
      <c r="C58" s="368" t="s">
        <v>809</v>
      </c>
      <c r="O58" s="104"/>
    </row>
    <row r="59" spans="1:15" x14ac:dyDescent="0.25">
      <c r="A59" s="110">
        <v>311</v>
      </c>
      <c r="B59" s="114"/>
      <c r="C59" s="104" t="s">
        <v>466</v>
      </c>
      <c r="D59" s="656">
        <f>'Depr Oct15-Sep16 Revised'!AF24</f>
        <v>540148.31130103208</v>
      </c>
      <c r="E59" s="72">
        <v>1.23</v>
      </c>
      <c r="F59" s="231">
        <f t="shared" ref="F59:F68" si="21">E59*0.01</f>
        <v>1.23E-2</v>
      </c>
      <c r="G59" s="231">
        <f>'Elec Study Rpt'!V28</f>
        <v>5.9095958832762967E-2</v>
      </c>
      <c r="H59" s="231">
        <f t="shared" ref="H59:H68" si="22">G59/F59</f>
        <v>4.8045494985986155</v>
      </c>
      <c r="I59" s="313"/>
      <c r="J59" s="313">
        <f t="shared" ref="J59:J60" si="23">I59-D59</f>
        <v>-540148.31130103208</v>
      </c>
    </row>
    <row r="60" spans="1:15" x14ac:dyDescent="0.25">
      <c r="A60" s="110">
        <v>311</v>
      </c>
      <c r="B60" s="114"/>
      <c r="C60" s="104" t="s">
        <v>467</v>
      </c>
      <c r="D60" s="657">
        <f>'Depr Oct15-Sep16 Revised'!AF25</f>
        <v>584769.70613038098</v>
      </c>
      <c r="E60" s="72">
        <v>1.31</v>
      </c>
      <c r="F60" s="231">
        <f t="shared" si="21"/>
        <v>1.3100000000000001E-2</v>
      </c>
      <c r="G60" s="231">
        <f>'Elec Study Rpt'!V29</f>
        <v>3.1381776840853741E-2</v>
      </c>
      <c r="H60" s="231">
        <f t="shared" si="22"/>
        <v>2.3955554840346367</v>
      </c>
      <c r="I60" s="314"/>
      <c r="J60" s="314">
        <f t="shared" si="23"/>
        <v>-584769.70613038098</v>
      </c>
    </row>
    <row r="61" spans="1:15" x14ac:dyDescent="0.25">
      <c r="A61" s="110"/>
      <c r="B61" s="114"/>
      <c r="C61" s="104"/>
      <c r="D61" s="364"/>
      <c r="E61" s="72"/>
      <c r="F61" s="231"/>
      <c r="G61" s="231"/>
      <c r="H61" s="231"/>
      <c r="I61" s="313"/>
      <c r="J61" s="313"/>
    </row>
    <row r="62" spans="1:15" x14ac:dyDescent="0.25">
      <c r="A62" s="110"/>
      <c r="B62" s="114"/>
      <c r="C62" s="207" t="s">
        <v>428</v>
      </c>
      <c r="D62" s="313">
        <f>+SUBTOTAL(9,D59:D60)</f>
        <v>1124918.0174314131</v>
      </c>
      <c r="E62" s="72"/>
      <c r="F62" s="231"/>
      <c r="G62" s="231"/>
      <c r="H62" s="231"/>
      <c r="I62" s="313">
        <f t="shared" ref="I62:J62" si="24">+SUBTOTAL(9,I59:I60)</f>
        <v>0</v>
      </c>
      <c r="J62" s="313">
        <f t="shared" si="24"/>
        <v>-1124918.0174314131</v>
      </c>
      <c r="K62" s="143"/>
    </row>
    <row r="63" spans="1:15" x14ac:dyDescent="0.25">
      <c r="A63" s="110"/>
      <c r="B63" s="114"/>
      <c r="C63" s="207"/>
      <c r="D63" s="313"/>
      <c r="E63" s="72"/>
      <c r="F63" s="231"/>
      <c r="G63" s="231"/>
      <c r="H63" s="231"/>
      <c r="I63" s="313"/>
      <c r="J63" s="313"/>
    </row>
    <row r="64" spans="1:15" x14ac:dyDescent="0.25">
      <c r="A64" s="110"/>
      <c r="B64" s="114"/>
      <c r="C64" s="105" t="s">
        <v>815</v>
      </c>
      <c r="D64" s="136">
        <f>+SUBTOTAL(9,D59:D62)</f>
        <v>1124918.0174314131</v>
      </c>
      <c r="E64" s="72"/>
      <c r="F64" s="231"/>
      <c r="G64" s="231"/>
      <c r="H64" s="231"/>
      <c r="I64" s="136">
        <f t="shared" ref="I64:J64" si="25">+SUBTOTAL(9,I59:I62)</f>
        <v>0</v>
      </c>
      <c r="J64" s="136">
        <f t="shared" si="25"/>
        <v>-1124918.0174314131</v>
      </c>
    </row>
    <row r="65" spans="1:10" x14ac:dyDescent="0.25">
      <c r="A65" s="110"/>
      <c r="B65" s="114"/>
      <c r="C65" s="207"/>
      <c r="D65" s="313"/>
      <c r="E65" s="72"/>
      <c r="F65" s="231"/>
      <c r="G65" s="231"/>
      <c r="H65" s="231"/>
      <c r="I65" s="313"/>
      <c r="J65" s="313"/>
    </row>
    <row r="66" spans="1:10" x14ac:dyDescent="0.25">
      <c r="A66" s="110"/>
      <c r="B66" s="114"/>
      <c r="C66" s="105" t="s">
        <v>45</v>
      </c>
      <c r="D66" s="313"/>
      <c r="E66" s="72"/>
      <c r="F66" s="231"/>
      <c r="G66" s="231"/>
      <c r="H66" s="231"/>
      <c r="I66" s="313"/>
      <c r="J66" s="313"/>
    </row>
    <row r="67" spans="1:10" x14ac:dyDescent="0.25">
      <c r="A67" s="110"/>
      <c r="B67" s="114"/>
      <c r="C67" s="105"/>
      <c r="D67" s="313"/>
      <c r="E67" s="72"/>
      <c r="F67" s="231"/>
      <c r="G67" s="231"/>
      <c r="H67" s="231"/>
      <c r="I67" s="313"/>
      <c r="J67" s="313"/>
    </row>
    <row r="68" spans="1:10" x14ac:dyDescent="0.25">
      <c r="A68" s="110">
        <v>341</v>
      </c>
      <c r="B68" s="110"/>
      <c r="C68" s="113" t="s">
        <v>536</v>
      </c>
      <c r="D68" s="657">
        <f>'Depr Oct15-Sep16 Revised'!AF26</f>
        <v>13152.02</v>
      </c>
      <c r="E68" s="72">
        <v>5</v>
      </c>
      <c r="F68" s="231">
        <f t="shared" si="21"/>
        <v>0.05</v>
      </c>
      <c r="G68" s="231">
        <f>'Elec Study Rpt'!V179</f>
        <v>5.0461675328360545E-2</v>
      </c>
      <c r="H68" s="231">
        <f t="shared" si="22"/>
        <v>1.0092335065672109</v>
      </c>
      <c r="I68" s="314"/>
      <c r="J68" s="145">
        <f>I68-D68</f>
        <v>-13152.02</v>
      </c>
    </row>
    <row r="69" spans="1:10" x14ac:dyDescent="0.25">
      <c r="A69" s="110"/>
      <c r="B69" s="110"/>
      <c r="C69" s="113"/>
      <c r="D69" s="313"/>
      <c r="E69" s="72"/>
      <c r="F69" s="231"/>
      <c r="G69" s="231"/>
      <c r="H69" s="231"/>
      <c r="I69" s="313"/>
      <c r="J69" s="143"/>
    </row>
    <row r="70" spans="1:10" x14ac:dyDescent="0.25">
      <c r="A70" s="110"/>
      <c r="B70" s="110"/>
      <c r="C70" s="125" t="s">
        <v>577</v>
      </c>
      <c r="D70" s="136">
        <f>+SUBTOTAL(9,D67:D68)</f>
        <v>13152.02</v>
      </c>
      <c r="E70" s="72"/>
      <c r="F70" s="231"/>
      <c r="G70" s="231"/>
      <c r="H70" s="231"/>
      <c r="I70" s="136">
        <f t="shared" ref="I70:J70" si="26">+SUBTOTAL(9,I67:I68)</f>
        <v>0</v>
      </c>
      <c r="J70" s="136">
        <f t="shared" si="26"/>
        <v>-13152.02</v>
      </c>
    </row>
    <row r="71" spans="1:10" x14ac:dyDescent="0.25">
      <c r="A71" s="110"/>
      <c r="B71" s="110"/>
      <c r="C71" s="113"/>
      <c r="D71" s="313"/>
      <c r="E71" s="72"/>
      <c r="F71" s="231"/>
      <c r="G71" s="231"/>
      <c r="H71" s="231"/>
      <c r="I71" s="313"/>
      <c r="J71" s="143"/>
    </row>
    <row r="72" spans="1:10" x14ac:dyDescent="0.25">
      <c r="A72" s="110"/>
      <c r="B72" s="110"/>
      <c r="C72" s="105" t="s">
        <v>453</v>
      </c>
      <c r="D72" s="313"/>
      <c r="E72" s="72"/>
      <c r="F72" s="231"/>
      <c r="G72" s="231"/>
      <c r="H72" s="231"/>
      <c r="I72" s="313"/>
      <c r="J72" s="143"/>
    </row>
    <row r="73" spans="1:10" x14ac:dyDescent="0.25">
      <c r="A73" s="114"/>
      <c r="B73" s="114"/>
      <c r="C73" s="119" t="s">
        <v>451</v>
      </c>
      <c r="D73" s="313"/>
      <c r="E73" s="72"/>
      <c r="F73" s="231"/>
      <c r="G73" s="231"/>
      <c r="H73" s="231"/>
      <c r="I73" s="313"/>
      <c r="J73" s="143"/>
    </row>
    <row r="74" spans="1:10" x14ac:dyDescent="0.25">
      <c r="A74" s="114">
        <v>390</v>
      </c>
      <c r="B74" s="114"/>
      <c r="C74" s="119" t="s">
        <v>805</v>
      </c>
      <c r="D74" s="660">
        <f>'Depr Oct15-Sep16 Revised'!AF27</f>
        <v>9932.9660800000001</v>
      </c>
      <c r="E74" s="72">
        <v>5.27</v>
      </c>
      <c r="F74" s="231">
        <v>5.2699999999999997E-2</v>
      </c>
      <c r="G74" s="231">
        <f>'Comm Study Rpt'!V20</f>
        <v>2.9479687839124316E-2</v>
      </c>
      <c r="H74" s="231">
        <f>G74/F74</f>
        <v>0.55938686601753929</v>
      </c>
      <c r="I74" s="314"/>
      <c r="J74" s="314">
        <f>I74-D74</f>
        <v>-9932.9660800000001</v>
      </c>
    </row>
    <row r="75" spans="1:10" x14ac:dyDescent="0.25">
      <c r="A75" s="114"/>
      <c r="B75" s="114"/>
      <c r="C75" s="119"/>
      <c r="D75" s="312"/>
      <c r="E75" s="72"/>
      <c r="F75" s="231"/>
      <c r="G75" s="231"/>
      <c r="H75" s="231"/>
      <c r="I75" s="313"/>
      <c r="J75" s="313"/>
    </row>
    <row r="76" spans="1:10" x14ac:dyDescent="0.25">
      <c r="C76" s="105" t="s">
        <v>813</v>
      </c>
      <c r="D76" s="136">
        <f>+SUBTOTAL(9,D73:D74)</f>
        <v>9932.9660800000001</v>
      </c>
      <c r="I76" s="136">
        <f t="shared" ref="I76:J76" si="27">+SUBTOTAL(9,I73:I74)</f>
        <v>0</v>
      </c>
      <c r="J76" s="136">
        <f t="shared" si="27"/>
        <v>-9932.9660800000001</v>
      </c>
    </row>
    <row r="78" spans="1:10" x14ac:dyDescent="0.25">
      <c r="C78" s="99" t="s">
        <v>816</v>
      </c>
      <c r="D78" s="136">
        <f>+SUBTOTAL(9,D54:D76)</f>
        <v>1148003.003511413</v>
      </c>
      <c r="I78" s="136">
        <f t="shared" ref="I78:J78" si="28">+SUBTOTAL(9,I54:I76)</f>
        <v>0</v>
      </c>
      <c r="J78" s="136">
        <f t="shared" si="28"/>
        <v>-1148003.003511413</v>
      </c>
    </row>
    <row r="79" spans="1:10" x14ac:dyDescent="0.25">
      <c r="D79" s="143">
        <f>-SUM('Depr Oct15-Sep16 Revised'!AF24:AF27)+D78</f>
        <v>0</v>
      </c>
      <c r="E79" s="128" t="s">
        <v>817</v>
      </c>
    </row>
    <row r="81" spans="4:10" x14ac:dyDescent="0.25">
      <c r="D81" s="136">
        <f>D50+D78</f>
        <v>2572664.0860799998</v>
      </c>
      <c r="I81" s="136">
        <f t="shared" ref="I81:J81" si="29">I50+I78</f>
        <v>2062091.3333477639</v>
      </c>
      <c r="J81" s="136">
        <f t="shared" si="29"/>
        <v>-510572.75273223605</v>
      </c>
    </row>
    <row r="82" spans="4:10" x14ac:dyDescent="0.25">
      <c r="D82" s="143"/>
      <c r="I82" s="146"/>
    </row>
    <row r="83" spans="4:10" x14ac:dyDescent="0.25">
      <c r="D83" s="146"/>
    </row>
  </sheetData>
  <pageMargins left="0.7" right="0.7" top="0.75" bottom="0.75" header="0.3" footer="0.3"/>
  <pageSetup scale="4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K131"/>
  <sheetViews>
    <sheetView showGridLines="0" view="pageBreakPreview" topLeftCell="B1" zoomScale="80" zoomScaleNormal="80" zoomScaleSheetLayoutView="80" workbookViewId="0">
      <selection activeCell="R6" sqref="R6"/>
    </sheetView>
  </sheetViews>
  <sheetFormatPr defaultRowHeight="13.8" outlineLevelCol="1" x14ac:dyDescent="0.3"/>
  <cols>
    <col min="1" max="1" width="30" style="515" customWidth="1"/>
    <col min="2" max="2" width="10.5546875" style="568" customWidth="1"/>
    <col min="3" max="4" width="14.109375" style="515" customWidth="1"/>
    <col min="5" max="5" width="14.109375" style="515" hidden="1" customWidth="1" outlineLevel="1"/>
    <col min="6" max="18" width="12.6640625" style="515" hidden="1" customWidth="1" outlineLevel="1"/>
    <col min="19" max="19" width="13.109375" style="515" hidden="1" customWidth="1" outlineLevel="1"/>
    <col min="20" max="20" width="13.109375" style="515" bestFit="1" customWidth="1" collapsed="1"/>
    <col min="21" max="22" width="13.109375" style="515" customWidth="1"/>
    <col min="23" max="23" width="13.109375" style="515" bestFit="1" customWidth="1"/>
    <col min="24" max="24" width="16.44140625" style="332" customWidth="1"/>
    <col min="25" max="25" width="19.33203125" style="515" customWidth="1"/>
    <col min="26" max="26" width="3.88671875" style="515" customWidth="1"/>
    <col min="27" max="27" width="10.88671875" style="515" bestFit="1" customWidth="1"/>
    <col min="28" max="28" width="8.88671875" style="515"/>
    <col min="29" max="29" width="13.5546875" style="515" bestFit="1" customWidth="1"/>
    <col min="30" max="30" width="12" style="515" bestFit="1" customWidth="1"/>
    <col min="31" max="31" width="13.5546875" style="569" customWidth="1"/>
    <col min="32" max="32" width="13.5546875" style="515" bestFit="1" customWidth="1"/>
    <col min="33" max="33" width="10.88671875" style="515" bestFit="1" customWidth="1"/>
    <col min="34" max="34" width="13.5546875" style="569" customWidth="1"/>
    <col min="35" max="35" width="13.5546875" style="569" bestFit="1" customWidth="1"/>
    <col min="36" max="36" width="12" style="569" bestFit="1" customWidth="1"/>
    <col min="37" max="37" width="13.5546875" style="569" customWidth="1"/>
    <col min="38" max="258" width="8.88671875" style="515"/>
    <col min="259" max="259" width="39.33203125" style="515" customWidth="1"/>
    <col min="260" max="260" width="20.5546875" style="515" customWidth="1"/>
    <col min="261" max="261" width="14" style="515" customWidth="1"/>
    <col min="262" max="262" width="12.109375" style="515" customWidth="1"/>
    <col min="263" max="265" width="11.5546875" style="515" customWidth="1"/>
    <col min="266" max="268" width="10.5546875" style="515" customWidth="1"/>
    <col min="269" max="271" width="11.5546875" style="515" customWidth="1"/>
    <col min="272" max="272" width="12.44140625" style="515" customWidth="1"/>
    <col min="273" max="274" width="11.5546875" style="515" customWidth="1"/>
    <col min="275" max="275" width="13.109375" style="515" customWidth="1"/>
    <col min="276" max="276" width="13.109375" style="515" bestFit="1" customWidth="1"/>
    <col min="277" max="277" width="13.109375" style="515" customWidth="1"/>
    <col min="278" max="278" width="13.109375" style="515" bestFit="1" customWidth="1"/>
    <col min="279" max="279" width="16.44140625" style="515" customWidth="1"/>
    <col min="280" max="280" width="19.33203125" style="515" customWidth="1"/>
    <col min="281" max="281" width="3.88671875" style="515" customWidth="1"/>
    <col min="282" max="514" width="8.88671875" style="515"/>
    <col min="515" max="515" width="39.33203125" style="515" customWidth="1"/>
    <col min="516" max="516" width="20.5546875" style="515" customWidth="1"/>
    <col min="517" max="517" width="14" style="515" customWidth="1"/>
    <col min="518" max="518" width="12.109375" style="515" customWidth="1"/>
    <col min="519" max="521" width="11.5546875" style="515" customWidth="1"/>
    <col min="522" max="524" width="10.5546875" style="515" customWidth="1"/>
    <col min="525" max="527" width="11.5546875" style="515" customWidth="1"/>
    <col min="528" max="528" width="12.44140625" style="515" customWidth="1"/>
    <col min="529" max="530" width="11.5546875" style="515" customWidth="1"/>
    <col min="531" max="531" width="13.109375" style="515" customWidth="1"/>
    <col min="532" max="532" width="13.109375" style="515" bestFit="1" customWidth="1"/>
    <col min="533" max="533" width="13.109375" style="515" customWidth="1"/>
    <col min="534" max="534" width="13.109375" style="515" bestFit="1" customWidth="1"/>
    <col min="535" max="535" width="16.44140625" style="515" customWidth="1"/>
    <col min="536" max="536" width="19.33203125" style="515" customWidth="1"/>
    <col min="537" max="537" width="3.88671875" style="515" customWidth="1"/>
    <col min="538" max="770" width="8.88671875" style="515"/>
    <col min="771" max="771" width="39.33203125" style="515" customWidth="1"/>
    <col min="772" max="772" width="20.5546875" style="515" customWidth="1"/>
    <col min="773" max="773" width="14" style="515" customWidth="1"/>
    <col min="774" max="774" width="12.109375" style="515" customWidth="1"/>
    <col min="775" max="777" width="11.5546875" style="515" customWidth="1"/>
    <col min="778" max="780" width="10.5546875" style="515" customWidth="1"/>
    <col min="781" max="783" width="11.5546875" style="515" customWidth="1"/>
    <col min="784" max="784" width="12.44140625" style="515" customWidth="1"/>
    <col min="785" max="786" width="11.5546875" style="515" customWidth="1"/>
    <col min="787" max="787" width="13.109375" style="515" customWidth="1"/>
    <col min="788" max="788" width="13.109375" style="515" bestFit="1" customWidth="1"/>
    <col min="789" max="789" width="13.109375" style="515" customWidth="1"/>
    <col min="790" max="790" width="13.109375" style="515" bestFit="1" customWidth="1"/>
    <col min="791" max="791" width="16.44140625" style="515" customWidth="1"/>
    <col min="792" max="792" width="19.33203125" style="515" customWidth="1"/>
    <col min="793" max="793" width="3.88671875" style="515" customWidth="1"/>
    <col min="794" max="1026" width="8.88671875" style="515"/>
    <col min="1027" max="1027" width="39.33203125" style="515" customWidth="1"/>
    <col min="1028" max="1028" width="20.5546875" style="515" customWidth="1"/>
    <col min="1029" max="1029" width="14" style="515" customWidth="1"/>
    <col min="1030" max="1030" width="12.109375" style="515" customWidth="1"/>
    <col min="1031" max="1033" width="11.5546875" style="515" customWidth="1"/>
    <col min="1034" max="1036" width="10.5546875" style="515" customWidth="1"/>
    <col min="1037" max="1039" width="11.5546875" style="515" customWidth="1"/>
    <col min="1040" max="1040" width="12.44140625" style="515" customWidth="1"/>
    <col min="1041" max="1042" width="11.5546875" style="515" customWidth="1"/>
    <col min="1043" max="1043" width="13.109375" style="515" customWidth="1"/>
    <col min="1044" max="1044" width="13.109375" style="515" bestFit="1" customWidth="1"/>
    <col min="1045" max="1045" width="13.109375" style="515" customWidth="1"/>
    <col min="1046" max="1046" width="13.109375" style="515" bestFit="1" customWidth="1"/>
    <col min="1047" max="1047" width="16.44140625" style="515" customWidth="1"/>
    <col min="1048" max="1048" width="19.33203125" style="515" customWidth="1"/>
    <col min="1049" max="1049" width="3.88671875" style="515" customWidth="1"/>
    <col min="1050" max="1282" width="8.88671875" style="515"/>
    <col min="1283" max="1283" width="39.33203125" style="515" customWidth="1"/>
    <col min="1284" max="1284" width="20.5546875" style="515" customWidth="1"/>
    <col min="1285" max="1285" width="14" style="515" customWidth="1"/>
    <col min="1286" max="1286" width="12.109375" style="515" customWidth="1"/>
    <col min="1287" max="1289" width="11.5546875" style="515" customWidth="1"/>
    <col min="1290" max="1292" width="10.5546875" style="515" customWidth="1"/>
    <col min="1293" max="1295" width="11.5546875" style="515" customWidth="1"/>
    <col min="1296" max="1296" width="12.44140625" style="515" customWidth="1"/>
    <col min="1297" max="1298" width="11.5546875" style="515" customWidth="1"/>
    <col min="1299" max="1299" width="13.109375" style="515" customWidth="1"/>
    <col min="1300" max="1300" width="13.109375" style="515" bestFit="1" customWidth="1"/>
    <col min="1301" max="1301" width="13.109375" style="515" customWidth="1"/>
    <col min="1302" max="1302" width="13.109375" style="515" bestFit="1" customWidth="1"/>
    <col min="1303" max="1303" width="16.44140625" style="515" customWidth="1"/>
    <col min="1304" max="1304" width="19.33203125" style="515" customWidth="1"/>
    <col min="1305" max="1305" width="3.88671875" style="515" customWidth="1"/>
    <col min="1306" max="1538" width="8.88671875" style="515"/>
    <col min="1539" max="1539" width="39.33203125" style="515" customWidth="1"/>
    <col min="1540" max="1540" width="20.5546875" style="515" customWidth="1"/>
    <col min="1541" max="1541" width="14" style="515" customWidth="1"/>
    <col min="1542" max="1542" width="12.109375" style="515" customWidth="1"/>
    <col min="1543" max="1545" width="11.5546875" style="515" customWidth="1"/>
    <col min="1546" max="1548" width="10.5546875" style="515" customWidth="1"/>
    <col min="1549" max="1551" width="11.5546875" style="515" customWidth="1"/>
    <col min="1552" max="1552" width="12.44140625" style="515" customWidth="1"/>
    <col min="1553" max="1554" width="11.5546875" style="515" customWidth="1"/>
    <col min="1555" max="1555" width="13.109375" style="515" customWidth="1"/>
    <col min="1556" max="1556" width="13.109375" style="515" bestFit="1" customWidth="1"/>
    <col min="1557" max="1557" width="13.109375" style="515" customWidth="1"/>
    <col min="1558" max="1558" width="13.109375" style="515" bestFit="1" customWidth="1"/>
    <col min="1559" max="1559" width="16.44140625" style="515" customWidth="1"/>
    <col min="1560" max="1560" width="19.33203125" style="515" customWidth="1"/>
    <col min="1561" max="1561" width="3.88671875" style="515" customWidth="1"/>
    <col min="1562" max="1794" width="8.88671875" style="515"/>
    <col min="1795" max="1795" width="39.33203125" style="515" customWidth="1"/>
    <col min="1796" max="1796" width="20.5546875" style="515" customWidth="1"/>
    <col min="1797" max="1797" width="14" style="515" customWidth="1"/>
    <col min="1798" max="1798" width="12.109375" style="515" customWidth="1"/>
    <col min="1799" max="1801" width="11.5546875" style="515" customWidth="1"/>
    <col min="1802" max="1804" width="10.5546875" style="515" customWidth="1"/>
    <col min="1805" max="1807" width="11.5546875" style="515" customWidth="1"/>
    <col min="1808" max="1808" width="12.44140625" style="515" customWidth="1"/>
    <col min="1809" max="1810" width="11.5546875" style="515" customWidth="1"/>
    <col min="1811" max="1811" width="13.109375" style="515" customWidth="1"/>
    <col min="1812" max="1812" width="13.109375" style="515" bestFit="1" customWidth="1"/>
    <col min="1813" max="1813" width="13.109375" style="515" customWidth="1"/>
    <col min="1814" max="1814" width="13.109375" style="515" bestFit="1" customWidth="1"/>
    <col min="1815" max="1815" width="16.44140625" style="515" customWidth="1"/>
    <col min="1816" max="1816" width="19.33203125" style="515" customWidth="1"/>
    <col min="1817" max="1817" width="3.88671875" style="515" customWidth="1"/>
    <col min="1818" max="2050" width="8.88671875" style="515"/>
    <col min="2051" max="2051" width="39.33203125" style="515" customWidth="1"/>
    <col min="2052" max="2052" width="20.5546875" style="515" customWidth="1"/>
    <col min="2053" max="2053" width="14" style="515" customWidth="1"/>
    <col min="2054" max="2054" width="12.109375" style="515" customWidth="1"/>
    <col min="2055" max="2057" width="11.5546875" style="515" customWidth="1"/>
    <col min="2058" max="2060" width="10.5546875" style="515" customWidth="1"/>
    <col min="2061" max="2063" width="11.5546875" style="515" customWidth="1"/>
    <col min="2064" max="2064" width="12.44140625" style="515" customWidth="1"/>
    <col min="2065" max="2066" width="11.5546875" style="515" customWidth="1"/>
    <col min="2067" max="2067" width="13.109375" style="515" customWidth="1"/>
    <col min="2068" max="2068" width="13.109375" style="515" bestFit="1" customWidth="1"/>
    <col min="2069" max="2069" width="13.109375" style="515" customWidth="1"/>
    <col min="2070" max="2070" width="13.109375" style="515" bestFit="1" customWidth="1"/>
    <col min="2071" max="2071" width="16.44140625" style="515" customWidth="1"/>
    <col min="2072" max="2072" width="19.33203125" style="515" customWidth="1"/>
    <col min="2073" max="2073" width="3.88671875" style="515" customWidth="1"/>
    <col min="2074" max="2306" width="8.88671875" style="515"/>
    <col min="2307" max="2307" width="39.33203125" style="515" customWidth="1"/>
    <col min="2308" max="2308" width="20.5546875" style="515" customWidth="1"/>
    <col min="2309" max="2309" width="14" style="515" customWidth="1"/>
    <col min="2310" max="2310" width="12.109375" style="515" customWidth="1"/>
    <col min="2311" max="2313" width="11.5546875" style="515" customWidth="1"/>
    <col min="2314" max="2316" width="10.5546875" style="515" customWidth="1"/>
    <col min="2317" max="2319" width="11.5546875" style="515" customWidth="1"/>
    <col min="2320" max="2320" width="12.44140625" style="515" customWidth="1"/>
    <col min="2321" max="2322" width="11.5546875" style="515" customWidth="1"/>
    <col min="2323" max="2323" width="13.109375" style="515" customWidth="1"/>
    <col min="2324" max="2324" width="13.109375" style="515" bestFit="1" customWidth="1"/>
    <col min="2325" max="2325" width="13.109375" style="515" customWidth="1"/>
    <col min="2326" max="2326" width="13.109375" style="515" bestFit="1" customWidth="1"/>
    <col min="2327" max="2327" width="16.44140625" style="515" customWidth="1"/>
    <col min="2328" max="2328" width="19.33203125" style="515" customWidth="1"/>
    <col min="2329" max="2329" width="3.88671875" style="515" customWidth="1"/>
    <col min="2330" max="2562" width="8.88671875" style="515"/>
    <col min="2563" max="2563" width="39.33203125" style="515" customWidth="1"/>
    <col min="2564" max="2564" width="20.5546875" style="515" customWidth="1"/>
    <col min="2565" max="2565" width="14" style="515" customWidth="1"/>
    <col min="2566" max="2566" width="12.109375" style="515" customWidth="1"/>
    <col min="2567" max="2569" width="11.5546875" style="515" customWidth="1"/>
    <col min="2570" max="2572" width="10.5546875" style="515" customWidth="1"/>
    <col min="2573" max="2575" width="11.5546875" style="515" customWidth="1"/>
    <col min="2576" max="2576" width="12.44140625" style="515" customWidth="1"/>
    <col min="2577" max="2578" width="11.5546875" style="515" customWidth="1"/>
    <col min="2579" max="2579" width="13.109375" style="515" customWidth="1"/>
    <col min="2580" max="2580" width="13.109375" style="515" bestFit="1" customWidth="1"/>
    <col min="2581" max="2581" width="13.109375" style="515" customWidth="1"/>
    <col min="2582" max="2582" width="13.109375" style="515" bestFit="1" customWidth="1"/>
    <col min="2583" max="2583" width="16.44140625" style="515" customWidth="1"/>
    <col min="2584" max="2584" width="19.33203125" style="515" customWidth="1"/>
    <col min="2585" max="2585" width="3.88671875" style="515" customWidth="1"/>
    <col min="2586" max="2818" width="8.88671875" style="515"/>
    <col min="2819" max="2819" width="39.33203125" style="515" customWidth="1"/>
    <col min="2820" max="2820" width="20.5546875" style="515" customWidth="1"/>
    <col min="2821" max="2821" width="14" style="515" customWidth="1"/>
    <col min="2822" max="2822" width="12.109375" style="515" customWidth="1"/>
    <col min="2823" max="2825" width="11.5546875" style="515" customWidth="1"/>
    <col min="2826" max="2828" width="10.5546875" style="515" customWidth="1"/>
    <col min="2829" max="2831" width="11.5546875" style="515" customWidth="1"/>
    <col min="2832" max="2832" width="12.44140625" style="515" customWidth="1"/>
    <col min="2833" max="2834" width="11.5546875" style="515" customWidth="1"/>
    <col min="2835" max="2835" width="13.109375" style="515" customWidth="1"/>
    <col min="2836" max="2836" width="13.109375" style="515" bestFit="1" customWidth="1"/>
    <col min="2837" max="2837" width="13.109375" style="515" customWidth="1"/>
    <col min="2838" max="2838" width="13.109375" style="515" bestFit="1" customWidth="1"/>
    <col min="2839" max="2839" width="16.44140625" style="515" customWidth="1"/>
    <col min="2840" max="2840" width="19.33203125" style="515" customWidth="1"/>
    <col min="2841" max="2841" width="3.88671875" style="515" customWidth="1"/>
    <col min="2842" max="3074" width="8.88671875" style="515"/>
    <col min="3075" max="3075" width="39.33203125" style="515" customWidth="1"/>
    <col min="3076" max="3076" width="20.5546875" style="515" customWidth="1"/>
    <col min="3077" max="3077" width="14" style="515" customWidth="1"/>
    <col min="3078" max="3078" width="12.109375" style="515" customWidth="1"/>
    <col min="3079" max="3081" width="11.5546875" style="515" customWidth="1"/>
    <col min="3082" max="3084" width="10.5546875" style="515" customWidth="1"/>
    <col min="3085" max="3087" width="11.5546875" style="515" customWidth="1"/>
    <col min="3088" max="3088" width="12.44140625" style="515" customWidth="1"/>
    <col min="3089" max="3090" width="11.5546875" style="515" customWidth="1"/>
    <col min="3091" max="3091" width="13.109375" style="515" customWidth="1"/>
    <col min="3092" max="3092" width="13.109375" style="515" bestFit="1" customWidth="1"/>
    <col min="3093" max="3093" width="13.109375" style="515" customWidth="1"/>
    <col min="3094" max="3094" width="13.109375" style="515" bestFit="1" customWidth="1"/>
    <col min="3095" max="3095" width="16.44140625" style="515" customWidth="1"/>
    <col min="3096" max="3096" width="19.33203125" style="515" customWidth="1"/>
    <col min="3097" max="3097" width="3.88671875" style="515" customWidth="1"/>
    <col min="3098" max="3330" width="8.88671875" style="515"/>
    <col min="3331" max="3331" width="39.33203125" style="515" customWidth="1"/>
    <col min="3332" max="3332" width="20.5546875" style="515" customWidth="1"/>
    <col min="3333" max="3333" width="14" style="515" customWidth="1"/>
    <col min="3334" max="3334" width="12.109375" style="515" customWidth="1"/>
    <col min="3335" max="3337" width="11.5546875" style="515" customWidth="1"/>
    <col min="3338" max="3340" width="10.5546875" style="515" customWidth="1"/>
    <col min="3341" max="3343" width="11.5546875" style="515" customWidth="1"/>
    <col min="3344" max="3344" width="12.44140625" style="515" customWidth="1"/>
    <col min="3345" max="3346" width="11.5546875" style="515" customWidth="1"/>
    <col min="3347" max="3347" width="13.109375" style="515" customWidth="1"/>
    <col min="3348" max="3348" width="13.109375" style="515" bestFit="1" customWidth="1"/>
    <col min="3349" max="3349" width="13.109375" style="515" customWidth="1"/>
    <col min="3350" max="3350" width="13.109375" style="515" bestFit="1" customWidth="1"/>
    <col min="3351" max="3351" width="16.44140625" style="515" customWidth="1"/>
    <col min="3352" max="3352" width="19.33203125" style="515" customWidth="1"/>
    <col min="3353" max="3353" width="3.88671875" style="515" customWidth="1"/>
    <col min="3354" max="3586" width="8.88671875" style="515"/>
    <col min="3587" max="3587" width="39.33203125" style="515" customWidth="1"/>
    <col min="3588" max="3588" width="20.5546875" style="515" customWidth="1"/>
    <col min="3589" max="3589" width="14" style="515" customWidth="1"/>
    <col min="3590" max="3590" width="12.109375" style="515" customWidth="1"/>
    <col min="3591" max="3593" width="11.5546875" style="515" customWidth="1"/>
    <col min="3594" max="3596" width="10.5546875" style="515" customWidth="1"/>
    <col min="3597" max="3599" width="11.5546875" style="515" customWidth="1"/>
    <col min="3600" max="3600" width="12.44140625" style="515" customWidth="1"/>
    <col min="3601" max="3602" width="11.5546875" style="515" customWidth="1"/>
    <col min="3603" max="3603" width="13.109375" style="515" customWidth="1"/>
    <col min="3604" max="3604" width="13.109375" style="515" bestFit="1" customWidth="1"/>
    <col min="3605" max="3605" width="13.109375" style="515" customWidth="1"/>
    <col min="3606" max="3606" width="13.109375" style="515" bestFit="1" customWidth="1"/>
    <col min="3607" max="3607" width="16.44140625" style="515" customWidth="1"/>
    <col min="3608" max="3608" width="19.33203125" style="515" customWidth="1"/>
    <col min="3609" max="3609" width="3.88671875" style="515" customWidth="1"/>
    <col min="3610" max="3842" width="8.88671875" style="515"/>
    <col min="3843" max="3843" width="39.33203125" style="515" customWidth="1"/>
    <col min="3844" max="3844" width="20.5546875" style="515" customWidth="1"/>
    <col min="3845" max="3845" width="14" style="515" customWidth="1"/>
    <col min="3846" max="3846" width="12.109375" style="515" customWidth="1"/>
    <col min="3847" max="3849" width="11.5546875" style="515" customWidth="1"/>
    <col min="3850" max="3852" width="10.5546875" style="515" customWidth="1"/>
    <col min="3853" max="3855" width="11.5546875" style="515" customWidth="1"/>
    <col min="3856" max="3856" width="12.44140625" style="515" customWidth="1"/>
    <col min="3857" max="3858" width="11.5546875" style="515" customWidth="1"/>
    <col min="3859" max="3859" width="13.109375" style="515" customWidth="1"/>
    <col min="3860" max="3860" width="13.109375" style="515" bestFit="1" customWidth="1"/>
    <col min="3861" max="3861" width="13.109375" style="515" customWidth="1"/>
    <col min="3862" max="3862" width="13.109375" style="515" bestFit="1" customWidth="1"/>
    <col min="3863" max="3863" width="16.44140625" style="515" customWidth="1"/>
    <col min="3864" max="3864" width="19.33203125" style="515" customWidth="1"/>
    <col min="3865" max="3865" width="3.88671875" style="515" customWidth="1"/>
    <col min="3866" max="4098" width="8.88671875" style="515"/>
    <col min="4099" max="4099" width="39.33203125" style="515" customWidth="1"/>
    <col min="4100" max="4100" width="20.5546875" style="515" customWidth="1"/>
    <col min="4101" max="4101" width="14" style="515" customWidth="1"/>
    <col min="4102" max="4102" width="12.109375" style="515" customWidth="1"/>
    <col min="4103" max="4105" width="11.5546875" style="515" customWidth="1"/>
    <col min="4106" max="4108" width="10.5546875" style="515" customWidth="1"/>
    <col min="4109" max="4111" width="11.5546875" style="515" customWidth="1"/>
    <col min="4112" max="4112" width="12.44140625" style="515" customWidth="1"/>
    <col min="4113" max="4114" width="11.5546875" style="515" customWidth="1"/>
    <col min="4115" max="4115" width="13.109375" style="515" customWidth="1"/>
    <col min="4116" max="4116" width="13.109375" style="515" bestFit="1" customWidth="1"/>
    <col min="4117" max="4117" width="13.109375" style="515" customWidth="1"/>
    <col min="4118" max="4118" width="13.109375" style="515" bestFit="1" customWidth="1"/>
    <col min="4119" max="4119" width="16.44140625" style="515" customWidth="1"/>
    <col min="4120" max="4120" width="19.33203125" style="515" customWidth="1"/>
    <col min="4121" max="4121" width="3.88671875" style="515" customWidth="1"/>
    <col min="4122" max="4354" width="8.88671875" style="515"/>
    <col min="4355" max="4355" width="39.33203125" style="515" customWidth="1"/>
    <col min="4356" max="4356" width="20.5546875" style="515" customWidth="1"/>
    <col min="4357" max="4357" width="14" style="515" customWidth="1"/>
    <col min="4358" max="4358" width="12.109375" style="515" customWidth="1"/>
    <col min="4359" max="4361" width="11.5546875" style="515" customWidth="1"/>
    <col min="4362" max="4364" width="10.5546875" style="515" customWidth="1"/>
    <col min="4365" max="4367" width="11.5546875" style="515" customWidth="1"/>
    <col min="4368" max="4368" width="12.44140625" style="515" customWidth="1"/>
    <col min="4369" max="4370" width="11.5546875" style="515" customWidth="1"/>
    <col min="4371" max="4371" width="13.109375" style="515" customWidth="1"/>
    <col min="4372" max="4372" width="13.109375" style="515" bestFit="1" customWidth="1"/>
    <col min="4373" max="4373" width="13.109375" style="515" customWidth="1"/>
    <col min="4374" max="4374" width="13.109375" style="515" bestFit="1" customWidth="1"/>
    <col min="4375" max="4375" width="16.44140625" style="515" customWidth="1"/>
    <col min="4376" max="4376" width="19.33203125" style="515" customWidth="1"/>
    <col min="4377" max="4377" width="3.88671875" style="515" customWidth="1"/>
    <col min="4378" max="4610" width="8.88671875" style="515"/>
    <col min="4611" max="4611" width="39.33203125" style="515" customWidth="1"/>
    <col min="4612" max="4612" width="20.5546875" style="515" customWidth="1"/>
    <col min="4613" max="4613" width="14" style="515" customWidth="1"/>
    <col min="4614" max="4614" width="12.109375" style="515" customWidth="1"/>
    <col min="4615" max="4617" width="11.5546875" style="515" customWidth="1"/>
    <col min="4618" max="4620" width="10.5546875" style="515" customWidth="1"/>
    <col min="4621" max="4623" width="11.5546875" style="515" customWidth="1"/>
    <col min="4624" max="4624" width="12.44140625" style="515" customWidth="1"/>
    <col min="4625" max="4626" width="11.5546875" style="515" customWidth="1"/>
    <col min="4627" max="4627" width="13.109375" style="515" customWidth="1"/>
    <col min="4628" max="4628" width="13.109375" style="515" bestFit="1" customWidth="1"/>
    <col min="4629" max="4629" width="13.109375" style="515" customWidth="1"/>
    <col min="4630" max="4630" width="13.109375" style="515" bestFit="1" customWidth="1"/>
    <col min="4631" max="4631" width="16.44140625" style="515" customWidth="1"/>
    <col min="4632" max="4632" width="19.33203125" style="515" customWidth="1"/>
    <col min="4633" max="4633" width="3.88671875" style="515" customWidth="1"/>
    <col min="4634" max="4866" width="8.88671875" style="515"/>
    <col min="4867" max="4867" width="39.33203125" style="515" customWidth="1"/>
    <col min="4868" max="4868" width="20.5546875" style="515" customWidth="1"/>
    <col min="4869" max="4869" width="14" style="515" customWidth="1"/>
    <col min="4870" max="4870" width="12.109375" style="515" customWidth="1"/>
    <col min="4871" max="4873" width="11.5546875" style="515" customWidth="1"/>
    <col min="4874" max="4876" width="10.5546875" style="515" customWidth="1"/>
    <col min="4877" max="4879" width="11.5546875" style="515" customWidth="1"/>
    <col min="4880" max="4880" width="12.44140625" style="515" customWidth="1"/>
    <col min="4881" max="4882" width="11.5546875" style="515" customWidth="1"/>
    <col min="4883" max="4883" width="13.109375" style="515" customWidth="1"/>
    <col min="4884" max="4884" width="13.109375" style="515" bestFit="1" customWidth="1"/>
    <col min="4885" max="4885" width="13.109375" style="515" customWidth="1"/>
    <col min="4886" max="4886" width="13.109375" style="515" bestFit="1" customWidth="1"/>
    <col min="4887" max="4887" width="16.44140625" style="515" customWidth="1"/>
    <col min="4888" max="4888" width="19.33203125" style="515" customWidth="1"/>
    <col min="4889" max="4889" width="3.88671875" style="515" customWidth="1"/>
    <col min="4890" max="5122" width="8.88671875" style="515"/>
    <col min="5123" max="5123" width="39.33203125" style="515" customWidth="1"/>
    <col min="5124" max="5124" width="20.5546875" style="515" customWidth="1"/>
    <col min="5125" max="5125" width="14" style="515" customWidth="1"/>
    <col min="5126" max="5126" width="12.109375" style="515" customWidth="1"/>
    <col min="5127" max="5129" width="11.5546875" style="515" customWidth="1"/>
    <col min="5130" max="5132" width="10.5546875" style="515" customWidth="1"/>
    <col min="5133" max="5135" width="11.5546875" style="515" customWidth="1"/>
    <col min="5136" max="5136" width="12.44140625" style="515" customWidth="1"/>
    <col min="5137" max="5138" width="11.5546875" style="515" customWidth="1"/>
    <col min="5139" max="5139" width="13.109375" style="515" customWidth="1"/>
    <col min="5140" max="5140" width="13.109375" style="515" bestFit="1" customWidth="1"/>
    <col min="5141" max="5141" width="13.109375" style="515" customWidth="1"/>
    <col min="5142" max="5142" width="13.109375" style="515" bestFit="1" customWidth="1"/>
    <col min="5143" max="5143" width="16.44140625" style="515" customWidth="1"/>
    <col min="5144" max="5144" width="19.33203125" style="515" customWidth="1"/>
    <col min="5145" max="5145" width="3.88671875" style="515" customWidth="1"/>
    <col min="5146" max="5378" width="8.88671875" style="515"/>
    <col min="5379" max="5379" width="39.33203125" style="515" customWidth="1"/>
    <col min="5380" max="5380" width="20.5546875" style="515" customWidth="1"/>
    <col min="5381" max="5381" width="14" style="515" customWidth="1"/>
    <col min="5382" max="5382" width="12.109375" style="515" customWidth="1"/>
    <col min="5383" max="5385" width="11.5546875" style="515" customWidth="1"/>
    <col min="5386" max="5388" width="10.5546875" style="515" customWidth="1"/>
    <col min="5389" max="5391" width="11.5546875" style="515" customWidth="1"/>
    <col min="5392" max="5392" width="12.44140625" style="515" customWidth="1"/>
    <col min="5393" max="5394" width="11.5546875" style="515" customWidth="1"/>
    <col min="5395" max="5395" width="13.109375" style="515" customWidth="1"/>
    <col min="5396" max="5396" width="13.109375" style="515" bestFit="1" customWidth="1"/>
    <col min="5397" max="5397" width="13.109375" style="515" customWidth="1"/>
    <col min="5398" max="5398" width="13.109375" style="515" bestFit="1" customWidth="1"/>
    <col min="5399" max="5399" width="16.44140625" style="515" customWidth="1"/>
    <col min="5400" max="5400" width="19.33203125" style="515" customWidth="1"/>
    <col min="5401" max="5401" width="3.88671875" style="515" customWidth="1"/>
    <col min="5402" max="5634" width="8.88671875" style="515"/>
    <col min="5635" max="5635" width="39.33203125" style="515" customWidth="1"/>
    <col min="5636" max="5636" width="20.5546875" style="515" customWidth="1"/>
    <col min="5637" max="5637" width="14" style="515" customWidth="1"/>
    <col min="5638" max="5638" width="12.109375" style="515" customWidth="1"/>
    <col min="5639" max="5641" width="11.5546875" style="515" customWidth="1"/>
    <col min="5642" max="5644" width="10.5546875" style="515" customWidth="1"/>
    <col min="5645" max="5647" width="11.5546875" style="515" customWidth="1"/>
    <col min="5648" max="5648" width="12.44140625" style="515" customWidth="1"/>
    <col min="5649" max="5650" width="11.5546875" style="515" customWidth="1"/>
    <col min="5651" max="5651" width="13.109375" style="515" customWidth="1"/>
    <col min="5652" max="5652" width="13.109375" style="515" bestFit="1" customWidth="1"/>
    <col min="5653" max="5653" width="13.109375" style="515" customWidth="1"/>
    <col min="5654" max="5654" width="13.109375" style="515" bestFit="1" customWidth="1"/>
    <col min="5655" max="5655" width="16.44140625" style="515" customWidth="1"/>
    <col min="5656" max="5656" width="19.33203125" style="515" customWidth="1"/>
    <col min="5657" max="5657" width="3.88671875" style="515" customWidth="1"/>
    <col min="5658" max="5890" width="8.88671875" style="515"/>
    <col min="5891" max="5891" width="39.33203125" style="515" customWidth="1"/>
    <col min="5892" max="5892" width="20.5546875" style="515" customWidth="1"/>
    <col min="5893" max="5893" width="14" style="515" customWidth="1"/>
    <col min="5894" max="5894" width="12.109375" style="515" customWidth="1"/>
    <col min="5895" max="5897" width="11.5546875" style="515" customWidth="1"/>
    <col min="5898" max="5900" width="10.5546875" style="515" customWidth="1"/>
    <col min="5901" max="5903" width="11.5546875" style="515" customWidth="1"/>
    <col min="5904" max="5904" width="12.44140625" style="515" customWidth="1"/>
    <col min="5905" max="5906" width="11.5546875" style="515" customWidth="1"/>
    <col min="5907" max="5907" width="13.109375" style="515" customWidth="1"/>
    <col min="5908" max="5908" width="13.109375" style="515" bestFit="1" customWidth="1"/>
    <col min="5909" max="5909" width="13.109375" style="515" customWidth="1"/>
    <col min="5910" max="5910" width="13.109375" style="515" bestFit="1" customWidth="1"/>
    <col min="5911" max="5911" width="16.44140625" style="515" customWidth="1"/>
    <col min="5912" max="5912" width="19.33203125" style="515" customWidth="1"/>
    <col min="5913" max="5913" width="3.88671875" style="515" customWidth="1"/>
    <col min="5914" max="6146" width="8.88671875" style="515"/>
    <col min="6147" max="6147" width="39.33203125" style="515" customWidth="1"/>
    <col min="6148" max="6148" width="20.5546875" style="515" customWidth="1"/>
    <col min="6149" max="6149" width="14" style="515" customWidth="1"/>
    <col min="6150" max="6150" width="12.109375" style="515" customWidth="1"/>
    <col min="6151" max="6153" width="11.5546875" style="515" customWidth="1"/>
    <col min="6154" max="6156" width="10.5546875" style="515" customWidth="1"/>
    <col min="6157" max="6159" width="11.5546875" style="515" customWidth="1"/>
    <col min="6160" max="6160" width="12.44140625" style="515" customWidth="1"/>
    <col min="6161" max="6162" width="11.5546875" style="515" customWidth="1"/>
    <col min="6163" max="6163" width="13.109375" style="515" customWidth="1"/>
    <col min="6164" max="6164" width="13.109375" style="515" bestFit="1" customWidth="1"/>
    <col min="6165" max="6165" width="13.109375" style="515" customWidth="1"/>
    <col min="6166" max="6166" width="13.109375" style="515" bestFit="1" customWidth="1"/>
    <col min="6167" max="6167" width="16.44140625" style="515" customWidth="1"/>
    <col min="6168" max="6168" width="19.33203125" style="515" customWidth="1"/>
    <col min="6169" max="6169" width="3.88671875" style="515" customWidth="1"/>
    <col min="6170" max="6402" width="8.88671875" style="515"/>
    <col min="6403" max="6403" width="39.33203125" style="515" customWidth="1"/>
    <col min="6404" max="6404" width="20.5546875" style="515" customWidth="1"/>
    <col min="6405" max="6405" width="14" style="515" customWidth="1"/>
    <col min="6406" max="6406" width="12.109375" style="515" customWidth="1"/>
    <col min="6407" max="6409" width="11.5546875" style="515" customWidth="1"/>
    <col min="6410" max="6412" width="10.5546875" style="515" customWidth="1"/>
    <col min="6413" max="6415" width="11.5546875" style="515" customWidth="1"/>
    <col min="6416" max="6416" width="12.44140625" style="515" customWidth="1"/>
    <col min="6417" max="6418" width="11.5546875" style="515" customWidth="1"/>
    <col min="6419" max="6419" width="13.109375" style="515" customWidth="1"/>
    <col min="6420" max="6420" width="13.109375" style="515" bestFit="1" customWidth="1"/>
    <col min="6421" max="6421" width="13.109375" style="515" customWidth="1"/>
    <col min="6422" max="6422" width="13.109375" style="515" bestFit="1" customWidth="1"/>
    <col min="6423" max="6423" width="16.44140625" style="515" customWidth="1"/>
    <col min="6424" max="6424" width="19.33203125" style="515" customWidth="1"/>
    <col min="6425" max="6425" width="3.88671875" style="515" customWidth="1"/>
    <col min="6426" max="6658" width="8.88671875" style="515"/>
    <col min="6659" max="6659" width="39.33203125" style="515" customWidth="1"/>
    <col min="6660" max="6660" width="20.5546875" style="515" customWidth="1"/>
    <col min="6661" max="6661" width="14" style="515" customWidth="1"/>
    <col min="6662" max="6662" width="12.109375" style="515" customWidth="1"/>
    <col min="6663" max="6665" width="11.5546875" style="515" customWidth="1"/>
    <col min="6666" max="6668" width="10.5546875" style="515" customWidth="1"/>
    <col min="6669" max="6671" width="11.5546875" style="515" customWidth="1"/>
    <col min="6672" max="6672" width="12.44140625" style="515" customWidth="1"/>
    <col min="6673" max="6674" width="11.5546875" style="515" customWidth="1"/>
    <col min="6675" max="6675" width="13.109375" style="515" customWidth="1"/>
    <col min="6676" max="6676" width="13.109375" style="515" bestFit="1" customWidth="1"/>
    <col min="6677" max="6677" width="13.109375" style="515" customWidth="1"/>
    <col min="6678" max="6678" width="13.109375" style="515" bestFit="1" customWidth="1"/>
    <col min="6679" max="6679" width="16.44140625" style="515" customWidth="1"/>
    <col min="6680" max="6680" width="19.33203125" style="515" customWidth="1"/>
    <col min="6681" max="6681" width="3.88671875" style="515" customWidth="1"/>
    <col min="6682" max="6914" width="8.88671875" style="515"/>
    <col min="6915" max="6915" width="39.33203125" style="515" customWidth="1"/>
    <col min="6916" max="6916" width="20.5546875" style="515" customWidth="1"/>
    <col min="6917" max="6917" width="14" style="515" customWidth="1"/>
    <col min="6918" max="6918" width="12.109375" style="515" customWidth="1"/>
    <col min="6919" max="6921" width="11.5546875" style="515" customWidth="1"/>
    <col min="6922" max="6924" width="10.5546875" style="515" customWidth="1"/>
    <col min="6925" max="6927" width="11.5546875" style="515" customWidth="1"/>
    <col min="6928" max="6928" width="12.44140625" style="515" customWidth="1"/>
    <col min="6929" max="6930" width="11.5546875" style="515" customWidth="1"/>
    <col min="6931" max="6931" width="13.109375" style="515" customWidth="1"/>
    <col min="6932" max="6932" width="13.109375" style="515" bestFit="1" customWidth="1"/>
    <col min="6933" max="6933" width="13.109375" style="515" customWidth="1"/>
    <col min="6934" max="6934" width="13.109375" style="515" bestFit="1" customWidth="1"/>
    <col min="6935" max="6935" width="16.44140625" style="515" customWidth="1"/>
    <col min="6936" max="6936" width="19.33203125" style="515" customWidth="1"/>
    <col min="6937" max="6937" width="3.88671875" style="515" customWidth="1"/>
    <col min="6938" max="7170" width="8.88671875" style="515"/>
    <col min="7171" max="7171" width="39.33203125" style="515" customWidth="1"/>
    <col min="7172" max="7172" width="20.5546875" style="515" customWidth="1"/>
    <col min="7173" max="7173" width="14" style="515" customWidth="1"/>
    <col min="7174" max="7174" width="12.109375" style="515" customWidth="1"/>
    <col min="7175" max="7177" width="11.5546875" style="515" customWidth="1"/>
    <col min="7178" max="7180" width="10.5546875" style="515" customWidth="1"/>
    <col min="7181" max="7183" width="11.5546875" style="515" customWidth="1"/>
    <col min="7184" max="7184" width="12.44140625" style="515" customWidth="1"/>
    <col min="7185" max="7186" width="11.5546875" style="515" customWidth="1"/>
    <col min="7187" max="7187" width="13.109375" style="515" customWidth="1"/>
    <col min="7188" max="7188" width="13.109375" style="515" bestFit="1" customWidth="1"/>
    <col min="7189" max="7189" width="13.109375" style="515" customWidth="1"/>
    <col min="7190" max="7190" width="13.109375" style="515" bestFit="1" customWidth="1"/>
    <col min="7191" max="7191" width="16.44140625" style="515" customWidth="1"/>
    <col min="7192" max="7192" width="19.33203125" style="515" customWidth="1"/>
    <col min="7193" max="7193" width="3.88671875" style="515" customWidth="1"/>
    <col min="7194" max="7426" width="8.88671875" style="515"/>
    <col min="7427" max="7427" width="39.33203125" style="515" customWidth="1"/>
    <col min="7428" max="7428" width="20.5546875" style="515" customWidth="1"/>
    <col min="7429" max="7429" width="14" style="515" customWidth="1"/>
    <col min="7430" max="7430" width="12.109375" style="515" customWidth="1"/>
    <col min="7431" max="7433" width="11.5546875" style="515" customWidth="1"/>
    <col min="7434" max="7436" width="10.5546875" style="515" customWidth="1"/>
    <col min="7437" max="7439" width="11.5546875" style="515" customWidth="1"/>
    <col min="7440" max="7440" width="12.44140625" style="515" customWidth="1"/>
    <col min="7441" max="7442" width="11.5546875" style="515" customWidth="1"/>
    <col min="7443" max="7443" width="13.109375" style="515" customWidth="1"/>
    <col min="7444" max="7444" width="13.109375" style="515" bestFit="1" customWidth="1"/>
    <col min="7445" max="7445" width="13.109375" style="515" customWidth="1"/>
    <col min="7446" max="7446" width="13.109375" style="515" bestFit="1" customWidth="1"/>
    <col min="7447" max="7447" width="16.44140625" style="515" customWidth="1"/>
    <col min="7448" max="7448" width="19.33203125" style="515" customWidth="1"/>
    <col min="7449" max="7449" width="3.88671875" style="515" customWidth="1"/>
    <col min="7450" max="7682" width="8.88671875" style="515"/>
    <col min="7683" max="7683" width="39.33203125" style="515" customWidth="1"/>
    <col min="7684" max="7684" width="20.5546875" style="515" customWidth="1"/>
    <col min="7685" max="7685" width="14" style="515" customWidth="1"/>
    <col min="7686" max="7686" width="12.109375" style="515" customWidth="1"/>
    <col min="7687" max="7689" width="11.5546875" style="515" customWidth="1"/>
    <col min="7690" max="7692" width="10.5546875" style="515" customWidth="1"/>
    <col min="7693" max="7695" width="11.5546875" style="515" customWidth="1"/>
    <col min="7696" max="7696" width="12.44140625" style="515" customWidth="1"/>
    <col min="7697" max="7698" width="11.5546875" style="515" customWidth="1"/>
    <col min="7699" max="7699" width="13.109375" style="515" customWidth="1"/>
    <col min="7700" max="7700" width="13.109375" style="515" bestFit="1" customWidth="1"/>
    <col min="7701" max="7701" width="13.109375" style="515" customWidth="1"/>
    <col min="7702" max="7702" width="13.109375" style="515" bestFit="1" customWidth="1"/>
    <col min="7703" max="7703" width="16.44140625" style="515" customWidth="1"/>
    <col min="7704" max="7704" width="19.33203125" style="515" customWidth="1"/>
    <col min="7705" max="7705" width="3.88671875" style="515" customWidth="1"/>
    <col min="7706" max="7938" width="8.88671875" style="515"/>
    <col min="7939" max="7939" width="39.33203125" style="515" customWidth="1"/>
    <col min="7940" max="7940" width="20.5546875" style="515" customWidth="1"/>
    <col min="7941" max="7941" width="14" style="515" customWidth="1"/>
    <col min="7942" max="7942" width="12.109375" style="515" customWidth="1"/>
    <col min="7943" max="7945" width="11.5546875" style="515" customWidth="1"/>
    <col min="7946" max="7948" width="10.5546875" style="515" customWidth="1"/>
    <col min="7949" max="7951" width="11.5546875" style="515" customWidth="1"/>
    <col min="7952" max="7952" width="12.44140625" style="515" customWidth="1"/>
    <col min="7953" max="7954" width="11.5546875" style="515" customWidth="1"/>
    <col min="7955" max="7955" width="13.109375" style="515" customWidth="1"/>
    <col min="7956" max="7956" width="13.109375" style="515" bestFit="1" customWidth="1"/>
    <col min="7957" max="7957" width="13.109375" style="515" customWidth="1"/>
    <col min="7958" max="7958" width="13.109375" style="515" bestFit="1" customWidth="1"/>
    <col min="7959" max="7959" width="16.44140625" style="515" customWidth="1"/>
    <col min="7960" max="7960" width="19.33203125" style="515" customWidth="1"/>
    <col min="7961" max="7961" width="3.88671875" style="515" customWidth="1"/>
    <col min="7962" max="8194" width="8.88671875" style="515"/>
    <col min="8195" max="8195" width="39.33203125" style="515" customWidth="1"/>
    <col min="8196" max="8196" width="20.5546875" style="515" customWidth="1"/>
    <col min="8197" max="8197" width="14" style="515" customWidth="1"/>
    <col min="8198" max="8198" width="12.109375" style="515" customWidth="1"/>
    <col min="8199" max="8201" width="11.5546875" style="515" customWidth="1"/>
    <col min="8202" max="8204" width="10.5546875" style="515" customWidth="1"/>
    <col min="8205" max="8207" width="11.5546875" style="515" customWidth="1"/>
    <col min="8208" max="8208" width="12.44140625" style="515" customWidth="1"/>
    <col min="8209" max="8210" width="11.5546875" style="515" customWidth="1"/>
    <col min="8211" max="8211" width="13.109375" style="515" customWidth="1"/>
    <col min="8212" max="8212" width="13.109375" style="515" bestFit="1" customWidth="1"/>
    <col min="8213" max="8213" width="13.109375" style="515" customWidth="1"/>
    <col min="8214" max="8214" width="13.109375" style="515" bestFit="1" customWidth="1"/>
    <col min="8215" max="8215" width="16.44140625" style="515" customWidth="1"/>
    <col min="8216" max="8216" width="19.33203125" style="515" customWidth="1"/>
    <col min="8217" max="8217" width="3.88671875" style="515" customWidth="1"/>
    <col min="8218" max="8450" width="8.88671875" style="515"/>
    <col min="8451" max="8451" width="39.33203125" style="515" customWidth="1"/>
    <col min="8452" max="8452" width="20.5546875" style="515" customWidth="1"/>
    <col min="8453" max="8453" width="14" style="515" customWidth="1"/>
    <col min="8454" max="8454" width="12.109375" style="515" customWidth="1"/>
    <col min="8455" max="8457" width="11.5546875" style="515" customWidth="1"/>
    <col min="8458" max="8460" width="10.5546875" style="515" customWidth="1"/>
    <col min="8461" max="8463" width="11.5546875" style="515" customWidth="1"/>
    <col min="8464" max="8464" width="12.44140625" style="515" customWidth="1"/>
    <col min="8465" max="8466" width="11.5546875" style="515" customWidth="1"/>
    <col min="8467" max="8467" width="13.109375" style="515" customWidth="1"/>
    <col min="8468" max="8468" width="13.109375" style="515" bestFit="1" customWidth="1"/>
    <col min="8469" max="8469" width="13.109375" style="515" customWidth="1"/>
    <col min="8470" max="8470" width="13.109375" style="515" bestFit="1" customWidth="1"/>
    <col min="8471" max="8471" width="16.44140625" style="515" customWidth="1"/>
    <col min="8472" max="8472" width="19.33203125" style="515" customWidth="1"/>
    <col min="8473" max="8473" width="3.88671875" style="515" customWidth="1"/>
    <col min="8474" max="8706" width="8.88671875" style="515"/>
    <col min="8707" max="8707" width="39.33203125" style="515" customWidth="1"/>
    <col min="8708" max="8708" width="20.5546875" style="515" customWidth="1"/>
    <col min="8709" max="8709" width="14" style="515" customWidth="1"/>
    <col min="8710" max="8710" width="12.109375" style="515" customWidth="1"/>
    <col min="8711" max="8713" width="11.5546875" style="515" customWidth="1"/>
    <col min="8714" max="8716" width="10.5546875" style="515" customWidth="1"/>
    <col min="8717" max="8719" width="11.5546875" style="515" customWidth="1"/>
    <col min="8720" max="8720" width="12.44140625" style="515" customWidth="1"/>
    <col min="8721" max="8722" width="11.5546875" style="515" customWidth="1"/>
    <col min="8723" max="8723" width="13.109375" style="515" customWidth="1"/>
    <col min="8724" max="8724" width="13.109375" style="515" bestFit="1" customWidth="1"/>
    <col min="8725" max="8725" width="13.109375" style="515" customWidth="1"/>
    <col min="8726" max="8726" width="13.109375" style="515" bestFit="1" customWidth="1"/>
    <col min="8727" max="8727" width="16.44140625" style="515" customWidth="1"/>
    <col min="8728" max="8728" width="19.33203125" style="515" customWidth="1"/>
    <col min="8729" max="8729" width="3.88671875" style="515" customWidth="1"/>
    <col min="8730" max="8962" width="8.88671875" style="515"/>
    <col min="8963" max="8963" width="39.33203125" style="515" customWidth="1"/>
    <col min="8964" max="8964" width="20.5546875" style="515" customWidth="1"/>
    <col min="8965" max="8965" width="14" style="515" customWidth="1"/>
    <col min="8966" max="8966" width="12.109375" style="515" customWidth="1"/>
    <col min="8967" max="8969" width="11.5546875" style="515" customWidth="1"/>
    <col min="8970" max="8972" width="10.5546875" style="515" customWidth="1"/>
    <col min="8973" max="8975" width="11.5546875" style="515" customWidth="1"/>
    <col min="8976" max="8976" width="12.44140625" style="515" customWidth="1"/>
    <col min="8977" max="8978" width="11.5546875" style="515" customWidth="1"/>
    <col min="8979" max="8979" width="13.109375" style="515" customWidth="1"/>
    <col min="8980" max="8980" width="13.109375" style="515" bestFit="1" customWidth="1"/>
    <col min="8981" max="8981" width="13.109375" style="515" customWidth="1"/>
    <col min="8982" max="8982" width="13.109375" style="515" bestFit="1" customWidth="1"/>
    <col min="8983" max="8983" width="16.44140625" style="515" customWidth="1"/>
    <col min="8984" max="8984" width="19.33203125" style="515" customWidth="1"/>
    <col min="8985" max="8985" width="3.88671875" style="515" customWidth="1"/>
    <col min="8986" max="9218" width="8.88671875" style="515"/>
    <col min="9219" max="9219" width="39.33203125" style="515" customWidth="1"/>
    <col min="9220" max="9220" width="20.5546875" style="515" customWidth="1"/>
    <col min="9221" max="9221" width="14" style="515" customWidth="1"/>
    <col min="9222" max="9222" width="12.109375" style="515" customWidth="1"/>
    <col min="9223" max="9225" width="11.5546875" style="515" customWidth="1"/>
    <col min="9226" max="9228" width="10.5546875" style="515" customWidth="1"/>
    <col min="9229" max="9231" width="11.5546875" style="515" customWidth="1"/>
    <col min="9232" max="9232" width="12.44140625" style="515" customWidth="1"/>
    <col min="9233" max="9234" width="11.5546875" style="515" customWidth="1"/>
    <col min="9235" max="9235" width="13.109375" style="515" customWidth="1"/>
    <col min="9236" max="9236" width="13.109375" style="515" bestFit="1" customWidth="1"/>
    <col min="9237" max="9237" width="13.109375" style="515" customWidth="1"/>
    <col min="9238" max="9238" width="13.109375" style="515" bestFit="1" customWidth="1"/>
    <col min="9239" max="9239" width="16.44140625" style="515" customWidth="1"/>
    <col min="9240" max="9240" width="19.33203125" style="515" customWidth="1"/>
    <col min="9241" max="9241" width="3.88671875" style="515" customWidth="1"/>
    <col min="9242" max="9474" width="8.88671875" style="515"/>
    <col min="9475" max="9475" width="39.33203125" style="515" customWidth="1"/>
    <col min="9476" max="9476" width="20.5546875" style="515" customWidth="1"/>
    <col min="9477" max="9477" width="14" style="515" customWidth="1"/>
    <col min="9478" max="9478" width="12.109375" style="515" customWidth="1"/>
    <col min="9479" max="9481" width="11.5546875" style="515" customWidth="1"/>
    <col min="9482" max="9484" width="10.5546875" style="515" customWidth="1"/>
    <col min="9485" max="9487" width="11.5546875" style="515" customWidth="1"/>
    <col min="9488" max="9488" width="12.44140625" style="515" customWidth="1"/>
    <col min="9489" max="9490" width="11.5546875" style="515" customWidth="1"/>
    <col min="9491" max="9491" width="13.109375" style="515" customWidth="1"/>
    <col min="9492" max="9492" width="13.109375" style="515" bestFit="1" customWidth="1"/>
    <col min="9493" max="9493" width="13.109375" style="515" customWidth="1"/>
    <col min="9494" max="9494" width="13.109375" style="515" bestFit="1" customWidth="1"/>
    <col min="9495" max="9495" width="16.44140625" style="515" customWidth="1"/>
    <col min="9496" max="9496" width="19.33203125" style="515" customWidth="1"/>
    <col min="9497" max="9497" width="3.88671875" style="515" customWidth="1"/>
    <col min="9498" max="9730" width="8.88671875" style="515"/>
    <col min="9731" max="9731" width="39.33203125" style="515" customWidth="1"/>
    <col min="9732" max="9732" width="20.5546875" style="515" customWidth="1"/>
    <col min="9733" max="9733" width="14" style="515" customWidth="1"/>
    <col min="9734" max="9734" width="12.109375" style="515" customWidth="1"/>
    <col min="9735" max="9737" width="11.5546875" style="515" customWidth="1"/>
    <col min="9738" max="9740" width="10.5546875" style="515" customWidth="1"/>
    <col min="9741" max="9743" width="11.5546875" style="515" customWidth="1"/>
    <col min="9744" max="9744" width="12.44140625" style="515" customWidth="1"/>
    <col min="9745" max="9746" width="11.5546875" style="515" customWidth="1"/>
    <col min="9747" max="9747" width="13.109375" style="515" customWidth="1"/>
    <col min="9748" max="9748" width="13.109375" style="515" bestFit="1" customWidth="1"/>
    <col min="9749" max="9749" width="13.109375" style="515" customWidth="1"/>
    <col min="9750" max="9750" width="13.109375" style="515" bestFit="1" customWidth="1"/>
    <col min="9751" max="9751" width="16.44140625" style="515" customWidth="1"/>
    <col min="9752" max="9752" width="19.33203125" style="515" customWidth="1"/>
    <col min="9753" max="9753" width="3.88671875" style="515" customWidth="1"/>
    <col min="9754" max="9986" width="8.88671875" style="515"/>
    <col min="9987" max="9987" width="39.33203125" style="515" customWidth="1"/>
    <col min="9988" max="9988" width="20.5546875" style="515" customWidth="1"/>
    <col min="9989" max="9989" width="14" style="515" customWidth="1"/>
    <col min="9990" max="9990" width="12.109375" style="515" customWidth="1"/>
    <col min="9991" max="9993" width="11.5546875" style="515" customWidth="1"/>
    <col min="9994" max="9996" width="10.5546875" style="515" customWidth="1"/>
    <col min="9997" max="9999" width="11.5546875" style="515" customWidth="1"/>
    <col min="10000" max="10000" width="12.44140625" style="515" customWidth="1"/>
    <col min="10001" max="10002" width="11.5546875" style="515" customWidth="1"/>
    <col min="10003" max="10003" width="13.109375" style="515" customWidth="1"/>
    <col min="10004" max="10004" width="13.109375" style="515" bestFit="1" customWidth="1"/>
    <col min="10005" max="10005" width="13.109375" style="515" customWidth="1"/>
    <col min="10006" max="10006" width="13.109375" style="515" bestFit="1" customWidth="1"/>
    <col min="10007" max="10007" width="16.44140625" style="515" customWidth="1"/>
    <col min="10008" max="10008" width="19.33203125" style="515" customWidth="1"/>
    <col min="10009" max="10009" width="3.88671875" style="515" customWidth="1"/>
    <col min="10010" max="10242" width="8.88671875" style="515"/>
    <col min="10243" max="10243" width="39.33203125" style="515" customWidth="1"/>
    <col min="10244" max="10244" width="20.5546875" style="515" customWidth="1"/>
    <col min="10245" max="10245" width="14" style="515" customWidth="1"/>
    <col min="10246" max="10246" width="12.109375" style="515" customWidth="1"/>
    <col min="10247" max="10249" width="11.5546875" style="515" customWidth="1"/>
    <col min="10250" max="10252" width="10.5546875" style="515" customWidth="1"/>
    <col min="10253" max="10255" width="11.5546875" style="515" customWidth="1"/>
    <col min="10256" max="10256" width="12.44140625" style="515" customWidth="1"/>
    <col min="10257" max="10258" width="11.5546875" style="515" customWidth="1"/>
    <col min="10259" max="10259" width="13.109375" style="515" customWidth="1"/>
    <col min="10260" max="10260" width="13.109375" style="515" bestFit="1" customWidth="1"/>
    <col min="10261" max="10261" width="13.109375" style="515" customWidth="1"/>
    <col min="10262" max="10262" width="13.109375" style="515" bestFit="1" customWidth="1"/>
    <col min="10263" max="10263" width="16.44140625" style="515" customWidth="1"/>
    <col min="10264" max="10264" width="19.33203125" style="515" customWidth="1"/>
    <col min="10265" max="10265" width="3.88671875" style="515" customWidth="1"/>
    <col min="10266" max="10498" width="8.88671875" style="515"/>
    <col min="10499" max="10499" width="39.33203125" style="515" customWidth="1"/>
    <col min="10500" max="10500" width="20.5546875" style="515" customWidth="1"/>
    <col min="10501" max="10501" width="14" style="515" customWidth="1"/>
    <col min="10502" max="10502" width="12.109375" style="515" customWidth="1"/>
    <col min="10503" max="10505" width="11.5546875" style="515" customWidth="1"/>
    <col min="10506" max="10508" width="10.5546875" style="515" customWidth="1"/>
    <col min="10509" max="10511" width="11.5546875" style="515" customWidth="1"/>
    <col min="10512" max="10512" width="12.44140625" style="515" customWidth="1"/>
    <col min="10513" max="10514" width="11.5546875" style="515" customWidth="1"/>
    <col min="10515" max="10515" width="13.109375" style="515" customWidth="1"/>
    <col min="10516" max="10516" width="13.109375" style="515" bestFit="1" customWidth="1"/>
    <col min="10517" max="10517" width="13.109375" style="515" customWidth="1"/>
    <col min="10518" max="10518" width="13.109375" style="515" bestFit="1" customWidth="1"/>
    <col min="10519" max="10519" width="16.44140625" style="515" customWidth="1"/>
    <col min="10520" max="10520" width="19.33203125" style="515" customWidth="1"/>
    <col min="10521" max="10521" width="3.88671875" style="515" customWidth="1"/>
    <col min="10522" max="10754" width="8.88671875" style="515"/>
    <col min="10755" max="10755" width="39.33203125" style="515" customWidth="1"/>
    <col min="10756" max="10756" width="20.5546875" style="515" customWidth="1"/>
    <col min="10757" max="10757" width="14" style="515" customWidth="1"/>
    <col min="10758" max="10758" width="12.109375" style="515" customWidth="1"/>
    <col min="10759" max="10761" width="11.5546875" style="515" customWidth="1"/>
    <col min="10762" max="10764" width="10.5546875" style="515" customWidth="1"/>
    <col min="10765" max="10767" width="11.5546875" style="515" customWidth="1"/>
    <col min="10768" max="10768" width="12.44140625" style="515" customWidth="1"/>
    <col min="10769" max="10770" width="11.5546875" style="515" customWidth="1"/>
    <col min="10771" max="10771" width="13.109375" style="515" customWidth="1"/>
    <col min="10772" max="10772" width="13.109375" style="515" bestFit="1" customWidth="1"/>
    <col min="10773" max="10773" width="13.109375" style="515" customWidth="1"/>
    <col min="10774" max="10774" width="13.109375" style="515" bestFit="1" customWidth="1"/>
    <col min="10775" max="10775" width="16.44140625" style="515" customWidth="1"/>
    <col min="10776" max="10776" width="19.33203125" style="515" customWidth="1"/>
    <col min="10777" max="10777" width="3.88671875" style="515" customWidth="1"/>
    <col min="10778" max="11010" width="8.88671875" style="515"/>
    <col min="11011" max="11011" width="39.33203125" style="515" customWidth="1"/>
    <col min="11012" max="11012" width="20.5546875" style="515" customWidth="1"/>
    <col min="11013" max="11013" width="14" style="515" customWidth="1"/>
    <col min="11014" max="11014" width="12.109375" style="515" customWidth="1"/>
    <col min="11015" max="11017" width="11.5546875" style="515" customWidth="1"/>
    <col min="11018" max="11020" width="10.5546875" style="515" customWidth="1"/>
    <col min="11021" max="11023" width="11.5546875" style="515" customWidth="1"/>
    <col min="11024" max="11024" width="12.44140625" style="515" customWidth="1"/>
    <col min="11025" max="11026" width="11.5546875" style="515" customWidth="1"/>
    <col min="11027" max="11027" width="13.109375" style="515" customWidth="1"/>
    <col min="11028" max="11028" width="13.109375" style="515" bestFit="1" customWidth="1"/>
    <col min="11029" max="11029" width="13.109375" style="515" customWidth="1"/>
    <col min="11030" max="11030" width="13.109375" style="515" bestFit="1" customWidth="1"/>
    <col min="11031" max="11031" width="16.44140625" style="515" customWidth="1"/>
    <col min="11032" max="11032" width="19.33203125" style="515" customWidth="1"/>
    <col min="11033" max="11033" width="3.88671875" style="515" customWidth="1"/>
    <col min="11034" max="11266" width="8.88671875" style="515"/>
    <col min="11267" max="11267" width="39.33203125" style="515" customWidth="1"/>
    <col min="11268" max="11268" width="20.5546875" style="515" customWidth="1"/>
    <col min="11269" max="11269" width="14" style="515" customWidth="1"/>
    <col min="11270" max="11270" width="12.109375" style="515" customWidth="1"/>
    <col min="11271" max="11273" width="11.5546875" style="515" customWidth="1"/>
    <col min="11274" max="11276" width="10.5546875" style="515" customWidth="1"/>
    <col min="11277" max="11279" width="11.5546875" style="515" customWidth="1"/>
    <col min="11280" max="11280" width="12.44140625" style="515" customWidth="1"/>
    <col min="11281" max="11282" width="11.5546875" style="515" customWidth="1"/>
    <col min="11283" max="11283" width="13.109375" style="515" customWidth="1"/>
    <col min="11284" max="11284" width="13.109375" style="515" bestFit="1" customWidth="1"/>
    <col min="11285" max="11285" width="13.109375" style="515" customWidth="1"/>
    <col min="11286" max="11286" width="13.109375" style="515" bestFit="1" customWidth="1"/>
    <col min="11287" max="11287" width="16.44140625" style="515" customWidth="1"/>
    <col min="11288" max="11288" width="19.33203125" style="515" customWidth="1"/>
    <col min="11289" max="11289" width="3.88671875" style="515" customWidth="1"/>
    <col min="11290" max="11522" width="8.88671875" style="515"/>
    <col min="11523" max="11523" width="39.33203125" style="515" customWidth="1"/>
    <col min="11524" max="11524" width="20.5546875" style="515" customWidth="1"/>
    <col min="11525" max="11525" width="14" style="515" customWidth="1"/>
    <col min="11526" max="11526" width="12.109375" style="515" customWidth="1"/>
    <col min="11527" max="11529" width="11.5546875" style="515" customWidth="1"/>
    <col min="11530" max="11532" width="10.5546875" style="515" customWidth="1"/>
    <col min="11533" max="11535" width="11.5546875" style="515" customWidth="1"/>
    <col min="11536" max="11536" width="12.44140625" style="515" customWidth="1"/>
    <col min="11537" max="11538" width="11.5546875" style="515" customWidth="1"/>
    <col min="11539" max="11539" width="13.109375" style="515" customWidth="1"/>
    <col min="11540" max="11540" width="13.109375" style="515" bestFit="1" customWidth="1"/>
    <col min="11541" max="11541" width="13.109375" style="515" customWidth="1"/>
    <col min="11542" max="11542" width="13.109375" style="515" bestFit="1" customWidth="1"/>
    <col min="11543" max="11543" width="16.44140625" style="515" customWidth="1"/>
    <col min="11544" max="11544" width="19.33203125" style="515" customWidth="1"/>
    <col min="11545" max="11545" width="3.88671875" style="515" customWidth="1"/>
    <col min="11546" max="11778" width="8.88671875" style="515"/>
    <col min="11779" max="11779" width="39.33203125" style="515" customWidth="1"/>
    <col min="11780" max="11780" width="20.5546875" style="515" customWidth="1"/>
    <col min="11781" max="11781" width="14" style="515" customWidth="1"/>
    <col min="11782" max="11782" width="12.109375" style="515" customWidth="1"/>
    <col min="11783" max="11785" width="11.5546875" style="515" customWidth="1"/>
    <col min="11786" max="11788" width="10.5546875" style="515" customWidth="1"/>
    <col min="11789" max="11791" width="11.5546875" style="515" customWidth="1"/>
    <col min="11792" max="11792" width="12.44140625" style="515" customWidth="1"/>
    <col min="11793" max="11794" width="11.5546875" style="515" customWidth="1"/>
    <col min="11795" max="11795" width="13.109375" style="515" customWidth="1"/>
    <col min="11796" max="11796" width="13.109375" style="515" bestFit="1" customWidth="1"/>
    <col min="11797" max="11797" width="13.109375" style="515" customWidth="1"/>
    <col min="11798" max="11798" width="13.109375" style="515" bestFit="1" customWidth="1"/>
    <col min="11799" max="11799" width="16.44140625" style="515" customWidth="1"/>
    <col min="11800" max="11800" width="19.33203125" style="515" customWidth="1"/>
    <col min="11801" max="11801" width="3.88671875" style="515" customWidth="1"/>
    <col min="11802" max="12034" width="8.88671875" style="515"/>
    <col min="12035" max="12035" width="39.33203125" style="515" customWidth="1"/>
    <col min="12036" max="12036" width="20.5546875" style="515" customWidth="1"/>
    <col min="12037" max="12037" width="14" style="515" customWidth="1"/>
    <col min="12038" max="12038" width="12.109375" style="515" customWidth="1"/>
    <col min="12039" max="12041" width="11.5546875" style="515" customWidth="1"/>
    <col min="12042" max="12044" width="10.5546875" style="515" customWidth="1"/>
    <col min="12045" max="12047" width="11.5546875" style="515" customWidth="1"/>
    <col min="12048" max="12048" width="12.44140625" style="515" customWidth="1"/>
    <col min="12049" max="12050" width="11.5546875" style="515" customWidth="1"/>
    <col min="12051" max="12051" width="13.109375" style="515" customWidth="1"/>
    <col min="12052" max="12052" width="13.109375" style="515" bestFit="1" customWidth="1"/>
    <col min="12053" max="12053" width="13.109375" style="515" customWidth="1"/>
    <col min="12054" max="12054" width="13.109375" style="515" bestFit="1" customWidth="1"/>
    <col min="12055" max="12055" width="16.44140625" style="515" customWidth="1"/>
    <col min="12056" max="12056" width="19.33203125" style="515" customWidth="1"/>
    <col min="12057" max="12057" width="3.88671875" style="515" customWidth="1"/>
    <col min="12058" max="12290" width="8.88671875" style="515"/>
    <col min="12291" max="12291" width="39.33203125" style="515" customWidth="1"/>
    <col min="12292" max="12292" width="20.5546875" style="515" customWidth="1"/>
    <col min="12293" max="12293" width="14" style="515" customWidth="1"/>
    <col min="12294" max="12294" width="12.109375" style="515" customWidth="1"/>
    <col min="12295" max="12297" width="11.5546875" style="515" customWidth="1"/>
    <col min="12298" max="12300" width="10.5546875" style="515" customWidth="1"/>
    <col min="12301" max="12303" width="11.5546875" style="515" customWidth="1"/>
    <col min="12304" max="12304" width="12.44140625" style="515" customWidth="1"/>
    <col min="12305" max="12306" width="11.5546875" style="515" customWidth="1"/>
    <col min="12307" max="12307" width="13.109375" style="515" customWidth="1"/>
    <col min="12308" max="12308" width="13.109375" style="515" bestFit="1" customWidth="1"/>
    <col min="12309" max="12309" width="13.109375" style="515" customWidth="1"/>
    <col min="12310" max="12310" width="13.109375" style="515" bestFit="1" customWidth="1"/>
    <col min="12311" max="12311" width="16.44140625" style="515" customWidth="1"/>
    <col min="12312" max="12312" width="19.33203125" style="515" customWidth="1"/>
    <col min="12313" max="12313" width="3.88671875" style="515" customWidth="1"/>
    <col min="12314" max="12546" width="8.88671875" style="515"/>
    <col min="12547" max="12547" width="39.33203125" style="515" customWidth="1"/>
    <col min="12548" max="12548" width="20.5546875" style="515" customWidth="1"/>
    <col min="12549" max="12549" width="14" style="515" customWidth="1"/>
    <col min="12550" max="12550" width="12.109375" style="515" customWidth="1"/>
    <col min="12551" max="12553" width="11.5546875" style="515" customWidth="1"/>
    <col min="12554" max="12556" width="10.5546875" style="515" customWidth="1"/>
    <col min="12557" max="12559" width="11.5546875" style="515" customWidth="1"/>
    <col min="12560" max="12560" width="12.44140625" style="515" customWidth="1"/>
    <col min="12561" max="12562" width="11.5546875" style="515" customWidth="1"/>
    <col min="12563" max="12563" width="13.109375" style="515" customWidth="1"/>
    <col min="12564" max="12564" width="13.109375" style="515" bestFit="1" customWidth="1"/>
    <col min="12565" max="12565" width="13.109375" style="515" customWidth="1"/>
    <col min="12566" max="12566" width="13.109375" style="515" bestFit="1" customWidth="1"/>
    <col min="12567" max="12567" width="16.44140625" style="515" customWidth="1"/>
    <col min="12568" max="12568" width="19.33203125" style="515" customWidth="1"/>
    <col min="12569" max="12569" width="3.88671875" style="515" customWidth="1"/>
    <col min="12570" max="12802" width="8.88671875" style="515"/>
    <col min="12803" max="12803" width="39.33203125" style="515" customWidth="1"/>
    <col min="12804" max="12804" width="20.5546875" style="515" customWidth="1"/>
    <col min="12805" max="12805" width="14" style="515" customWidth="1"/>
    <col min="12806" max="12806" width="12.109375" style="515" customWidth="1"/>
    <col min="12807" max="12809" width="11.5546875" style="515" customWidth="1"/>
    <col min="12810" max="12812" width="10.5546875" style="515" customWidth="1"/>
    <col min="12813" max="12815" width="11.5546875" style="515" customWidth="1"/>
    <col min="12816" max="12816" width="12.44140625" style="515" customWidth="1"/>
    <col min="12817" max="12818" width="11.5546875" style="515" customWidth="1"/>
    <col min="12819" max="12819" width="13.109375" style="515" customWidth="1"/>
    <col min="12820" max="12820" width="13.109375" style="515" bestFit="1" customWidth="1"/>
    <col min="12821" max="12821" width="13.109375" style="515" customWidth="1"/>
    <col min="12822" max="12822" width="13.109375" style="515" bestFit="1" customWidth="1"/>
    <col min="12823" max="12823" width="16.44140625" style="515" customWidth="1"/>
    <col min="12824" max="12824" width="19.33203125" style="515" customWidth="1"/>
    <col min="12825" max="12825" width="3.88671875" style="515" customWidth="1"/>
    <col min="12826" max="13058" width="8.88671875" style="515"/>
    <col min="13059" max="13059" width="39.33203125" style="515" customWidth="1"/>
    <col min="13060" max="13060" width="20.5546875" style="515" customWidth="1"/>
    <col min="13061" max="13061" width="14" style="515" customWidth="1"/>
    <col min="13062" max="13062" width="12.109375" style="515" customWidth="1"/>
    <col min="13063" max="13065" width="11.5546875" style="515" customWidth="1"/>
    <col min="13066" max="13068" width="10.5546875" style="515" customWidth="1"/>
    <col min="13069" max="13071" width="11.5546875" style="515" customWidth="1"/>
    <col min="13072" max="13072" width="12.44140625" style="515" customWidth="1"/>
    <col min="13073" max="13074" width="11.5546875" style="515" customWidth="1"/>
    <col min="13075" max="13075" width="13.109375" style="515" customWidth="1"/>
    <col min="13076" max="13076" width="13.109375" style="515" bestFit="1" customWidth="1"/>
    <col min="13077" max="13077" width="13.109375" style="515" customWidth="1"/>
    <col min="13078" max="13078" width="13.109375" style="515" bestFit="1" customWidth="1"/>
    <col min="13079" max="13079" width="16.44140625" style="515" customWidth="1"/>
    <col min="13080" max="13080" width="19.33203125" style="515" customWidth="1"/>
    <col min="13081" max="13081" width="3.88671875" style="515" customWidth="1"/>
    <col min="13082" max="13314" width="8.88671875" style="515"/>
    <col min="13315" max="13315" width="39.33203125" style="515" customWidth="1"/>
    <col min="13316" max="13316" width="20.5546875" style="515" customWidth="1"/>
    <col min="13317" max="13317" width="14" style="515" customWidth="1"/>
    <col min="13318" max="13318" width="12.109375" style="515" customWidth="1"/>
    <col min="13319" max="13321" width="11.5546875" style="515" customWidth="1"/>
    <col min="13322" max="13324" width="10.5546875" style="515" customWidth="1"/>
    <col min="13325" max="13327" width="11.5546875" style="515" customWidth="1"/>
    <col min="13328" max="13328" width="12.44140625" style="515" customWidth="1"/>
    <col min="13329" max="13330" width="11.5546875" style="515" customWidth="1"/>
    <col min="13331" max="13331" width="13.109375" style="515" customWidth="1"/>
    <col min="13332" max="13332" width="13.109375" style="515" bestFit="1" customWidth="1"/>
    <col min="13333" max="13333" width="13.109375" style="515" customWidth="1"/>
    <col min="13334" max="13334" width="13.109375" style="515" bestFit="1" customWidth="1"/>
    <col min="13335" max="13335" width="16.44140625" style="515" customWidth="1"/>
    <col min="13336" max="13336" width="19.33203125" style="515" customWidth="1"/>
    <col min="13337" max="13337" width="3.88671875" style="515" customWidth="1"/>
    <col min="13338" max="13570" width="8.88671875" style="515"/>
    <col min="13571" max="13571" width="39.33203125" style="515" customWidth="1"/>
    <col min="13572" max="13572" width="20.5546875" style="515" customWidth="1"/>
    <col min="13573" max="13573" width="14" style="515" customWidth="1"/>
    <col min="13574" max="13574" width="12.109375" style="515" customWidth="1"/>
    <col min="13575" max="13577" width="11.5546875" style="515" customWidth="1"/>
    <col min="13578" max="13580" width="10.5546875" style="515" customWidth="1"/>
    <col min="13581" max="13583" width="11.5546875" style="515" customWidth="1"/>
    <col min="13584" max="13584" width="12.44140625" style="515" customWidth="1"/>
    <col min="13585" max="13586" width="11.5546875" style="515" customWidth="1"/>
    <col min="13587" max="13587" width="13.109375" style="515" customWidth="1"/>
    <col min="13588" max="13588" width="13.109375" style="515" bestFit="1" customWidth="1"/>
    <col min="13589" max="13589" width="13.109375" style="515" customWidth="1"/>
    <col min="13590" max="13590" width="13.109375" style="515" bestFit="1" customWidth="1"/>
    <col min="13591" max="13591" width="16.44140625" style="515" customWidth="1"/>
    <col min="13592" max="13592" width="19.33203125" style="515" customWidth="1"/>
    <col min="13593" max="13593" width="3.88671875" style="515" customWidth="1"/>
    <col min="13594" max="13826" width="8.88671875" style="515"/>
    <col min="13827" max="13827" width="39.33203125" style="515" customWidth="1"/>
    <col min="13828" max="13828" width="20.5546875" style="515" customWidth="1"/>
    <col min="13829" max="13829" width="14" style="515" customWidth="1"/>
    <col min="13830" max="13830" width="12.109375" style="515" customWidth="1"/>
    <col min="13831" max="13833" width="11.5546875" style="515" customWidth="1"/>
    <col min="13834" max="13836" width="10.5546875" style="515" customWidth="1"/>
    <col min="13837" max="13839" width="11.5546875" style="515" customWidth="1"/>
    <col min="13840" max="13840" width="12.44140625" style="515" customWidth="1"/>
    <col min="13841" max="13842" width="11.5546875" style="515" customWidth="1"/>
    <col min="13843" max="13843" width="13.109375" style="515" customWidth="1"/>
    <col min="13844" max="13844" width="13.109375" style="515" bestFit="1" customWidth="1"/>
    <col min="13845" max="13845" width="13.109375" style="515" customWidth="1"/>
    <col min="13846" max="13846" width="13.109375" style="515" bestFit="1" customWidth="1"/>
    <col min="13847" max="13847" width="16.44140625" style="515" customWidth="1"/>
    <col min="13848" max="13848" width="19.33203125" style="515" customWidth="1"/>
    <col min="13849" max="13849" width="3.88671875" style="515" customWidth="1"/>
    <col min="13850" max="14082" width="8.88671875" style="515"/>
    <col min="14083" max="14083" width="39.33203125" style="515" customWidth="1"/>
    <col min="14084" max="14084" width="20.5546875" style="515" customWidth="1"/>
    <col min="14085" max="14085" width="14" style="515" customWidth="1"/>
    <col min="14086" max="14086" width="12.109375" style="515" customWidth="1"/>
    <col min="14087" max="14089" width="11.5546875" style="515" customWidth="1"/>
    <col min="14090" max="14092" width="10.5546875" style="515" customWidth="1"/>
    <col min="14093" max="14095" width="11.5546875" style="515" customWidth="1"/>
    <col min="14096" max="14096" width="12.44140625" style="515" customWidth="1"/>
    <col min="14097" max="14098" width="11.5546875" style="515" customWidth="1"/>
    <col min="14099" max="14099" width="13.109375" style="515" customWidth="1"/>
    <col min="14100" max="14100" width="13.109375" style="515" bestFit="1" customWidth="1"/>
    <col min="14101" max="14101" width="13.109375" style="515" customWidth="1"/>
    <col min="14102" max="14102" width="13.109375" style="515" bestFit="1" customWidth="1"/>
    <col min="14103" max="14103" width="16.44140625" style="515" customWidth="1"/>
    <col min="14104" max="14104" width="19.33203125" style="515" customWidth="1"/>
    <col min="14105" max="14105" width="3.88671875" style="515" customWidth="1"/>
    <col min="14106" max="14338" width="8.88671875" style="515"/>
    <col min="14339" max="14339" width="39.33203125" style="515" customWidth="1"/>
    <col min="14340" max="14340" width="20.5546875" style="515" customWidth="1"/>
    <col min="14341" max="14341" width="14" style="515" customWidth="1"/>
    <col min="14342" max="14342" width="12.109375" style="515" customWidth="1"/>
    <col min="14343" max="14345" width="11.5546875" style="515" customWidth="1"/>
    <col min="14346" max="14348" width="10.5546875" style="515" customWidth="1"/>
    <col min="14349" max="14351" width="11.5546875" style="515" customWidth="1"/>
    <col min="14352" max="14352" width="12.44140625" style="515" customWidth="1"/>
    <col min="14353" max="14354" width="11.5546875" style="515" customWidth="1"/>
    <col min="14355" max="14355" width="13.109375" style="515" customWidth="1"/>
    <col min="14356" max="14356" width="13.109375" style="515" bestFit="1" customWidth="1"/>
    <col min="14357" max="14357" width="13.109375" style="515" customWidth="1"/>
    <col min="14358" max="14358" width="13.109375" style="515" bestFit="1" customWidth="1"/>
    <col min="14359" max="14359" width="16.44140625" style="515" customWidth="1"/>
    <col min="14360" max="14360" width="19.33203125" style="515" customWidth="1"/>
    <col min="14361" max="14361" width="3.88671875" style="515" customWidth="1"/>
    <col min="14362" max="14594" width="8.88671875" style="515"/>
    <col min="14595" max="14595" width="39.33203125" style="515" customWidth="1"/>
    <col min="14596" max="14596" width="20.5546875" style="515" customWidth="1"/>
    <col min="14597" max="14597" width="14" style="515" customWidth="1"/>
    <col min="14598" max="14598" width="12.109375" style="515" customWidth="1"/>
    <col min="14599" max="14601" width="11.5546875" style="515" customWidth="1"/>
    <col min="14602" max="14604" width="10.5546875" style="515" customWidth="1"/>
    <col min="14605" max="14607" width="11.5546875" style="515" customWidth="1"/>
    <col min="14608" max="14608" width="12.44140625" style="515" customWidth="1"/>
    <col min="14609" max="14610" width="11.5546875" style="515" customWidth="1"/>
    <col min="14611" max="14611" width="13.109375" style="515" customWidth="1"/>
    <col min="14612" max="14612" width="13.109375" style="515" bestFit="1" customWidth="1"/>
    <col min="14613" max="14613" width="13.109375" style="515" customWidth="1"/>
    <col min="14614" max="14614" width="13.109375" style="515" bestFit="1" customWidth="1"/>
    <col min="14615" max="14615" width="16.44140625" style="515" customWidth="1"/>
    <col min="14616" max="14616" width="19.33203125" style="515" customWidth="1"/>
    <col min="14617" max="14617" width="3.88671875" style="515" customWidth="1"/>
    <col min="14618" max="14850" width="8.88671875" style="515"/>
    <col min="14851" max="14851" width="39.33203125" style="515" customWidth="1"/>
    <col min="14852" max="14852" width="20.5546875" style="515" customWidth="1"/>
    <col min="14853" max="14853" width="14" style="515" customWidth="1"/>
    <col min="14854" max="14854" width="12.109375" style="515" customWidth="1"/>
    <col min="14855" max="14857" width="11.5546875" style="515" customWidth="1"/>
    <col min="14858" max="14860" width="10.5546875" style="515" customWidth="1"/>
    <col min="14861" max="14863" width="11.5546875" style="515" customWidth="1"/>
    <col min="14864" max="14864" width="12.44140625" style="515" customWidth="1"/>
    <col min="14865" max="14866" width="11.5546875" style="515" customWidth="1"/>
    <col min="14867" max="14867" width="13.109375" style="515" customWidth="1"/>
    <col min="14868" max="14868" width="13.109375" style="515" bestFit="1" customWidth="1"/>
    <col min="14869" max="14869" width="13.109375" style="515" customWidth="1"/>
    <col min="14870" max="14870" width="13.109375" style="515" bestFit="1" customWidth="1"/>
    <col min="14871" max="14871" width="16.44140625" style="515" customWidth="1"/>
    <col min="14872" max="14872" width="19.33203125" style="515" customWidth="1"/>
    <col min="14873" max="14873" width="3.88671875" style="515" customWidth="1"/>
    <col min="14874" max="15106" width="8.88671875" style="515"/>
    <col min="15107" max="15107" width="39.33203125" style="515" customWidth="1"/>
    <col min="15108" max="15108" width="20.5546875" style="515" customWidth="1"/>
    <col min="15109" max="15109" width="14" style="515" customWidth="1"/>
    <col min="15110" max="15110" width="12.109375" style="515" customWidth="1"/>
    <col min="15111" max="15113" width="11.5546875" style="515" customWidth="1"/>
    <col min="15114" max="15116" width="10.5546875" style="515" customWidth="1"/>
    <col min="15117" max="15119" width="11.5546875" style="515" customWidth="1"/>
    <col min="15120" max="15120" width="12.44140625" style="515" customWidth="1"/>
    <col min="15121" max="15122" width="11.5546875" style="515" customWidth="1"/>
    <col min="15123" max="15123" width="13.109375" style="515" customWidth="1"/>
    <col min="15124" max="15124" width="13.109375" style="515" bestFit="1" customWidth="1"/>
    <col min="15125" max="15125" width="13.109375" style="515" customWidth="1"/>
    <col min="15126" max="15126" width="13.109375" style="515" bestFit="1" customWidth="1"/>
    <col min="15127" max="15127" width="16.44140625" style="515" customWidth="1"/>
    <col min="15128" max="15128" width="19.33203125" style="515" customWidth="1"/>
    <col min="15129" max="15129" width="3.88671875" style="515" customWidth="1"/>
    <col min="15130" max="15362" width="8.88671875" style="515"/>
    <col min="15363" max="15363" width="39.33203125" style="515" customWidth="1"/>
    <col min="15364" max="15364" width="20.5546875" style="515" customWidth="1"/>
    <col min="15365" max="15365" width="14" style="515" customWidth="1"/>
    <col min="15366" max="15366" width="12.109375" style="515" customWidth="1"/>
    <col min="15367" max="15369" width="11.5546875" style="515" customWidth="1"/>
    <col min="15370" max="15372" width="10.5546875" style="515" customWidth="1"/>
    <col min="15373" max="15375" width="11.5546875" style="515" customWidth="1"/>
    <col min="15376" max="15376" width="12.44140625" style="515" customWidth="1"/>
    <col min="15377" max="15378" width="11.5546875" style="515" customWidth="1"/>
    <col min="15379" max="15379" width="13.109375" style="515" customWidth="1"/>
    <col min="15380" max="15380" width="13.109375" style="515" bestFit="1" customWidth="1"/>
    <col min="15381" max="15381" width="13.109375" style="515" customWidth="1"/>
    <col min="15382" max="15382" width="13.109375" style="515" bestFit="1" customWidth="1"/>
    <col min="15383" max="15383" width="16.44140625" style="515" customWidth="1"/>
    <col min="15384" max="15384" width="19.33203125" style="515" customWidth="1"/>
    <col min="15385" max="15385" width="3.88671875" style="515" customWidth="1"/>
    <col min="15386" max="15618" width="8.88671875" style="515"/>
    <col min="15619" max="15619" width="39.33203125" style="515" customWidth="1"/>
    <col min="15620" max="15620" width="20.5546875" style="515" customWidth="1"/>
    <col min="15621" max="15621" width="14" style="515" customWidth="1"/>
    <col min="15622" max="15622" width="12.109375" style="515" customWidth="1"/>
    <col min="15623" max="15625" width="11.5546875" style="515" customWidth="1"/>
    <col min="15626" max="15628" width="10.5546875" style="515" customWidth="1"/>
    <col min="15629" max="15631" width="11.5546875" style="515" customWidth="1"/>
    <col min="15632" max="15632" width="12.44140625" style="515" customWidth="1"/>
    <col min="15633" max="15634" width="11.5546875" style="515" customWidth="1"/>
    <col min="15635" max="15635" width="13.109375" style="515" customWidth="1"/>
    <col min="15636" max="15636" width="13.109375" style="515" bestFit="1" customWidth="1"/>
    <col min="15637" max="15637" width="13.109375" style="515" customWidth="1"/>
    <col min="15638" max="15638" width="13.109375" style="515" bestFit="1" customWidth="1"/>
    <col min="15639" max="15639" width="16.44140625" style="515" customWidth="1"/>
    <col min="15640" max="15640" width="19.33203125" style="515" customWidth="1"/>
    <col min="15641" max="15641" width="3.88671875" style="515" customWidth="1"/>
    <col min="15642" max="15874" width="8.88671875" style="515"/>
    <col min="15875" max="15875" width="39.33203125" style="515" customWidth="1"/>
    <col min="15876" max="15876" width="20.5546875" style="515" customWidth="1"/>
    <col min="15877" max="15877" width="14" style="515" customWidth="1"/>
    <col min="15878" max="15878" width="12.109375" style="515" customWidth="1"/>
    <col min="15879" max="15881" width="11.5546875" style="515" customWidth="1"/>
    <col min="15882" max="15884" width="10.5546875" style="515" customWidth="1"/>
    <col min="15885" max="15887" width="11.5546875" style="515" customWidth="1"/>
    <col min="15888" max="15888" width="12.44140625" style="515" customWidth="1"/>
    <col min="15889" max="15890" width="11.5546875" style="515" customWidth="1"/>
    <col min="15891" max="15891" width="13.109375" style="515" customWidth="1"/>
    <col min="15892" max="15892" width="13.109375" style="515" bestFit="1" customWidth="1"/>
    <col min="15893" max="15893" width="13.109375" style="515" customWidth="1"/>
    <col min="15894" max="15894" width="13.109375" style="515" bestFit="1" customWidth="1"/>
    <col min="15895" max="15895" width="16.44140625" style="515" customWidth="1"/>
    <col min="15896" max="15896" width="19.33203125" style="515" customWidth="1"/>
    <col min="15897" max="15897" width="3.88671875" style="515" customWidth="1"/>
    <col min="15898" max="16130" width="8.88671875" style="515"/>
    <col min="16131" max="16131" width="39.33203125" style="515" customWidth="1"/>
    <col min="16132" max="16132" width="20.5546875" style="515" customWidth="1"/>
    <col min="16133" max="16133" width="14" style="515" customWidth="1"/>
    <col min="16134" max="16134" width="12.109375" style="515" customWidth="1"/>
    <col min="16135" max="16137" width="11.5546875" style="515" customWidth="1"/>
    <col min="16138" max="16140" width="10.5546875" style="515" customWidth="1"/>
    <col min="16141" max="16143" width="11.5546875" style="515" customWidth="1"/>
    <col min="16144" max="16144" width="12.44140625" style="515" customWidth="1"/>
    <col min="16145" max="16146" width="11.5546875" style="515" customWidth="1"/>
    <col min="16147" max="16147" width="13.109375" style="515" customWidth="1"/>
    <col min="16148" max="16148" width="13.109375" style="515" bestFit="1" customWidth="1"/>
    <col min="16149" max="16149" width="13.109375" style="515" customWidth="1"/>
    <col min="16150" max="16150" width="13.109375" style="515" bestFit="1" customWidth="1"/>
    <col min="16151" max="16151" width="16.44140625" style="515" customWidth="1"/>
    <col min="16152" max="16152" width="19.33203125" style="515" customWidth="1"/>
    <col min="16153" max="16153" width="3.88671875" style="515" customWidth="1"/>
    <col min="16154" max="16382" width="8.88671875" style="515"/>
    <col min="16383" max="16383" width="8.88671875" style="515" customWidth="1"/>
    <col min="16384" max="16384" width="8.88671875" style="515"/>
  </cols>
  <sheetData>
    <row r="1" spans="1:37" ht="37.5" customHeight="1" x14ac:dyDescent="0.3">
      <c r="A1" s="562" t="s">
        <v>449</v>
      </c>
      <c r="B1" s="562" t="s">
        <v>804</v>
      </c>
      <c r="C1" s="562" t="s">
        <v>803</v>
      </c>
      <c r="D1" s="562" t="s">
        <v>802</v>
      </c>
      <c r="E1" s="361">
        <v>42278</v>
      </c>
      <c r="F1" s="361">
        <v>42309</v>
      </c>
      <c r="G1" s="361">
        <v>42339</v>
      </c>
      <c r="H1" s="361">
        <v>42370</v>
      </c>
      <c r="I1" s="361">
        <v>42401</v>
      </c>
      <c r="J1" s="361">
        <v>42430</v>
      </c>
      <c r="K1" s="361">
        <v>42461</v>
      </c>
      <c r="L1" s="361">
        <v>42491</v>
      </c>
      <c r="M1" s="361">
        <v>42522</v>
      </c>
      <c r="N1" s="361">
        <v>42552</v>
      </c>
      <c r="O1" s="361">
        <v>42583</v>
      </c>
      <c r="P1" s="361">
        <v>42614</v>
      </c>
      <c r="Q1" s="361" t="s">
        <v>887</v>
      </c>
      <c r="R1" s="361" t="s">
        <v>886</v>
      </c>
      <c r="S1" s="360" t="s">
        <v>885</v>
      </c>
      <c r="T1" s="360" t="s">
        <v>892</v>
      </c>
      <c r="U1" s="360" t="s">
        <v>893</v>
      </c>
      <c r="V1" s="360" t="s">
        <v>920</v>
      </c>
      <c r="W1" s="360" t="s">
        <v>801</v>
      </c>
      <c r="X1" s="360" t="s">
        <v>800</v>
      </c>
      <c r="Y1" s="360" t="s">
        <v>799</v>
      </c>
      <c r="AA1" s="811" t="s">
        <v>971</v>
      </c>
      <c r="AB1" s="515" t="s">
        <v>884</v>
      </c>
    </row>
    <row r="2" spans="1:37" ht="14.4" thickBot="1" x14ac:dyDescent="0.35">
      <c r="A2" s="635" t="s">
        <v>769</v>
      </c>
      <c r="B2" s="638"/>
      <c r="C2" s="637"/>
      <c r="D2" s="637"/>
      <c r="E2" s="359"/>
      <c r="F2" s="359"/>
      <c r="G2" s="636"/>
      <c r="H2" s="636"/>
      <c r="I2" s="636"/>
      <c r="J2" s="623"/>
      <c r="K2" s="623"/>
      <c r="L2" s="623"/>
      <c r="M2" s="623"/>
      <c r="N2" s="623"/>
      <c r="O2" s="623"/>
      <c r="P2" s="623"/>
      <c r="Q2" s="623"/>
      <c r="R2" s="623"/>
      <c r="S2" s="623"/>
      <c r="AB2" s="633" t="s">
        <v>970</v>
      </c>
    </row>
    <row r="3" spans="1:37" ht="14.4" thickTop="1" x14ac:dyDescent="0.3">
      <c r="A3" s="635"/>
      <c r="B3" s="624"/>
      <c r="C3" s="554"/>
      <c r="D3" s="554"/>
      <c r="E3" s="355"/>
      <c r="F3" s="352"/>
      <c r="G3" s="634"/>
      <c r="H3" s="634"/>
      <c r="I3" s="634"/>
      <c r="J3" s="629"/>
      <c r="K3" s="629"/>
      <c r="L3" s="623"/>
      <c r="M3" s="623"/>
      <c r="N3" s="623"/>
      <c r="O3" s="623"/>
      <c r="P3" s="623"/>
      <c r="Q3" s="623"/>
      <c r="R3" s="623"/>
      <c r="S3" s="623"/>
      <c r="AB3" s="633"/>
      <c r="AC3" s="819">
        <v>403.1</v>
      </c>
      <c r="AD3" s="820"/>
      <c r="AE3" s="821"/>
      <c r="AF3" s="819">
        <v>411.1</v>
      </c>
      <c r="AG3" s="820"/>
      <c r="AH3" s="821"/>
      <c r="AI3" s="819" t="s">
        <v>762</v>
      </c>
      <c r="AJ3" s="820"/>
      <c r="AK3" s="821"/>
    </row>
    <row r="4" spans="1:37" ht="14.4" thickBot="1" x14ac:dyDescent="0.35">
      <c r="A4" s="623"/>
      <c r="B4" s="632"/>
      <c r="C4" s="554"/>
      <c r="D4" s="554"/>
      <c r="E4" s="352"/>
      <c r="F4" s="352"/>
      <c r="G4" s="354"/>
      <c r="H4" s="354"/>
      <c r="I4" s="354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519"/>
      <c r="U4" s="332"/>
      <c r="V4" s="332"/>
      <c r="W4" s="629"/>
      <c r="Y4" s="332"/>
      <c r="AC4" s="822" t="s">
        <v>364</v>
      </c>
      <c r="AD4" s="823" t="s">
        <v>365</v>
      </c>
      <c r="AE4" s="824" t="s">
        <v>762</v>
      </c>
      <c r="AF4" s="822" t="s">
        <v>364</v>
      </c>
      <c r="AG4" s="823" t="s">
        <v>365</v>
      </c>
      <c r="AH4" s="824" t="s">
        <v>762</v>
      </c>
      <c r="AI4" s="822" t="s">
        <v>364</v>
      </c>
      <c r="AJ4" s="823" t="s">
        <v>365</v>
      </c>
      <c r="AK4" s="824" t="s">
        <v>762</v>
      </c>
    </row>
    <row r="5" spans="1:37" ht="14.4" thickTop="1" x14ac:dyDescent="0.3">
      <c r="A5" s="357" t="s">
        <v>792</v>
      </c>
      <c r="B5" s="624">
        <v>76110</v>
      </c>
      <c r="C5" s="554">
        <v>2003</v>
      </c>
      <c r="D5" s="554" t="s">
        <v>174</v>
      </c>
      <c r="E5" s="355">
        <v>0</v>
      </c>
      <c r="F5" s="352">
        <v>0</v>
      </c>
      <c r="G5" s="354">
        <v>0</v>
      </c>
      <c r="H5" s="354">
        <v>0</v>
      </c>
      <c r="I5" s="354">
        <v>0</v>
      </c>
      <c r="J5" s="352">
        <v>0</v>
      </c>
      <c r="K5" s="352">
        <v>0</v>
      </c>
      <c r="L5" s="352">
        <v>0</v>
      </c>
      <c r="M5" s="352">
        <v>0</v>
      </c>
      <c r="N5" s="352">
        <v>0</v>
      </c>
      <c r="O5" s="352">
        <v>0</v>
      </c>
      <c r="P5" s="352">
        <v>0</v>
      </c>
      <c r="Q5" s="352"/>
      <c r="R5" s="352">
        <v>-3982.36</v>
      </c>
      <c r="S5" s="352">
        <f t="shared" ref="S5:S15" si="0">SUM(E5:R5)</f>
        <v>-3982.36</v>
      </c>
      <c r="T5" s="639">
        <f t="shared" ref="T5:T16" si="1">+S5</f>
        <v>-3982.36</v>
      </c>
      <c r="U5" s="653">
        <v>72109.531201349906</v>
      </c>
      <c r="V5" s="639"/>
      <c r="W5" s="629">
        <f t="shared" ref="W5:W15" si="2">T5+U5+V5</f>
        <v>68127.171201349905</v>
      </c>
      <c r="X5" s="332">
        <f>+W5</f>
        <v>68127.171201349905</v>
      </c>
      <c r="Y5" s="332">
        <f t="shared" ref="Y5:Y17" si="3">+X5-W5</f>
        <v>0</v>
      </c>
      <c r="Z5" s="625"/>
      <c r="AA5" s="653">
        <v>-652.54250238200075</v>
      </c>
      <c r="AC5" s="825">
        <f>T5</f>
        <v>-3982.36</v>
      </c>
      <c r="AD5" s="826"/>
      <c r="AE5" s="827">
        <f t="shared" ref="AE5:AE16" si="4">SUM(AC5:AD5)</f>
        <v>-3982.36</v>
      </c>
      <c r="AF5" s="828">
        <f>U5+AA5</f>
        <v>71456.988698967907</v>
      </c>
      <c r="AG5" s="826"/>
      <c r="AH5" s="827">
        <f>SUM(AF5:AG5)</f>
        <v>71456.988698967907</v>
      </c>
      <c r="AI5" s="828">
        <f>AF5+AC5</f>
        <v>67474.628698967907</v>
      </c>
      <c r="AJ5" s="829">
        <f t="shared" ref="AJ5:AJ16" si="5">AG5+AD5</f>
        <v>0</v>
      </c>
      <c r="AK5" s="827">
        <f t="shared" ref="AK5:AK16" si="6">AH5+AE5</f>
        <v>67474.628698967907</v>
      </c>
    </row>
    <row r="6" spans="1:37" x14ac:dyDescent="0.3">
      <c r="A6" s="357" t="s">
        <v>791</v>
      </c>
      <c r="B6" s="624">
        <v>76111</v>
      </c>
      <c r="C6" s="554">
        <v>2003</v>
      </c>
      <c r="D6" s="554" t="s">
        <v>174</v>
      </c>
      <c r="E6" s="355">
        <v>632.54999999999995</v>
      </c>
      <c r="F6" s="352">
        <v>632.54999999999995</v>
      </c>
      <c r="G6" s="354">
        <v>632.54999999999995</v>
      </c>
      <c r="H6" s="354">
        <v>632.54999999999995</v>
      </c>
      <c r="I6" s="354">
        <v>632.54999999999995</v>
      </c>
      <c r="J6" s="352">
        <v>632.54999999999995</v>
      </c>
      <c r="K6" s="352">
        <v>632.54999999999995</v>
      </c>
      <c r="L6" s="352">
        <v>632.54999999999995</v>
      </c>
      <c r="M6" s="352">
        <v>632.54999999999995</v>
      </c>
      <c r="N6" s="352">
        <v>632.54999999999995</v>
      </c>
      <c r="O6" s="352">
        <v>632.54999999999995</v>
      </c>
      <c r="P6" s="352">
        <v>632.54999999999995</v>
      </c>
      <c r="Q6" s="352"/>
      <c r="R6" s="352">
        <v>-4216.0200000000004</v>
      </c>
      <c r="S6" s="352">
        <f t="shared" si="0"/>
        <v>3374.5800000000008</v>
      </c>
      <c r="T6" s="639">
        <f t="shared" si="1"/>
        <v>3374.5800000000008</v>
      </c>
      <c r="U6" s="653">
        <v>39492.685956198104</v>
      </c>
      <c r="V6" s="639"/>
      <c r="W6" s="629">
        <f t="shared" si="2"/>
        <v>42867.265956198105</v>
      </c>
      <c r="X6" s="332">
        <f t="shared" ref="X6:X15" si="7">W6</f>
        <v>42867.265956198105</v>
      </c>
      <c r="Y6" s="332">
        <f t="shared" si="3"/>
        <v>0</v>
      </c>
      <c r="Z6" s="625"/>
      <c r="AA6" s="653">
        <v>-357.38208657899713</v>
      </c>
      <c r="AC6" s="825">
        <f>T6</f>
        <v>3374.5800000000008</v>
      </c>
      <c r="AD6" s="826"/>
      <c r="AE6" s="827">
        <f t="shared" si="4"/>
        <v>3374.5800000000008</v>
      </c>
      <c r="AF6" s="825">
        <f>U6+AA6</f>
        <v>39135.303869619107</v>
      </c>
      <c r="AG6" s="826"/>
      <c r="AH6" s="827">
        <f t="shared" ref="AH6:AH16" si="8">SUM(AF6:AG6)</f>
        <v>39135.303869619107</v>
      </c>
      <c r="AI6" s="825">
        <f t="shared" ref="AI6:AI16" si="9">AF6+AC6</f>
        <v>42509.883869619109</v>
      </c>
      <c r="AJ6" s="829">
        <f t="shared" si="5"/>
        <v>0</v>
      </c>
      <c r="AK6" s="827">
        <f t="shared" si="6"/>
        <v>42509.883869619109</v>
      </c>
    </row>
    <row r="7" spans="1:37" x14ac:dyDescent="0.3">
      <c r="A7" s="357" t="s">
        <v>798</v>
      </c>
      <c r="B7" s="626">
        <v>12771690</v>
      </c>
      <c r="C7" s="554">
        <v>2005</v>
      </c>
      <c r="D7" s="554" t="s">
        <v>288</v>
      </c>
      <c r="E7" s="355">
        <v>4459.92</v>
      </c>
      <c r="F7" s="352">
        <v>4459.91</v>
      </c>
      <c r="G7" s="354">
        <v>4640.01</v>
      </c>
      <c r="H7" s="354">
        <v>4485.7</v>
      </c>
      <c r="I7" s="354">
        <v>4485.71</v>
      </c>
      <c r="J7" s="352">
        <v>4485.71</v>
      </c>
      <c r="K7" s="352">
        <v>4485.71</v>
      </c>
      <c r="L7" s="352">
        <v>4485.7</v>
      </c>
      <c r="M7" s="352">
        <v>4485.7</v>
      </c>
      <c r="N7" s="352">
        <v>4485.7</v>
      </c>
      <c r="O7" s="354">
        <v>4485.6900000000005</v>
      </c>
      <c r="P7" s="352">
        <v>4485.7</v>
      </c>
      <c r="Q7" s="352"/>
      <c r="R7" s="352"/>
      <c r="S7" s="352">
        <f t="shared" si="0"/>
        <v>53931.159999999989</v>
      </c>
      <c r="T7" s="639">
        <f t="shared" si="1"/>
        <v>53931.159999999989</v>
      </c>
      <c r="U7" s="653">
        <v>29083.460000000003</v>
      </c>
      <c r="V7" s="639"/>
      <c r="W7" s="629">
        <f t="shared" si="2"/>
        <v>83014.62</v>
      </c>
      <c r="X7" s="332">
        <f t="shared" si="7"/>
        <v>83014.62</v>
      </c>
      <c r="Y7" s="332">
        <f t="shared" si="3"/>
        <v>0</v>
      </c>
      <c r="Z7" s="625"/>
      <c r="AA7" s="653"/>
      <c r="AC7" s="825">
        <f>T7</f>
        <v>53931.159999999989</v>
      </c>
      <c r="AD7" s="826"/>
      <c r="AE7" s="827">
        <f t="shared" si="4"/>
        <v>53931.159999999989</v>
      </c>
      <c r="AF7" s="825">
        <f>U7+AA7</f>
        <v>29083.460000000003</v>
      </c>
      <c r="AG7" s="826"/>
      <c r="AH7" s="827">
        <f t="shared" si="8"/>
        <v>29083.460000000003</v>
      </c>
      <c r="AI7" s="825">
        <f t="shared" si="9"/>
        <v>83014.62</v>
      </c>
      <c r="AJ7" s="829">
        <f t="shared" si="5"/>
        <v>0</v>
      </c>
      <c r="AK7" s="827">
        <f t="shared" si="6"/>
        <v>83014.62</v>
      </c>
    </row>
    <row r="8" spans="1:37" ht="12" customHeight="1" x14ac:dyDescent="0.3">
      <c r="A8" s="516" t="s">
        <v>768</v>
      </c>
      <c r="B8" s="626">
        <v>12971225</v>
      </c>
      <c r="C8" s="554">
        <v>2006</v>
      </c>
      <c r="D8" s="554" t="s">
        <v>280</v>
      </c>
      <c r="E8" s="355">
        <v>3167</v>
      </c>
      <c r="F8" s="352">
        <v>3167</v>
      </c>
      <c r="G8" s="354">
        <v>3184.06</v>
      </c>
      <c r="H8" s="354">
        <v>3201.1800000000003</v>
      </c>
      <c r="I8" s="354">
        <v>3201.1800000000003</v>
      </c>
      <c r="J8" s="352">
        <v>3201.1800000000003</v>
      </c>
      <c r="K8" s="352">
        <v>3201.1800000000003</v>
      </c>
      <c r="L8" s="352">
        <v>3201.1800000000003</v>
      </c>
      <c r="M8" s="352">
        <v>3201.1800000000003</v>
      </c>
      <c r="N8" s="352">
        <v>3201.1800000000003</v>
      </c>
      <c r="O8" s="352">
        <v>3201.1800000000003</v>
      </c>
      <c r="P8" s="352">
        <v>3201.1800000000003</v>
      </c>
      <c r="Q8" s="352">
        <v>-9878.67</v>
      </c>
      <c r="R8" s="352"/>
      <c r="S8" s="352">
        <f t="shared" si="0"/>
        <v>28450.010000000002</v>
      </c>
      <c r="T8" s="639">
        <f t="shared" si="1"/>
        <v>28450.010000000002</v>
      </c>
      <c r="U8" s="653">
        <v>37567.049999999996</v>
      </c>
      <c r="V8" s="639">
        <f>C117</f>
        <v>24447.100000000093</v>
      </c>
      <c r="W8" s="629">
        <f t="shared" si="2"/>
        <v>90464.160000000091</v>
      </c>
      <c r="X8" s="332">
        <f t="shared" si="7"/>
        <v>90464.160000000091</v>
      </c>
      <c r="Y8" s="332">
        <f t="shared" si="3"/>
        <v>0</v>
      </c>
      <c r="Z8" s="625"/>
      <c r="AA8" s="653">
        <v>10680.03</v>
      </c>
      <c r="AC8" s="825">
        <f>T8</f>
        <v>28450.010000000002</v>
      </c>
      <c r="AD8" s="826"/>
      <c r="AE8" s="827">
        <f t="shared" si="4"/>
        <v>28450.010000000002</v>
      </c>
      <c r="AF8" s="825">
        <f>U8+AA8</f>
        <v>48247.079999999994</v>
      </c>
      <c r="AG8" s="826"/>
      <c r="AH8" s="827">
        <f t="shared" si="8"/>
        <v>48247.079999999994</v>
      </c>
      <c r="AI8" s="825">
        <f t="shared" si="9"/>
        <v>76697.09</v>
      </c>
      <c r="AJ8" s="829">
        <f t="shared" si="5"/>
        <v>0</v>
      </c>
      <c r="AK8" s="827">
        <f t="shared" si="6"/>
        <v>76697.09</v>
      </c>
    </row>
    <row r="9" spans="1:37" x14ac:dyDescent="0.3">
      <c r="A9" s="566" t="s">
        <v>797</v>
      </c>
      <c r="B9" s="624" t="s">
        <v>796</v>
      </c>
      <c r="C9" s="554">
        <v>2006</v>
      </c>
      <c r="D9" s="554" t="s">
        <v>174</v>
      </c>
      <c r="E9" s="355">
        <v>732.97</v>
      </c>
      <c r="F9" s="355">
        <v>732.96</v>
      </c>
      <c r="G9" s="355">
        <v>732.96</v>
      </c>
      <c r="H9" s="355">
        <v>732.96</v>
      </c>
      <c r="I9" s="355">
        <v>732.97</v>
      </c>
      <c r="J9" s="355">
        <v>732.96</v>
      </c>
      <c r="K9" s="355">
        <v>732.96</v>
      </c>
      <c r="L9" s="355">
        <v>732.97</v>
      </c>
      <c r="M9" s="355">
        <v>732.96</v>
      </c>
      <c r="N9" s="355">
        <v>732.97</v>
      </c>
      <c r="O9" s="355">
        <v>732.97</v>
      </c>
      <c r="P9" s="355">
        <v>732.97</v>
      </c>
      <c r="Q9" s="355"/>
      <c r="R9" s="355"/>
      <c r="S9" s="352">
        <f t="shared" si="0"/>
        <v>8795.5800000000017</v>
      </c>
      <c r="T9" s="639">
        <f t="shared" si="1"/>
        <v>8795.5800000000017</v>
      </c>
      <c r="U9" s="653">
        <v>55301.75</v>
      </c>
      <c r="V9" s="639"/>
      <c r="W9" s="629">
        <f t="shared" si="2"/>
        <v>64097.33</v>
      </c>
      <c r="X9" s="332">
        <f t="shared" si="7"/>
        <v>64097.33</v>
      </c>
      <c r="Y9" s="332">
        <f t="shared" si="3"/>
        <v>0</v>
      </c>
      <c r="Z9" s="625"/>
      <c r="AA9" s="653"/>
      <c r="AC9" s="825">
        <f>T9</f>
        <v>8795.5800000000017</v>
      </c>
      <c r="AD9" s="826"/>
      <c r="AE9" s="827">
        <f t="shared" si="4"/>
        <v>8795.5800000000017</v>
      </c>
      <c r="AF9" s="825">
        <f>U9+AA9</f>
        <v>55301.75</v>
      </c>
      <c r="AG9" s="826"/>
      <c r="AH9" s="827">
        <f t="shared" si="8"/>
        <v>55301.75</v>
      </c>
      <c r="AI9" s="825">
        <f t="shared" si="9"/>
        <v>64097.33</v>
      </c>
      <c r="AJ9" s="829">
        <f t="shared" si="5"/>
        <v>0</v>
      </c>
      <c r="AK9" s="827">
        <f t="shared" si="6"/>
        <v>64097.33</v>
      </c>
    </row>
    <row r="10" spans="1:37" x14ac:dyDescent="0.3">
      <c r="A10" s="358" t="s">
        <v>795</v>
      </c>
      <c r="B10" s="626">
        <v>12771693</v>
      </c>
      <c r="C10" s="554">
        <v>2006</v>
      </c>
      <c r="D10" s="554" t="s">
        <v>883</v>
      </c>
      <c r="E10" s="355">
        <v>12773.59</v>
      </c>
      <c r="F10" s="352">
        <v>12773.57</v>
      </c>
      <c r="G10" s="354">
        <v>14332.92</v>
      </c>
      <c r="H10" s="354">
        <v>14901.68</v>
      </c>
      <c r="I10" s="354">
        <v>14901.66</v>
      </c>
      <c r="J10" s="352">
        <v>14901.65</v>
      </c>
      <c r="K10" s="352">
        <v>14901.64</v>
      </c>
      <c r="L10" s="352">
        <v>14901.630000000001</v>
      </c>
      <c r="M10" s="352">
        <v>14901.630000000001</v>
      </c>
      <c r="N10" s="352">
        <v>14901.64</v>
      </c>
      <c r="O10" s="352">
        <v>14901.65</v>
      </c>
      <c r="P10" s="352">
        <v>14901.66</v>
      </c>
      <c r="Q10" s="352"/>
      <c r="R10" s="352"/>
      <c r="S10" s="352">
        <f t="shared" si="0"/>
        <v>173994.91999999998</v>
      </c>
      <c r="T10" s="519">
        <f t="shared" si="1"/>
        <v>173994.91999999998</v>
      </c>
      <c r="U10" s="332">
        <v>28810.3</v>
      </c>
      <c r="V10" s="332"/>
      <c r="W10" s="629">
        <f t="shared" si="2"/>
        <v>202805.21999999997</v>
      </c>
      <c r="X10" s="332">
        <f t="shared" si="7"/>
        <v>202805.21999999997</v>
      </c>
      <c r="Y10" s="332">
        <f t="shared" si="3"/>
        <v>0</v>
      </c>
      <c r="Z10" s="625"/>
      <c r="AA10" s="653"/>
      <c r="AC10" s="825"/>
      <c r="AD10" s="829">
        <f>T10</f>
        <v>173994.91999999998</v>
      </c>
      <c r="AE10" s="827">
        <f t="shared" si="4"/>
        <v>173994.91999999998</v>
      </c>
      <c r="AF10" s="830"/>
      <c r="AG10" s="829">
        <f>U10+AA10</f>
        <v>28810.3</v>
      </c>
      <c r="AH10" s="827">
        <f t="shared" si="8"/>
        <v>28810.3</v>
      </c>
      <c r="AI10" s="825">
        <f t="shared" si="9"/>
        <v>0</v>
      </c>
      <c r="AJ10" s="829">
        <f t="shared" si="5"/>
        <v>202805.21999999997</v>
      </c>
      <c r="AK10" s="827">
        <f t="shared" si="6"/>
        <v>202805.21999999997</v>
      </c>
    </row>
    <row r="11" spans="1:37" x14ac:dyDescent="0.3">
      <c r="A11" s="357" t="s">
        <v>767</v>
      </c>
      <c r="B11" s="624">
        <v>81633</v>
      </c>
      <c r="C11" s="554">
        <v>2005</v>
      </c>
      <c r="D11" s="554" t="s">
        <v>280</v>
      </c>
      <c r="E11" s="355">
        <v>1095.9100000000001</v>
      </c>
      <c r="F11" s="352">
        <v>1095.92</v>
      </c>
      <c r="G11" s="354">
        <v>3651.16</v>
      </c>
      <c r="H11" s="354">
        <v>6212.3</v>
      </c>
      <c r="I11" s="354">
        <v>6212.32</v>
      </c>
      <c r="J11" s="352">
        <v>39810.79</v>
      </c>
      <c r="K11" s="352">
        <v>64498.11</v>
      </c>
      <c r="L11" s="352">
        <v>64498.1</v>
      </c>
      <c r="M11" s="352">
        <v>64498.03</v>
      </c>
      <c r="N11" s="352">
        <v>64498.03</v>
      </c>
      <c r="O11" s="352">
        <v>64498.04</v>
      </c>
      <c r="P11" s="352">
        <v>64498.07</v>
      </c>
      <c r="Q11" s="352"/>
      <c r="R11" s="352"/>
      <c r="S11" s="352">
        <f t="shared" si="0"/>
        <v>445066.78</v>
      </c>
      <c r="T11" s="639">
        <f t="shared" si="1"/>
        <v>445066.78</v>
      </c>
      <c r="U11" s="653">
        <v>266713.8</v>
      </c>
      <c r="V11" s="639">
        <f>C118</f>
        <v>-25234.389999999898</v>
      </c>
      <c r="W11" s="629">
        <f t="shared" si="2"/>
        <v>686546.19000000018</v>
      </c>
      <c r="X11" s="332">
        <f t="shared" si="7"/>
        <v>686546.19000000018</v>
      </c>
      <c r="Y11" s="332">
        <f t="shared" si="3"/>
        <v>0</v>
      </c>
      <c r="Z11" s="625"/>
      <c r="AA11" s="653"/>
      <c r="AC11" s="825">
        <f t="shared" ref="AC11:AC16" si="10">T11</f>
        <v>445066.78</v>
      </c>
      <c r="AD11" s="826"/>
      <c r="AE11" s="827">
        <f t="shared" si="4"/>
        <v>445066.78</v>
      </c>
      <c r="AF11" s="825">
        <f t="shared" ref="AF11:AF16" si="11">U11+AA11</f>
        <v>266713.8</v>
      </c>
      <c r="AG11" s="826"/>
      <c r="AH11" s="827">
        <f t="shared" si="8"/>
        <v>266713.8</v>
      </c>
      <c r="AI11" s="825">
        <f t="shared" si="9"/>
        <v>711780.58000000007</v>
      </c>
      <c r="AJ11" s="829">
        <f t="shared" si="5"/>
        <v>0</v>
      </c>
      <c r="AK11" s="827">
        <f t="shared" si="6"/>
        <v>711780.58000000007</v>
      </c>
    </row>
    <row r="12" spans="1:37" x14ac:dyDescent="0.3">
      <c r="A12" s="516" t="s">
        <v>766</v>
      </c>
      <c r="B12" s="624">
        <v>11193345</v>
      </c>
      <c r="C12" s="554">
        <v>2012</v>
      </c>
      <c r="D12" s="554" t="s">
        <v>280</v>
      </c>
      <c r="E12" s="355">
        <v>20371.330000000002</v>
      </c>
      <c r="F12" s="352">
        <v>20371.350000000002</v>
      </c>
      <c r="G12" s="354">
        <v>12524.54</v>
      </c>
      <c r="H12" s="354">
        <v>10996.880000000001</v>
      </c>
      <c r="I12" s="354">
        <v>10996.880000000001</v>
      </c>
      <c r="J12" s="352">
        <v>38670.69</v>
      </c>
      <c r="K12" s="352">
        <v>60759.19</v>
      </c>
      <c r="L12" s="352">
        <v>60759.25</v>
      </c>
      <c r="M12" s="352">
        <v>60759.19</v>
      </c>
      <c r="N12" s="352">
        <v>60759.28</v>
      </c>
      <c r="O12" s="352">
        <v>60759.21</v>
      </c>
      <c r="P12" s="352">
        <v>60759.24</v>
      </c>
      <c r="Q12" s="352"/>
      <c r="R12" s="352"/>
      <c r="S12" s="352">
        <f t="shared" si="0"/>
        <v>478487.03000000009</v>
      </c>
      <c r="T12" s="639">
        <f t="shared" si="1"/>
        <v>478487.03000000009</v>
      </c>
      <c r="U12" s="653">
        <v>472792.87</v>
      </c>
      <c r="V12" s="639">
        <f>C119</f>
        <v>-333212.98000000045</v>
      </c>
      <c r="W12" s="629">
        <f t="shared" si="2"/>
        <v>618066.91999999969</v>
      </c>
      <c r="X12" s="332">
        <f t="shared" si="7"/>
        <v>618066.91999999969</v>
      </c>
      <c r="Y12" s="332">
        <f t="shared" si="3"/>
        <v>0</v>
      </c>
      <c r="Z12" s="625"/>
      <c r="AA12" s="653"/>
      <c r="AC12" s="825">
        <f t="shared" si="10"/>
        <v>478487.03000000009</v>
      </c>
      <c r="AD12" s="826"/>
      <c r="AE12" s="827">
        <f t="shared" si="4"/>
        <v>478487.03000000009</v>
      </c>
      <c r="AF12" s="825">
        <f t="shared" si="11"/>
        <v>472792.87</v>
      </c>
      <c r="AG12" s="826"/>
      <c r="AH12" s="827">
        <f t="shared" si="8"/>
        <v>472792.87</v>
      </c>
      <c r="AI12" s="825">
        <f t="shared" si="9"/>
        <v>951279.90000000014</v>
      </c>
      <c r="AJ12" s="829">
        <f t="shared" si="5"/>
        <v>0</v>
      </c>
      <c r="AK12" s="827">
        <f t="shared" si="6"/>
        <v>951279.90000000014</v>
      </c>
    </row>
    <row r="13" spans="1:37" x14ac:dyDescent="0.3">
      <c r="A13" s="516" t="s">
        <v>765</v>
      </c>
      <c r="B13" s="624">
        <v>13997947</v>
      </c>
      <c r="C13" s="554">
        <v>2013</v>
      </c>
      <c r="D13" s="554" t="s">
        <v>280</v>
      </c>
      <c r="E13" s="355">
        <v>2047.48</v>
      </c>
      <c r="F13" s="352">
        <v>2047.48</v>
      </c>
      <c r="G13" s="354">
        <v>1101.4100000000001</v>
      </c>
      <c r="H13" s="354">
        <v>131.89000000000001</v>
      </c>
      <c r="I13" s="354">
        <v>131.9</v>
      </c>
      <c r="J13" s="352">
        <v>131.89000000000001</v>
      </c>
      <c r="K13" s="352">
        <v>131.9</v>
      </c>
      <c r="L13" s="352">
        <v>131.9</v>
      </c>
      <c r="M13" s="352">
        <v>131.89000000000001</v>
      </c>
      <c r="N13" s="352">
        <v>131.89000000000001</v>
      </c>
      <c r="O13" s="352">
        <v>131.9</v>
      </c>
      <c r="P13" s="352">
        <v>131.89000000000001</v>
      </c>
      <c r="Q13" s="352">
        <v>-3923.65</v>
      </c>
      <c r="R13" s="352"/>
      <c r="S13" s="352">
        <f t="shared" si="0"/>
        <v>2459.77</v>
      </c>
      <c r="T13" s="639">
        <f t="shared" si="1"/>
        <v>2459.77</v>
      </c>
      <c r="U13" s="653">
        <v>3053.11</v>
      </c>
      <c r="V13" s="639">
        <f>C120</f>
        <v>1277.6199999999953</v>
      </c>
      <c r="W13" s="629">
        <f t="shared" si="2"/>
        <v>6790.4999999999955</v>
      </c>
      <c r="X13" s="332">
        <f t="shared" si="7"/>
        <v>6790.4999999999955</v>
      </c>
      <c r="Y13" s="332">
        <f t="shared" si="3"/>
        <v>0</v>
      </c>
      <c r="Z13" s="625"/>
      <c r="AA13" s="653">
        <v>-178.28</v>
      </c>
      <c r="AC13" s="825">
        <f t="shared" si="10"/>
        <v>2459.77</v>
      </c>
      <c r="AD13" s="826"/>
      <c r="AE13" s="827">
        <f t="shared" si="4"/>
        <v>2459.77</v>
      </c>
      <c r="AF13" s="825">
        <f t="shared" si="11"/>
        <v>2874.83</v>
      </c>
      <c r="AG13" s="826"/>
      <c r="AH13" s="827">
        <f t="shared" si="8"/>
        <v>2874.83</v>
      </c>
      <c r="AI13" s="825">
        <f t="shared" si="9"/>
        <v>5334.6</v>
      </c>
      <c r="AJ13" s="829">
        <f t="shared" si="5"/>
        <v>0</v>
      </c>
      <c r="AK13" s="827">
        <f t="shared" si="6"/>
        <v>5334.6</v>
      </c>
    </row>
    <row r="14" spans="1:37" x14ac:dyDescent="0.3">
      <c r="A14" s="357" t="s">
        <v>794</v>
      </c>
      <c r="B14" s="624">
        <v>82937</v>
      </c>
      <c r="C14" s="554">
        <v>2005</v>
      </c>
      <c r="D14" s="554" t="s">
        <v>210</v>
      </c>
      <c r="E14" s="355">
        <v>4864.17</v>
      </c>
      <c r="F14" s="352">
        <v>4864.18</v>
      </c>
      <c r="G14" s="354">
        <v>5035.13</v>
      </c>
      <c r="H14" s="354">
        <v>4988.57</v>
      </c>
      <c r="I14" s="354">
        <v>9977.16</v>
      </c>
      <c r="J14" s="352">
        <v>9977.15</v>
      </c>
      <c r="K14" s="352">
        <v>9977.18</v>
      </c>
      <c r="L14" s="352">
        <v>9977.14</v>
      </c>
      <c r="M14" s="352">
        <v>9977.130000000001</v>
      </c>
      <c r="N14" s="352">
        <v>9977.17</v>
      </c>
      <c r="O14" s="352">
        <v>9977.130000000001</v>
      </c>
      <c r="P14" s="352">
        <v>9977.130000000001</v>
      </c>
      <c r="Q14" s="352"/>
      <c r="R14" s="352"/>
      <c r="S14" s="352">
        <f t="shared" si="0"/>
        <v>99569.24</v>
      </c>
      <c r="T14" s="639">
        <f t="shared" si="1"/>
        <v>99569.24</v>
      </c>
      <c r="U14" s="653">
        <v>133039.32</v>
      </c>
      <c r="V14" s="639"/>
      <c r="W14" s="629">
        <f t="shared" si="2"/>
        <v>232608.56</v>
      </c>
      <c r="X14" s="332">
        <f t="shared" si="7"/>
        <v>232608.56</v>
      </c>
      <c r="Y14" s="332">
        <f t="shared" si="3"/>
        <v>0</v>
      </c>
      <c r="Z14" s="625"/>
      <c r="AA14" s="653"/>
      <c r="AC14" s="825">
        <f t="shared" si="10"/>
        <v>99569.24</v>
      </c>
      <c r="AD14" s="826"/>
      <c r="AE14" s="827">
        <f t="shared" si="4"/>
        <v>99569.24</v>
      </c>
      <c r="AF14" s="825">
        <f t="shared" si="11"/>
        <v>133039.32</v>
      </c>
      <c r="AG14" s="826"/>
      <c r="AH14" s="827">
        <f t="shared" si="8"/>
        <v>133039.32</v>
      </c>
      <c r="AI14" s="825">
        <f t="shared" si="9"/>
        <v>232608.56</v>
      </c>
      <c r="AJ14" s="829">
        <f t="shared" si="5"/>
        <v>0</v>
      </c>
      <c r="AK14" s="827">
        <f t="shared" si="6"/>
        <v>232608.56</v>
      </c>
    </row>
    <row r="15" spans="1:37" x14ac:dyDescent="0.3">
      <c r="A15" s="566" t="s">
        <v>764</v>
      </c>
      <c r="B15" s="624">
        <v>12971222</v>
      </c>
      <c r="C15" s="554">
        <v>2013</v>
      </c>
      <c r="D15" s="554" t="s">
        <v>280</v>
      </c>
      <c r="E15" s="355">
        <v>23027.43</v>
      </c>
      <c r="F15" s="352">
        <v>23027.41</v>
      </c>
      <c r="G15" s="354">
        <v>23114.41</v>
      </c>
      <c r="H15" s="354">
        <v>23201.71</v>
      </c>
      <c r="I15" s="354">
        <v>23201.760000000002</v>
      </c>
      <c r="J15" s="352">
        <v>23201.72</v>
      </c>
      <c r="K15" s="352">
        <v>23201.760000000002</v>
      </c>
      <c r="L15" s="352">
        <v>23201.74</v>
      </c>
      <c r="M15" s="352">
        <v>23201.71</v>
      </c>
      <c r="N15" s="352">
        <v>23201.72</v>
      </c>
      <c r="O15" s="352">
        <v>23201.760000000002</v>
      </c>
      <c r="P15" s="352">
        <v>23201.760000000002</v>
      </c>
      <c r="Q15" s="352">
        <v>-42011.95</v>
      </c>
      <c r="R15" s="352"/>
      <c r="S15" s="352">
        <f t="shared" si="0"/>
        <v>235972.94</v>
      </c>
      <c r="T15" s="639">
        <f t="shared" si="1"/>
        <v>235972.94</v>
      </c>
      <c r="U15" s="653">
        <v>212740.68000000002</v>
      </c>
      <c r="V15" s="639">
        <f>C121</f>
        <v>159595.62999999989</v>
      </c>
      <c r="W15" s="629">
        <f t="shared" si="2"/>
        <v>608309.24999999988</v>
      </c>
      <c r="X15" s="332">
        <f t="shared" si="7"/>
        <v>608309.24999999988</v>
      </c>
      <c r="Y15" s="332">
        <f t="shared" si="3"/>
        <v>0</v>
      </c>
      <c r="Z15" s="625"/>
      <c r="AA15" s="653">
        <v>53190.52</v>
      </c>
      <c r="AC15" s="825">
        <f t="shared" si="10"/>
        <v>235972.94</v>
      </c>
      <c r="AD15" s="826"/>
      <c r="AE15" s="827">
        <f t="shared" si="4"/>
        <v>235972.94</v>
      </c>
      <c r="AF15" s="825">
        <f t="shared" si="11"/>
        <v>265931.2</v>
      </c>
      <c r="AG15" s="826"/>
      <c r="AH15" s="827">
        <f t="shared" si="8"/>
        <v>265931.2</v>
      </c>
      <c r="AI15" s="825">
        <f t="shared" si="9"/>
        <v>501904.14</v>
      </c>
      <c r="AJ15" s="829">
        <f t="shared" si="5"/>
        <v>0</v>
      </c>
      <c r="AK15" s="827">
        <f t="shared" si="6"/>
        <v>501904.14</v>
      </c>
    </row>
    <row r="16" spans="1:37" x14ac:dyDescent="0.3">
      <c r="A16" s="561" t="s">
        <v>877</v>
      </c>
      <c r="B16" s="561"/>
      <c r="C16" s="560"/>
      <c r="D16" s="559"/>
      <c r="E16" s="558"/>
      <c r="F16" s="557"/>
      <c r="G16" s="557"/>
      <c r="H16" s="557"/>
      <c r="I16" s="556"/>
      <c r="J16" s="556"/>
      <c r="K16" s="555"/>
      <c r="L16" s="555"/>
      <c r="M16" s="555"/>
      <c r="N16" s="555"/>
      <c r="O16" s="555"/>
      <c r="P16" s="555"/>
      <c r="Q16" s="555"/>
      <c r="R16" s="555"/>
      <c r="S16" s="556"/>
      <c r="T16" s="631">
        <f t="shared" si="1"/>
        <v>0</v>
      </c>
      <c r="U16" s="555">
        <v>40084.480000000003</v>
      </c>
      <c r="V16" s="555"/>
      <c r="W16" s="630">
        <v>40084.480000000003</v>
      </c>
      <c r="X16" s="555"/>
      <c r="Y16" s="555">
        <f t="shared" si="3"/>
        <v>-40084.480000000003</v>
      </c>
      <c r="Z16" s="625">
        <v>2</v>
      </c>
      <c r="AA16" s="653"/>
      <c r="AC16" s="825">
        <f t="shared" si="10"/>
        <v>0</v>
      </c>
      <c r="AD16" s="826"/>
      <c r="AE16" s="827">
        <f t="shared" si="4"/>
        <v>0</v>
      </c>
      <c r="AF16" s="825">
        <f t="shared" si="11"/>
        <v>40084.480000000003</v>
      </c>
      <c r="AG16" s="826"/>
      <c r="AH16" s="827">
        <f t="shared" si="8"/>
        <v>40084.480000000003</v>
      </c>
      <c r="AI16" s="825">
        <f t="shared" si="9"/>
        <v>40084.480000000003</v>
      </c>
      <c r="AJ16" s="829">
        <f t="shared" si="5"/>
        <v>0</v>
      </c>
      <c r="AK16" s="827">
        <f t="shared" si="6"/>
        <v>40084.480000000003</v>
      </c>
    </row>
    <row r="17" spans="1:37" x14ac:dyDescent="0.3">
      <c r="A17" s="566"/>
      <c r="B17" s="624"/>
      <c r="C17" s="554"/>
      <c r="D17" s="554"/>
      <c r="E17" s="355"/>
      <c r="F17" s="352"/>
      <c r="G17" s="354"/>
      <c r="H17" s="354"/>
      <c r="I17" s="354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519"/>
      <c r="U17" s="519"/>
      <c r="V17" s="519"/>
      <c r="W17" s="629"/>
      <c r="Y17" s="332">
        <f t="shared" si="3"/>
        <v>0</v>
      </c>
      <c r="Z17" s="625"/>
      <c r="AA17" s="625"/>
      <c r="AC17" s="830"/>
      <c r="AD17" s="826"/>
      <c r="AE17" s="831"/>
      <c r="AF17" s="830"/>
      <c r="AG17" s="826"/>
      <c r="AH17" s="831"/>
      <c r="AI17" s="825"/>
      <c r="AJ17" s="826"/>
      <c r="AK17" s="827"/>
    </row>
    <row r="18" spans="1:37" x14ac:dyDescent="0.3">
      <c r="A18" s="623"/>
      <c r="B18" s="624"/>
      <c r="C18" s="623"/>
      <c r="D18" s="623"/>
      <c r="E18" s="355"/>
      <c r="F18" s="352"/>
      <c r="G18" s="354"/>
      <c r="H18" s="354"/>
      <c r="I18" s="354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Y18" s="332"/>
      <c r="Z18" s="625"/>
      <c r="AA18" s="625"/>
      <c r="AC18" s="830"/>
      <c r="AD18" s="826"/>
      <c r="AE18" s="831"/>
      <c r="AF18" s="830"/>
      <c r="AG18" s="826"/>
      <c r="AH18" s="831"/>
      <c r="AI18" s="830"/>
      <c r="AJ18" s="826"/>
      <c r="AK18" s="831"/>
    </row>
    <row r="19" spans="1:37" ht="14.4" thickBot="1" x14ac:dyDescent="0.35">
      <c r="A19" s="622" t="s">
        <v>763</v>
      </c>
      <c r="B19" s="621"/>
      <c r="C19" s="620"/>
      <c r="D19" s="620"/>
      <c r="E19" s="351">
        <f t="shared" ref="E19:AA19" si="12">SUM(E3:E18)</f>
        <v>73172.350000000006</v>
      </c>
      <c r="F19" s="351">
        <f t="shared" si="12"/>
        <v>73172.33</v>
      </c>
      <c r="G19" s="351">
        <f t="shared" si="12"/>
        <v>68949.149999999994</v>
      </c>
      <c r="H19" s="351">
        <f t="shared" si="12"/>
        <v>69485.42</v>
      </c>
      <c r="I19" s="351">
        <f t="shared" si="12"/>
        <v>74474.09</v>
      </c>
      <c r="J19" s="351">
        <f t="shared" si="12"/>
        <v>135746.28999999998</v>
      </c>
      <c r="K19" s="351">
        <f t="shared" si="12"/>
        <v>182522.18</v>
      </c>
      <c r="L19" s="351">
        <f t="shared" si="12"/>
        <v>182522.15999999997</v>
      </c>
      <c r="M19" s="351">
        <f t="shared" si="12"/>
        <v>182521.97</v>
      </c>
      <c r="N19" s="351">
        <f t="shared" si="12"/>
        <v>182522.13000000003</v>
      </c>
      <c r="O19" s="351">
        <f t="shared" si="12"/>
        <v>182522.08000000002</v>
      </c>
      <c r="P19" s="351">
        <f t="shared" si="12"/>
        <v>182522.15000000002</v>
      </c>
      <c r="Q19" s="351">
        <f t="shared" si="12"/>
        <v>-55814.27</v>
      </c>
      <c r="R19" s="351">
        <f t="shared" si="12"/>
        <v>-8198.380000000001</v>
      </c>
      <c r="S19" s="351">
        <f t="shared" si="12"/>
        <v>1526119.65</v>
      </c>
      <c r="T19" s="351">
        <f t="shared" si="12"/>
        <v>1526119.65</v>
      </c>
      <c r="U19" s="351">
        <f>SUM(U3:U18)</f>
        <v>1390789.0371575479</v>
      </c>
      <c r="V19" s="351">
        <f t="shared" si="12"/>
        <v>-173127.02000000037</v>
      </c>
      <c r="W19" s="351">
        <f t="shared" si="12"/>
        <v>2743781.667157548</v>
      </c>
      <c r="X19" s="351">
        <f t="shared" si="12"/>
        <v>2703697.187157548</v>
      </c>
      <c r="Y19" s="351">
        <f t="shared" si="12"/>
        <v>-40084.480000000003</v>
      </c>
      <c r="Z19" s="625"/>
      <c r="AA19" s="351">
        <f t="shared" si="12"/>
        <v>62682.345411039001</v>
      </c>
      <c r="AC19" s="832">
        <f>SUM(AC5:AC18)</f>
        <v>1352124.73</v>
      </c>
      <c r="AD19" s="833">
        <f t="shared" ref="AD19:AE19" si="13">SUM(AD5:AD18)</f>
        <v>173994.91999999998</v>
      </c>
      <c r="AE19" s="834">
        <f t="shared" si="13"/>
        <v>1526119.65</v>
      </c>
      <c r="AF19" s="832">
        <f>SUM(AF5:AF18)</f>
        <v>1424661.0825685868</v>
      </c>
      <c r="AG19" s="833">
        <f t="shared" ref="AG19" si="14">SUM(AG5:AG18)</f>
        <v>28810.3</v>
      </c>
      <c r="AH19" s="834">
        <f t="shared" ref="AH19" si="15">SUM(AH5:AH18)</f>
        <v>1453471.3825685869</v>
      </c>
      <c r="AI19" s="832">
        <f>SUM(AI5:AI18)</f>
        <v>2776785.8125685873</v>
      </c>
      <c r="AJ19" s="833">
        <f t="shared" ref="AJ19" si="16">SUM(AJ5:AJ18)</f>
        <v>202805.21999999997</v>
      </c>
      <c r="AK19" s="834">
        <f t="shared" ref="AK19" si="17">SUM(AK5:AK18)</f>
        <v>2979591.0325685875</v>
      </c>
    </row>
    <row r="20" spans="1:37" ht="14.4" thickTop="1" x14ac:dyDescent="0.3">
      <c r="A20" s="628"/>
      <c r="B20" s="624"/>
      <c r="C20" s="554"/>
      <c r="D20" s="554"/>
      <c r="E20" s="355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Z20" s="625"/>
      <c r="AA20" s="625"/>
      <c r="AC20" s="825"/>
      <c r="AD20" s="826"/>
      <c r="AE20" s="831"/>
      <c r="AF20" s="830"/>
      <c r="AG20" s="826"/>
      <c r="AH20" s="827">
        <v>0</v>
      </c>
      <c r="AI20" s="830"/>
      <c r="AJ20" s="826"/>
      <c r="AK20" s="831"/>
    </row>
    <row r="21" spans="1:37" x14ac:dyDescent="0.3">
      <c r="A21" s="623"/>
      <c r="B21" s="624"/>
      <c r="C21" s="623"/>
      <c r="D21" s="623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W21" s="519"/>
      <c r="Z21" s="625"/>
      <c r="AA21" s="625"/>
      <c r="AC21" s="830"/>
      <c r="AD21" s="826"/>
      <c r="AE21" s="827"/>
      <c r="AF21" s="830"/>
      <c r="AG21" s="826"/>
      <c r="AH21" s="831"/>
      <c r="AI21" s="830"/>
      <c r="AJ21" s="826"/>
      <c r="AK21" s="831"/>
    </row>
    <row r="22" spans="1:37" x14ac:dyDescent="0.3">
      <c r="A22" s="618" t="s">
        <v>793</v>
      </c>
      <c r="B22" s="624"/>
      <c r="C22" s="623"/>
      <c r="D22" s="623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Z22" s="625"/>
      <c r="AA22" s="625"/>
      <c r="AC22" s="830"/>
      <c r="AD22" s="826"/>
      <c r="AE22" s="827"/>
      <c r="AF22" s="830"/>
      <c r="AG22" s="826"/>
      <c r="AH22" s="831"/>
      <c r="AI22" s="830"/>
      <c r="AJ22" s="826"/>
      <c r="AK22" s="831"/>
    </row>
    <row r="23" spans="1:37" x14ac:dyDescent="0.3">
      <c r="A23" s="623"/>
      <c r="B23" s="624"/>
      <c r="C23" s="554"/>
      <c r="D23" s="554"/>
      <c r="E23" s="355"/>
      <c r="F23" s="352"/>
      <c r="G23" s="354"/>
      <c r="H23" s="354"/>
      <c r="I23" s="354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Z23" s="625"/>
      <c r="AA23" s="625"/>
      <c r="AC23" s="830"/>
      <c r="AD23" s="826"/>
      <c r="AE23" s="827"/>
      <c r="AF23" s="830"/>
      <c r="AG23" s="826"/>
      <c r="AH23" s="831"/>
      <c r="AI23" s="830"/>
      <c r="AJ23" s="826"/>
      <c r="AK23" s="831"/>
    </row>
    <row r="24" spans="1:37" x14ac:dyDescent="0.3">
      <c r="A24" s="357" t="s">
        <v>792</v>
      </c>
      <c r="B24" s="624">
        <v>76110</v>
      </c>
      <c r="C24" s="623">
        <v>2003</v>
      </c>
      <c r="D24" s="623" t="s">
        <v>174</v>
      </c>
      <c r="E24" s="355">
        <v>54257.39</v>
      </c>
      <c r="F24" s="352">
        <v>54257.42</v>
      </c>
      <c r="G24" s="354">
        <v>54257.4</v>
      </c>
      <c r="H24" s="354">
        <v>53925.47</v>
      </c>
      <c r="I24" s="354">
        <v>53592.53</v>
      </c>
      <c r="J24" s="352">
        <v>53592.480000000003</v>
      </c>
      <c r="K24" s="352">
        <v>53592.5</v>
      </c>
      <c r="L24" s="352">
        <v>53592.58</v>
      </c>
      <c r="M24" s="352">
        <v>53592.54</v>
      </c>
      <c r="N24" s="352">
        <v>53592.54</v>
      </c>
      <c r="O24" s="352">
        <v>53592.56</v>
      </c>
      <c r="P24" s="352">
        <v>53592.59</v>
      </c>
      <c r="Q24" s="352"/>
      <c r="R24" s="352"/>
      <c r="S24" s="352">
        <f>SUM(E24:R24)</f>
        <v>645437.99999999988</v>
      </c>
      <c r="T24" s="644">
        <f>S24</f>
        <v>645437.99999999988</v>
      </c>
      <c r="U24" s="658">
        <v>535738.76879865013</v>
      </c>
      <c r="V24" s="644"/>
      <c r="W24" s="353"/>
      <c r="X24" s="935"/>
      <c r="Y24" s="935"/>
      <c r="Z24" s="627"/>
      <c r="AA24" s="653">
        <v>4409.5425023820007</v>
      </c>
      <c r="AC24" s="825">
        <f>T24</f>
        <v>645437.99999999988</v>
      </c>
      <c r="AD24" s="829"/>
      <c r="AE24" s="827">
        <f>SUM(AC24:AD24)</f>
        <v>645437.99999999988</v>
      </c>
      <c r="AF24" s="825">
        <f>U24+AA24</f>
        <v>540148.31130103208</v>
      </c>
      <c r="AG24" s="826"/>
      <c r="AH24" s="827">
        <f t="shared" ref="AH24:AH27" si="18">SUM(AF24:AG24)</f>
        <v>540148.31130103208</v>
      </c>
      <c r="AI24" s="825">
        <f t="shared" ref="AI24:AI27" si="19">AF24+AC24</f>
        <v>1185586.3113010321</v>
      </c>
      <c r="AJ24" s="829">
        <f t="shared" ref="AJ24:AJ27" si="20">AG24+AD24</f>
        <v>0</v>
      </c>
      <c r="AK24" s="827">
        <f t="shared" ref="AK24:AK27" si="21">AH24+AE24</f>
        <v>1185586.3113010321</v>
      </c>
    </row>
    <row r="25" spans="1:37" x14ac:dyDescent="0.3">
      <c r="A25" s="357" t="s">
        <v>791</v>
      </c>
      <c r="B25" s="624">
        <v>76111</v>
      </c>
      <c r="C25" s="623">
        <v>2003</v>
      </c>
      <c r="D25" s="623" t="s">
        <v>174</v>
      </c>
      <c r="E25" s="355">
        <v>58361.57</v>
      </c>
      <c r="F25" s="352">
        <v>58361.599999999999</v>
      </c>
      <c r="G25" s="354">
        <v>58361.579999999994</v>
      </c>
      <c r="H25" s="354">
        <v>58010.17</v>
      </c>
      <c r="I25" s="354">
        <v>57657.7</v>
      </c>
      <c r="J25" s="352">
        <v>57657.64</v>
      </c>
      <c r="K25" s="352">
        <v>57657.67</v>
      </c>
      <c r="L25" s="352">
        <v>57657.75</v>
      </c>
      <c r="M25" s="352">
        <v>57657.719999999994</v>
      </c>
      <c r="N25" s="352">
        <v>57657.71</v>
      </c>
      <c r="O25" s="352">
        <v>57657.74</v>
      </c>
      <c r="P25" s="352">
        <v>57657.77</v>
      </c>
      <c r="Q25" s="352"/>
      <c r="R25" s="352"/>
      <c r="S25" s="352">
        <f>SUM(E25:R25)</f>
        <v>694356.62</v>
      </c>
      <c r="T25" s="644">
        <f>S25</f>
        <v>694356.62</v>
      </c>
      <c r="U25" s="658">
        <v>580610.28404380195</v>
      </c>
      <c r="V25" s="644"/>
      <c r="W25" s="353"/>
      <c r="X25" s="935"/>
      <c r="Y25" s="935"/>
      <c r="Z25" s="627"/>
      <c r="AA25" s="653">
        <v>4159.4220865789976</v>
      </c>
      <c r="AC25" s="825">
        <f>T25</f>
        <v>694356.62</v>
      </c>
      <c r="AD25" s="829"/>
      <c r="AE25" s="827">
        <f>SUM(AC25:AD25)</f>
        <v>694356.62</v>
      </c>
      <c r="AF25" s="825">
        <f>U25+AA25</f>
        <v>584769.70613038098</v>
      </c>
      <c r="AG25" s="826"/>
      <c r="AH25" s="827">
        <f t="shared" si="18"/>
        <v>584769.70613038098</v>
      </c>
      <c r="AI25" s="825">
        <f t="shared" si="19"/>
        <v>1279126.3261303809</v>
      </c>
      <c r="AJ25" s="829">
        <f t="shared" si="20"/>
        <v>0</v>
      </c>
      <c r="AK25" s="827">
        <f t="shared" si="21"/>
        <v>1279126.3261303809</v>
      </c>
    </row>
    <row r="26" spans="1:37" x14ac:dyDescent="0.3">
      <c r="A26" s="356" t="s">
        <v>785</v>
      </c>
      <c r="B26" s="626">
        <v>13084613</v>
      </c>
      <c r="C26" s="623">
        <v>2013</v>
      </c>
      <c r="D26" s="623" t="s">
        <v>280</v>
      </c>
      <c r="E26" s="355">
        <v>2663.94</v>
      </c>
      <c r="F26" s="352">
        <v>2663.94</v>
      </c>
      <c r="G26" s="354">
        <v>2669.14</v>
      </c>
      <c r="H26" s="354">
        <v>2674.37</v>
      </c>
      <c r="I26" s="354">
        <v>2674.36</v>
      </c>
      <c r="J26" s="352">
        <v>2674.37</v>
      </c>
      <c r="K26" s="352">
        <v>2674.37</v>
      </c>
      <c r="L26" s="352">
        <v>2674.37</v>
      </c>
      <c r="M26" s="352">
        <v>2674.37</v>
      </c>
      <c r="N26" s="352">
        <v>2674.37</v>
      </c>
      <c r="O26" s="352">
        <v>2674.37</v>
      </c>
      <c r="P26" s="352">
        <v>2674.37</v>
      </c>
      <c r="Q26" s="352">
        <v>-1631.4</v>
      </c>
      <c r="R26" s="352"/>
      <c r="S26" s="352">
        <f>SUM(E26:R26)</f>
        <v>30434.939999999991</v>
      </c>
      <c r="T26" s="644">
        <f>S26</f>
        <v>30434.939999999991</v>
      </c>
      <c r="U26" s="658">
        <v>10965.29</v>
      </c>
      <c r="V26" s="644">
        <f>C125</f>
        <v>8148.3699999999953</v>
      </c>
      <c r="W26" s="353"/>
      <c r="X26" s="935"/>
      <c r="Y26" s="935"/>
      <c r="Z26" s="625"/>
      <c r="AA26" s="653">
        <v>2186.73</v>
      </c>
      <c r="AC26" s="825">
        <f>T26</f>
        <v>30434.939999999991</v>
      </c>
      <c r="AD26" s="829"/>
      <c r="AE26" s="827">
        <f>SUM(AC26:AD26)</f>
        <v>30434.939999999991</v>
      </c>
      <c r="AF26" s="825">
        <f>U26+AA26</f>
        <v>13152.02</v>
      </c>
      <c r="AG26" s="829"/>
      <c r="AH26" s="827">
        <f t="shared" si="18"/>
        <v>13152.02</v>
      </c>
      <c r="AI26" s="825">
        <f t="shared" si="19"/>
        <v>43586.959999999992</v>
      </c>
      <c r="AJ26" s="829">
        <f t="shared" si="20"/>
        <v>0</v>
      </c>
      <c r="AK26" s="827">
        <f t="shared" si="21"/>
        <v>43586.959999999992</v>
      </c>
    </row>
    <row r="27" spans="1:37" x14ac:dyDescent="0.3">
      <c r="A27" s="356" t="s">
        <v>786</v>
      </c>
      <c r="B27" s="568">
        <v>13056748</v>
      </c>
      <c r="C27" s="623">
        <v>2013</v>
      </c>
      <c r="D27" s="623" t="s">
        <v>152</v>
      </c>
      <c r="E27" s="355">
        <v>15388.83</v>
      </c>
      <c r="F27" s="352">
        <v>15388.83</v>
      </c>
      <c r="G27" s="354">
        <v>15332.73</v>
      </c>
      <c r="H27" s="354">
        <v>15275.18</v>
      </c>
      <c r="I27" s="354">
        <v>15275.18</v>
      </c>
      <c r="J27" s="352">
        <v>15275.17</v>
      </c>
      <c r="K27" s="352">
        <v>15275.17</v>
      </c>
      <c r="L27" s="352">
        <v>15275.18</v>
      </c>
      <c r="M27" s="352">
        <v>15275.18</v>
      </c>
      <c r="N27" s="352">
        <v>15275.17</v>
      </c>
      <c r="O27" s="352"/>
      <c r="P27" s="352">
        <v>0</v>
      </c>
      <c r="Q27" s="352">
        <v>4431.59</v>
      </c>
      <c r="R27" s="352"/>
      <c r="S27" s="352">
        <f>SUM(E27:R27)</f>
        <v>157468.21</v>
      </c>
      <c r="T27" s="332">
        <f>S27</f>
        <v>157468.21</v>
      </c>
      <c r="U27" s="332">
        <v>13504.32</v>
      </c>
      <c r="V27" s="332">
        <f>C124</f>
        <v>-3186.4800000000978</v>
      </c>
      <c r="W27" s="353"/>
      <c r="X27" s="935"/>
      <c r="Y27" s="935"/>
      <c r="Z27" s="625"/>
      <c r="AA27" s="653">
        <v>1281.28</v>
      </c>
      <c r="AC27" s="825">
        <f>(T27)*0.6718</f>
        <v>105787.14347799998</v>
      </c>
      <c r="AD27" s="829">
        <f>(T27)*0.3282</f>
        <v>51681.066521999994</v>
      </c>
      <c r="AE27" s="827">
        <f>SUM(AC27:AD27)</f>
        <v>157468.20999999996</v>
      </c>
      <c r="AF27" s="825">
        <f>(U27+AA27)*0.6718</f>
        <v>9932.9660800000001</v>
      </c>
      <c r="AG27" s="829">
        <f>(U27+AA27)*0.3282</f>
        <v>4852.6339200000002</v>
      </c>
      <c r="AH27" s="827">
        <f t="shared" si="18"/>
        <v>14785.6</v>
      </c>
      <c r="AI27" s="825">
        <f t="shared" si="19"/>
        <v>115720.10955799998</v>
      </c>
      <c r="AJ27" s="829">
        <f t="shared" si="20"/>
        <v>56533.700441999994</v>
      </c>
      <c r="AK27" s="827">
        <f t="shared" si="21"/>
        <v>172253.80999999997</v>
      </c>
    </row>
    <row r="28" spans="1:37" x14ac:dyDescent="0.3">
      <c r="A28" s="566"/>
      <c r="B28" s="624"/>
      <c r="C28" s="623"/>
      <c r="D28" s="623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32"/>
      <c r="U28" s="519"/>
      <c r="V28" s="519"/>
      <c r="W28" s="532"/>
      <c r="X28" s="344"/>
      <c r="Y28" s="532"/>
      <c r="Z28" s="517"/>
      <c r="AA28" s="653"/>
      <c r="AC28" s="830"/>
      <c r="AD28" s="829"/>
      <c r="AE28" s="827"/>
      <c r="AF28" s="830"/>
      <c r="AG28" s="826"/>
      <c r="AH28" s="831"/>
      <c r="AI28" s="830"/>
      <c r="AJ28" s="826"/>
      <c r="AK28" s="831"/>
    </row>
    <row r="29" spans="1:37" ht="14.4" thickBot="1" x14ac:dyDescent="0.35">
      <c r="A29" s="622" t="s">
        <v>790</v>
      </c>
      <c r="B29" s="621"/>
      <c r="C29" s="620"/>
      <c r="D29" s="620"/>
      <c r="E29" s="351">
        <f t="shared" ref="E29:S29" si="22">SUM(E24:E27)</f>
        <v>130671.73</v>
      </c>
      <c r="F29" s="351">
        <f t="shared" si="22"/>
        <v>130671.79</v>
      </c>
      <c r="G29" s="351">
        <f t="shared" si="22"/>
        <v>130620.84999999999</v>
      </c>
      <c r="H29" s="351">
        <f t="shared" si="22"/>
        <v>129885.19</v>
      </c>
      <c r="I29" s="351">
        <f t="shared" si="22"/>
        <v>129199.76999999999</v>
      </c>
      <c r="J29" s="351">
        <f t="shared" si="22"/>
        <v>129199.65999999999</v>
      </c>
      <c r="K29" s="351">
        <f t="shared" si="22"/>
        <v>129199.70999999999</v>
      </c>
      <c r="L29" s="351">
        <f t="shared" si="22"/>
        <v>129199.88</v>
      </c>
      <c r="M29" s="351">
        <f t="shared" si="22"/>
        <v>129199.81</v>
      </c>
      <c r="N29" s="351">
        <f t="shared" si="22"/>
        <v>129199.79</v>
      </c>
      <c r="O29" s="351">
        <f t="shared" si="22"/>
        <v>113924.66999999998</v>
      </c>
      <c r="P29" s="351">
        <f t="shared" si="22"/>
        <v>113924.72999999998</v>
      </c>
      <c r="Q29" s="351">
        <f t="shared" si="22"/>
        <v>2800.19</v>
      </c>
      <c r="R29" s="351">
        <f t="shared" si="22"/>
        <v>0</v>
      </c>
      <c r="S29" s="351">
        <f t="shared" si="22"/>
        <v>1527697.7699999998</v>
      </c>
      <c r="T29" s="351">
        <f>SUM(T24:T28)</f>
        <v>1527697.7699999998</v>
      </c>
      <c r="U29" s="351">
        <f>SUM(U24:U28)</f>
        <v>1140818.6628424523</v>
      </c>
      <c r="V29" s="351">
        <f>SUM(V24:V28)</f>
        <v>4961.8899999998976</v>
      </c>
      <c r="W29" s="351">
        <f>SUM(W24:W27)</f>
        <v>0</v>
      </c>
      <c r="X29" s="351">
        <f>SUM(X24:X27)</f>
        <v>0</v>
      </c>
      <c r="Y29" s="351">
        <f>SUM(Y24:Y27)</f>
        <v>0</v>
      </c>
      <c r="AA29" s="351">
        <f>SUM(AA24:AA27)</f>
        <v>12036.974588960999</v>
      </c>
      <c r="AC29" s="832">
        <f t="shared" ref="AC29:AH29" si="23">SUM(AC24:AC28)</f>
        <v>1476016.7034779999</v>
      </c>
      <c r="AD29" s="833">
        <f t="shared" si="23"/>
        <v>51681.066521999994</v>
      </c>
      <c r="AE29" s="834">
        <f t="shared" si="23"/>
        <v>1527697.7699999998</v>
      </c>
      <c r="AF29" s="832">
        <f t="shared" si="23"/>
        <v>1148003.003511413</v>
      </c>
      <c r="AG29" s="833">
        <f t="shared" si="23"/>
        <v>4852.6339200000002</v>
      </c>
      <c r="AH29" s="834">
        <f t="shared" si="23"/>
        <v>1152855.6374314132</v>
      </c>
      <c r="AI29" s="832">
        <f t="shared" ref="AI29:AK29" si="24">SUM(AI24:AI28)</f>
        <v>2624019.7069894127</v>
      </c>
      <c r="AJ29" s="833">
        <f t="shared" si="24"/>
        <v>56533.700441999994</v>
      </c>
      <c r="AK29" s="834">
        <f t="shared" si="24"/>
        <v>2680553.407431413</v>
      </c>
    </row>
    <row r="30" spans="1:37" ht="14.4" thickTop="1" x14ac:dyDescent="0.3">
      <c r="A30" s="618"/>
      <c r="B30" s="619"/>
      <c r="C30" s="618"/>
      <c r="D30" s="618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AC30" s="830"/>
      <c r="AD30" s="826"/>
      <c r="AE30" s="827"/>
      <c r="AF30" s="830"/>
      <c r="AG30" s="826"/>
      <c r="AH30" s="831"/>
      <c r="AI30" s="830"/>
      <c r="AJ30" s="826"/>
      <c r="AK30" s="831"/>
    </row>
    <row r="31" spans="1:37" ht="14.4" thickBot="1" x14ac:dyDescent="0.35">
      <c r="A31" s="617" t="s">
        <v>789</v>
      </c>
      <c r="B31" s="616"/>
      <c r="C31" s="615"/>
      <c r="D31" s="615"/>
      <c r="E31" s="349">
        <f t="shared" ref="E31:AA31" si="25">E29+E19</f>
        <v>203844.08000000002</v>
      </c>
      <c r="F31" s="349">
        <f t="shared" si="25"/>
        <v>203844.12</v>
      </c>
      <c r="G31" s="349">
        <f t="shared" si="25"/>
        <v>199570</v>
      </c>
      <c r="H31" s="349">
        <f t="shared" si="25"/>
        <v>199370.61</v>
      </c>
      <c r="I31" s="349">
        <f t="shared" si="25"/>
        <v>203673.86</v>
      </c>
      <c r="J31" s="349">
        <f t="shared" si="25"/>
        <v>264945.94999999995</v>
      </c>
      <c r="K31" s="349">
        <f t="shared" si="25"/>
        <v>311721.89</v>
      </c>
      <c r="L31" s="349">
        <f t="shared" si="25"/>
        <v>311722.03999999998</v>
      </c>
      <c r="M31" s="349">
        <f t="shared" si="25"/>
        <v>311721.78000000003</v>
      </c>
      <c r="N31" s="349">
        <f t="shared" si="25"/>
        <v>311721.92000000004</v>
      </c>
      <c r="O31" s="349">
        <f t="shared" si="25"/>
        <v>296446.75</v>
      </c>
      <c r="P31" s="349">
        <f t="shared" si="25"/>
        <v>296446.88</v>
      </c>
      <c r="Q31" s="349">
        <f t="shared" si="25"/>
        <v>-53014.079999999994</v>
      </c>
      <c r="R31" s="349">
        <f t="shared" si="25"/>
        <v>-8198.380000000001</v>
      </c>
      <c r="S31" s="349">
        <f t="shared" si="25"/>
        <v>3053817.42</v>
      </c>
      <c r="T31" s="349">
        <f t="shared" si="25"/>
        <v>3053817.42</v>
      </c>
      <c r="U31" s="349">
        <f t="shared" si="25"/>
        <v>2531607.7000000002</v>
      </c>
      <c r="V31" s="349">
        <f t="shared" si="25"/>
        <v>-168165.13000000047</v>
      </c>
      <c r="W31" s="349">
        <f t="shared" si="25"/>
        <v>2743781.667157548</v>
      </c>
      <c r="X31" s="349">
        <f t="shared" si="25"/>
        <v>2703697.187157548</v>
      </c>
      <c r="Y31" s="349">
        <f t="shared" si="25"/>
        <v>-40084.480000000003</v>
      </c>
      <c r="AA31" s="349">
        <f t="shared" si="25"/>
        <v>74719.320000000007</v>
      </c>
      <c r="AC31" s="835">
        <f>AC19+AC29</f>
        <v>2828141.4334779996</v>
      </c>
      <c r="AD31" s="836">
        <f t="shared" ref="AD31:AK31" si="26">AD19+AD29</f>
        <v>225675.98652199999</v>
      </c>
      <c r="AE31" s="837">
        <f t="shared" si="26"/>
        <v>3053817.42</v>
      </c>
      <c r="AF31" s="835">
        <f t="shared" si="26"/>
        <v>2572664.0860799998</v>
      </c>
      <c r="AG31" s="836">
        <f t="shared" si="26"/>
        <v>33662.933919999996</v>
      </c>
      <c r="AH31" s="837">
        <f t="shared" si="26"/>
        <v>2606327.02</v>
      </c>
      <c r="AI31" s="835">
        <f t="shared" si="26"/>
        <v>5400805.5195579994</v>
      </c>
      <c r="AJ31" s="836">
        <f t="shared" si="26"/>
        <v>259338.92044199997</v>
      </c>
      <c r="AK31" s="837">
        <f t="shared" si="26"/>
        <v>5660144.4400000004</v>
      </c>
    </row>
    <row r="32" spans="1:37" ht="14.4" thickTop="1" x14ac:dyDescent="0.3">
      <c r="T32" s="806">
        <f>T31+V31</f>
        <v>2885652.2899999996</v>
      </c>
      <c r="U32" s="519"/>
      <c r="V32" s="519"/>
      <c r="AC32" s="830"/>
      <c r="AD32" s="826"/>
      <c r="AE32" s="827">
        <f>T31-AE31</f>
        <v>0</v>
      </c>
      <c r="AF32" s="838">
        <f>'Elec Accretion'!D81-AF31</f>
        <v>0</v>
      </c>
      <c r="AG32" s="826"/>
      <c r="AH32" s="827">
        <f>U31+AA31-AH31</f>
        <v>0</v>
      </c>
      <c r="AI32" s="830"/>
      <c r="AJ32" s="826"/>
      <c r="AK32" s="831"/>
    </row>
    <row r="33" spans="1:37" ht="14.4" thickBot="1" x14ac:dyDescent="0.35">
      <c r="A33" s="348" t="s">
        <v>788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AC33" s="825">
        <f ca="1">[2]Detail!$G$235-AC31</f>
        <v>0</v>
      </c>
      <c r="AD33" s="829">
        <f ca="1">[2]Detail!$H$235-AD31</f>
        <v>0</v>
      </c>
      <c r="AE33" s="827">
        <f ca="1">[2]Detail!$I$235-AE31</f>
        <v>0</v>
      </c>
      <c r="AF33" s="825">
        <f ca="1">[2]Detail!$G$240-AF31</f>
        <v>0</v>
      </c>
      <c r="AG33" s="829">
        <f ca="1">[2]Detail!$H$240-AG31</f>
        <v>0</v>
      </c>
      <c r="AH33" s="827">
        <f ca="1">[2]Detail!$I$240-AH31</f>
        <v>0</v>
      </c>
      <c r="AI33" s="830"/>
      <c r="AJ33" s="826"/>
      <c r="AK33" s="831"/>
    </row>
    <row r="34" spans="1:37" hidden="1" x14ac:dyDescent="0.3">
      <c r="A34" s="566" t="s">
        <v>876</v>
      </c>
      <c r="B34" s="515"/>
      <c r="C34" s="517"/>
      <c r="D34" s="517"/>
      <c r="G34" s="356"/>
      <c r="X34" s="515"/>
    </row>
    <row r="35" spans="1:37" hidden="1" x14ac:dyDescent="0.3">
      <c r="A35" s="566"/>
      <c r="B35" s="515"/>
      <c r="C35" s="517"/>
      <c r="D35" s="517"/>
      <c r="G35" s="356"/>
      <c r="X35" s="515"/>
    </row>
    <row r="36" spans="1:37" s="569" customFormat="1" hidden="1" x14ac:dyDescent="0.3">
      <c r="A36" s="604" t="s">
        <v>783</v>
      </c>
      <c r="C36" s="573"/>
      <c r="D36" s="573"/>
      <c r="H36" s="572"/>
      <c r="J36" s="571"/>
      <c r="K36" s="570"/>
      <c r="L36" s="570"/>
      <c r="M36" s="570"/>
    </row>
    <row r="37" spans="1:37" s="569" customFormat="1" hidden="1" x14ac:dyDescent="0.3">
      <c r="A37" s="608" t="s">
        <v>782</v>
      </c>
      <c r="C37" s="573"/>
      <c r="D37" s="573"/>
      <c r="H37" s="572"/>
      <c r="I37" s="608" t="s">
        <v>875</v>
      </c>
      <c r="J37" s="597"/>
      <c r="K37" s="597"/>
      <c r="L37" s="603"/>
      <c r="M37" s="340"/>
      <c r="N37" s="572"/>
      <c r="O37" s="572"/>
    </row>
    <row r="38" spans="1:37" s="569" customFormat="1" ht="12.75" hidden="1" customHeight="1" x14ac:dyDescent="0.3">
      <c r="A38" s="614" t="s">
        <v>874</v>
      </c>
      <c r="B38" s="614"/>
      <c r="C38" s="614"/>
      <c r="D38" s="614"/>
      <c r="E38" s="614"/>
      <c r="F38" s="614"/>
      <c r="G38" s="614"/>
      <c r="H38" s="614"/>
      <c r="J38" s="570"/>
      <c r="K38" s="552"/>
      <c r="L38" s="336"/>
      <c r="M38" s="553"/>
      <c r="N38" s="572"/>
      <c r="O38" s="572"/>
    </row>
    <row r="39" spans="1:37" s="569" customFormat="1" ht="7.5" hidden="1" customHeight="1" x14ac:dyDescent="0.3">
      <c r="A39" s="614"/>
      <c r="B39" s="614"/>
      <c r="C39" s="614"/>
      <c r="D39" s="614"/>
      <c r="E39" s="614"/>
      <c r="F39" s="614"/>
      <c r="G39" s="614"/>
      <c r="H39" s="614"/>
      <c r="J39" s="570"/>
      <c r="K39" s="552"/>
      <c r="L39" s="336"/>
      <c r="M39" s="551">
        <v>2.6166666666666664E-3</v>
      </c>
      <c r="N39" s="549" t="s">
        <v>873</v>
      </c>
      <c r="O39" s="572"/>
    </row>
    <row r="40" spans="1:37" s="569" customFormat="1" hidden="1" x14ac:dyDescent="0.3">
      <c r="A40" s="614"/>
      <c r="B40" s="614"/>
      <c r="C40" s="614"/>
      <c r="D40" s="550" t="s">
        <v>881</v>
      </c>
      <c r="E40" s="551">
        <v>2.6166666666666664E-3</v>
      </c>
      <c r="F40" s="549" t="s">
        <v>873</v>
      </c>
      <c r="G40" s="614"/>
      <c r="H40" s="614"/>
      <c r="J40" s="611"/>
      <c r="K40" s="611"/>
      <c r="L40" s="550" t="s">
        <v>882</v>
      </c>
      <c r="M40" s="613">
        <f>0.0321/12</f>
        <v>2.6749999999999999E-3</v>
      </c>
      <c r="N40" s="549" t="s">
        <v>872</v>
      </c>
      <c r="O40" s="340"/>
    </row>
    <row r="41" spans="1:37" s="569" customFormat="1" hidden="1" x14ac:dyDescent="0.3">
      <c r="A41" s="608"/>
      <c r="B41" s="611"/>
      <c r="C41" s="611"/>
      <c r="D41" s="550" t="s">
        <v>881</v>
      </c>
      <c r="E41" s="613">
        <f>0.0321/12</f>
        <v>2.6749999999999999E-3</v>
      </c>
      <c r="F41" s="549" t="s">
        <v>872</v>
      </c>
      <c r="G41" s="340"/>
      <c r="J41" s="584" t="s">
        <v>871</v>
      </c>
      <c r="K41" s="584" t="s">
        <v>781</v>
      </c>
      <c r="L41" s="583" t="s">
        <v>780</v>
      </c>
      <c r="M41" s="583" t="s">
        <v>779</v>
      </c>
      <c r="N41" s="340"/>
      <c r="O41" s="340"/>
    </row>
    <row r="42" spans="1:37" s="569" customFormat="1" hidden="1" x14ac:dyDescent="0.3">
      <c r="A42" s="608"/>
      <c r="B42" s="584" t="s">
        <v>870</v>
      </c>
      <c r="C42" s="584" t="s">
        <v>781</v>
      </c>
      <c r="D42" s="612" t="s">
        <v>780</v>
      </c>
      <c r="E42" s="612" t="s">
        <v>779</v>
      </c>
      <c r="F42" s="340"/>
      <c r="G42" s="340"/>
      <c r="H42" s="572"/>
      <c r="I42" s="572"/>
      <c r="J42" s="580">
        <v>42278</v>
      </c>
      <c r="K42" s="336">
        <v>1218780.8085165303</v>
      </c>
      <c r="L42" s="541">
        <f>+K42*$M$39</f>
        <v>3189.1431156182539</v>
      </c>
      <c r="M42" s="548">
        <f t="shared" ref="M42:M53" si="27">+K42+L42</f>
        <v>1221969.9516321486</v>
      </c>
      <c r="N42" s="539"/>
      <c r="O42" s="539"/>
    </row>
    <row r="43" spans="1:37" s="569" customFormat="1" hidden="1" x14ac:dyDescent="0.3">
      <c r="A43" s="608"/>
      <c r="B43" s="611">
        <v>42278</v>
      </c>
      <c r="C43" s="336">
        <v>2225366.9350288869</v>
      </c>
      <c r="D43" s="337">
        <f>+C43*$E$40</f>
        <v>5823.0434799922532</v>
      </c>
      <c r="E43" s="340">
        <f t="shared" ref="E43:E56" si="28">+C43+D43</f>
        <v>2231189.978508879</v>
      </c>
      <c r="F43" s="340"/>
      <c r="G43" s="340"/>
      <c r="H43" s="572"/>
      <c r="I43" s="572"/>
      <c r="J43" s="609">
        <v>42309</v>
      </c>
      <c r="K43" s="543">
        <f>+M42</f>
        <v>1221969.9516321486</v>
      </c>
      <c r="L43" s="541">
        <f>+K43*$M$39</f>
        <v>3197.4880401041219</v>
      </c>
      <c r="M43" s="547">
        <f t="shared" si="27"/>
        <v>1225167.4396722526</v>
      </c>
      <c r="N43" s="539"/>
      <c r="O43" s="539"/>
    </row>
    <row r="44" spans="1:37" s="569" customFormat="1" hidden="1" x14ac:dyDescent="0.3">
      <c r="A44" s="608"/>
      <c r="B44" s="609">
        <v>42309</v>
      </c>
      <c r="C44" s="543">
        <f>+E43</f>
        <v>2231189.978508879</v>
      </c>
      <c r="D44" s="337">
        <f>+C44*$E$40</f>
        <v>5838.2804437648992</v>
      </c>
      <c r="E44" s="542">
        <f t="shared" si="28"/>
        <v>2237028.2589526437</v>
      </c>
      <c r="F44" s="340"/>
      <c r="G44" s="340"/>
      <c r="H44" s="572"/>
      <c r="I44" s="572"/>
      <c r="J44" s="579">
        <v>42339</v>
      </c>
      <c r="K44" s="338">
        <f>+M43</f>
        <v>1225167.4396722526</v>
      </c>
      <c r="L44" s="541">
        <f>+K44*$M$39</f>
        <v>3205.8548004757276</v>
      </c>
      <c r="M44" s="546">
        <f t="shared" si="27"/>
        <v>1228373.2944727284</v>
      </c>
      <c r="N44" s="340"/>
      <c r="O44" s="539"/>
    </row>
    <row r="45" spans="1:37" s="569" customFormat="1" hidden="1" x14ac:dyDescent="0.3">
      <c r="A45" s="608"/>
      <c r="B45" s="579">
        <v>42339</v>
      </c>
      <c r="C45" s="338">
        <f>+E44</f>
        <v>2237028.2589526437</v>
      </c>
      <c r="D45" s="337">
        <f>+C45*$E$40</f>
        <v>5853.5572775927503</v>
      </c>
      <c r="E45" s="342">
        <f t="shared" si="28"/>
        <v>2242881.8162302366</v>
      </c>
      <c r="F45" s="340"/>
      <c r="G45" s="340"/>
      <c r="H45" s="572"/>
      <c r="J45" s="611">
        <v>42370</v>
      </c>
      <c r="K45" s="340">
        <v>1228730.68</v>
      </c>
      <c r="L45" s="541">
        <f t="shared" ref="L45:L53" si="29">+ROUND(K45*$M$40,2)</f>
        <v>3286.85</v>
      </c>
      <c r="M45" s="340">
        <f t="shared" si="27"/>
        <v>1232017.53</v>
      </c>
      <c r="N45" s="340"/>
      <c r="O45" s="340"/>
    </row>
    <row r="46" spans="1:37" s="569" customFormat="1" hidden="1" x14ac:dyDescent="0.3">
      <c r="A46" s="608"/>
      <c r="B46" s="610">
        <v>42370</v>
      </c>
      <c r="C46" s="545">
        <v>2243534.36</v>
      </c>
      <c r="D46" s="538">
        <f t="shared" ref="D46:D56" si="30">+ROUND(C46*$E$41,2)</f>
        <v>6001.45</v>
      </c>
      <c r="E46" s="544">
        <f t="shared" si="28"/>
        <v>2249535.81</v>
      </c>
      <c r="F46" s="340"/>
      <c r="G46" s="340"/>
      <c r="H46" s="572"/>
      <c r="J46" s="610">
        <v>42401</v>
      </c>
      <c r="K46" s="545">
        <f t="shared" ref="K46:K53" si="31">+M45</f>
        <v>1232017.53</v>
      </c>
      <c r="L46" s="541">
        <f t="shared" si="29"/>
        <v>3295.65</v>
      </c>
      <c r="M46" s="544">
        <f t="shared" si="27"/>
        <v>1235313.18</v>
      </c>
      <c r="N46" s="340"/>
      <c r="O46" s="340"/>
    </row>
    <row r="47" spans="1:37" s="569" customFormat="1" hidden="1" x14ac:dyDescent="0.3">
      <c r="A47" s="608"/>
      <c r="B47" s="610">
        <v>42401</v>
      </c>
      <c r="C47" s="545">
        <f t="shared" ref="C47:C54" si="32">+E46</f>
        <v>2249535.81</v>
      </c>
      <c r="D47" s="538">
        <f t="shared" si="30"/>
        <v>6017.51</v>
      </c>
      <c r="E47" s="544">
        <f t="shared" si="28"/>
        <v>2255553.3199999998</v>
      </c>
      <c r="F47" s="340"/>
      <c r="G47" s="340"/>
      <c r="H47" s="572"/>
      <c r="J47" s="609">
        <v>42430</v>
      </c>
      <c r="K47" s="543">
        <f t="shared" si="31"/>
        <v>1235313.18</v>
      </c>
      <c r="L47" s="541">
        <f t="shared" si="29"/>
        <v>3304.46</v>
      </c>
      <c r="M47" s="542">
        <f t="shared" si="27"/>
        <v>1238617.6399999999</v>
      </c>
      <c r="N47" s="340"/>
      <c r="O47" s="340"/>
    </row>
    <row r="48" spans="1:37" s="569" customFormat="1" hidden="1" x14ac:dyDescent="0.3">
      <c r="A48" s="608"/>
      <c r="B48" s="610">
        <v>42430</v>
      </c>
      <c r="C48" s="545">
        <f t="shared" si="32"/>
        <v>2255553.3199999998</v>
      </c>
      <c r="D48" s="538">
        <f t="shared" si="30"/>
        <v>6033.61</v>
      </c>
      <c r="E48" s="544">
        <f t="shared" si="28"/>
        <v>2261586.9299999997</v>
      </c>
      <c r="F48" s="340"/>
      <c r="G48" s="340"/>
      <c r="H48" s="572"/>
      <c r="J48" s="610">
        <v>42461</v>
      </c>
      <c r="K48" s="545">
        <f t="shared" si="31"/>
        <v>1238617.6399999999</v>
      </c>
      <c r="L48" s="541">
        <f t="shared" si="29"/>
        <v>3313.3</v>
      </c>
      <c r="M48" s="544">
        <f t="shared" si="27"/>
        <v>1241930.94</v>
      </c>
      <c r="N48" s="340"/>
      <c r="O48" s="340"/>
    </row>
    <row r="49" spans="1:21" s="569" customFormat="1" hidden="1" x14ac:dyDescent="0.3">
      <c r="A49" s="608"/>
      <c r="B49" s="610">
        <v>42461</v>
      </c>
      <c r="C49" s="545">
        <f t="shared" si="32"/>
        <v>2261586.9299999997</v>
      </c>
      <c r="D49" s="538">
        <f t="shared" si="30"/>
        <v>6049.75</v>
      </c>
      <c r="E49" s="544">
        <f t="shared" si="28"/>
        <v>2267636.6799999997</v>
      </c>
      <c r="F49" s="340"/>
      <c r="G49" s="340"/>
      <c r="H49" s="572"/>
      <c r="J49" s="610">
        <v>42491</v>
      </c>
      <c r="K49" s="545">
        <f t="shared" si="31"/>
        <v>1241930.94</v>
      </c>
      <c r="L49" s="541">
        <f t="shared" si="29"/>
        <v>3322.17</v>
      </c>
      <c r="M49" s="544">
        <f t="shared" si="27"/>
        <v>1245253.1099999999</v>
      </c>
      <c r="N49" s="340"/>
      <c r="O49" s="340"/>
    </row>
    <row r="50" spans="1:21" s="569" customFormat="1" hidden="1" x14ac:dyDescent="0.3">
      <c r="A50" s="608"/>
      <c r="B50" s="610">
        <v>42491</v>
      </c>
      <c r="C50" s="545">
        <f t="shared" si="32"/>
        <v>2267636.6799999997</v>
      </c>
      <c r="D50" s="538">
        <f t="shared" si="30"/>
        <v>6065.93</v>
      </c>
      <c r="E50" s="544">
        <f t="shared" si="28"/>
        <v>2273702.61</v>
      </c>
      <c r="F50" s="340"/>
      <c r="G50" s="340"/>
      <c r="H50" s="572"/>
      <c r="J50" s="610">
        <v>42522</v>
      </c>
      <c r="K50" s="545">
        <f t="shared" si="31"/>
        <v>1245253.1099999999</v>
      </c>
      <c r="L50" s="541">
        <f t="shared" si="29"/>
        <v>3331.05</v>
      </c>
      <c r="M50" s="544">
        <f t="shared" si="27"/>
        <v>1248584.1599999999</v>
      </c>
      <c r="N50" s="340"/>
      <c r="O50" s="340"/>
    </row>
    <row r="51" spans="1:21" s="569" customFormat="1" ht="13.5" hidden="1" customHeight="1" x14ac:dyDescent="0.3">
      <c r="A51" s="608"/>
      <c r="B51" s="610">
        <v>42522</v>
      </c>
      <c r="C51" s="545">
        <f t="shared" si="32"/>
        <v>2273702.61</v>
      </c>
      <c r="D51" s="538">
        <f t="shared" si="30"/>
        <v>6082.15</v>
      </c>
      <c r="E51" s="544">
        <f t="shared" si="28"/>
        <v>2279784.7599999998</v>
      </c>
      <c r="F51" s="340"/>
      <c r="G51" s="340"/>
      <c r="H51" s="572"/>
      <c r="J51" s="609">
        <v>42552</v>
      </c>
      <c r="K51" s="543">
        <f t="shared" si="31"/>
        <v>1248584.1599999999</v>
      </c>
      <c r="L51" s="541">
        <f t="shared" si="29"/>
        <v>3339.96</v>
      </c>
      <c r="M51" s="542">
        <f t="shared" si="27"/>
        <v>1251924.1199999999</v>
      </c>
      <c r="N51" s="340"/>
      <c r="O51" s="340"/>
    </row>
    <row r="52" spans="1:21" s="569" customFormat="1" hidden="1" x14ac:dyDescent="0.3">
      <c r="A52" s="608"/>
      <c r="B52" s="609">
        <v>42552</v>
      </c>
      <c r="C52" s="543">
        <f t="shared" si="32"/>
        <v>2279784.7599999998</v>
      </c>
      <c r="D52" s="538">
        <f t="shared" si="30"/>
        <v>6098.42</v>
      </c>
      <c r="E52" s="542">
        <f t="shared" si="28"/>
        <v>2285883.1799999997</v>
      </c>
      <c r="F52" s="340"/>
      <c r="G52" s="340"/>
      <c r="H52" s="572"/>
      <c r="J52" s="579">
        <v>42583</v>
      </c>
      <c r="K52" s="338">
        <f t="shared" si="31"/>
        <v>1251924.1199999999</v>
      </c>
      <c r="L52" s="541">
        <f t="shared" si="29"/>
        <v>3348.9</v>
      </c>
      <c r="M52" s="342">
        <f t="shared" si="27"/>
        <v>1255273.0199999998</v>
      </c>
      <c r="N52" s="340"/>
      <c r="O52" s="340"/>
    </row>
    <row r="53" spans="1:21" s="569" customFormat="1" hidden="1" x14ac:dyDescent="0.3">
      <c r="A53" s="608"/>
      <c r="B53" s="579">
        <v>42583</v>
      </c>
      <c r="C53" s="338">
        <f t="shared" si="32"/>
        <v>2285883.1799999997</v>
      </c>
      <c r="D53" s="538">
        <f t="shared" si="30"/>
        <v>6114.74</v>
      </c>
      <c r="E53" s="342">
        <f t="shared" si="28"/>
        <v>2291997.92</v>
      </c>
      <c r="F53" s="340"/>
      <c r="G53" s="340"/>
      <c r="H53" s="572"/>
      <c r="J53" s="579">
        <v>42614</v>
      </c>
      <c r="K53" s="338">
        <f t="shared" si="31"/>
        <v>1255273.0199999998</v>
      </c>
      <c r="L53" s="541">
        <f t="shared" si="29"/>
        <v>3357.86</v>
      </c>
      <c r="M53" s="342">
        <f t="shared" si="27"/>
        <v>1258630.8799999999</v>
      </c>
      <c r="N53" s="340"/>
      <c r="O53" s="340"/>
    </row>
    <row r="54" spans="1:21" s="569" customFormat="1" ht="14.4" hidden="1" thickBot="1" x14ac:dyDescent="0.35">
      <c r="A54" s="608"/>
      <c r="B54" s="579">
        <v>42614</v>
      </c>
      <c r="C54" s="338">
        <f t="shared" si="32"/>
        <v>2291997.92</v>
      </c>
      <c r="D54" s="538">
        <f t="shared" si="30"/>
        <v>6131.09</v>
      </c>
      <c r="E54" s="342">
        <f t="shared" si="28"/>
        <v>2298129.0099999998</v>
      </c>
      <c r="F54" s="340"/>
      <c r="G54" s="340"/>
      <c r="H54" s="572"/>
      <c r="I54" s="572"/>
      <c r="J54" s="607" t="s">
        <v>869</v>
      </c>
      <c r="K54" s="536"/>
      <c r="L54" s="536">
        <f>SUM(L42:L53)</f>
        <v>39492.685956198104</v>
      </c>
      <c r="M54" s="540"/>
      <c r="N54" s="539"/>
      <c r="O54" s="539"/>
    </row>
    <row r="55" spans="1:21" s="569" customFormat="1" hidden="1" x14ac:dyDescent="0.3">
      <c r="A55" s="608"/>
      <c r="B55" s="579">
        <v>42675</v>
      </c>
      <c r="C55" s="338" t="e">
        <f>+#REF!</f>
        <v>#REF!</v>
      </c>
      <c r="D55" s="538" t="e">
        <f t="shared" si="30"/>
        <v>#REF!</v>
      </c>
      <c r="E55" s="342" t="e">
        <f t="shared" si="28"/>
        <v>#REF!</v>
      </c>
      <c r="F55" s="340"/>
      <c r="G55" s="340"/>
      <c r="H55" s="572"/>
      <c r="I55" s="605"/>
      <c r="J55" s="605"/>
      <c r="K55" s="605"/>
      <c r="L55" s="605"/>
      <c r="M55" s="605"/>
      <c r="N55" s="605"/>
      <c r="O55" s="605"/>
    </row>
    <row r="56" spans="1:21" s="569" customFormat="1" hidden="1" x14ac:dyDescent="0.3">
      <c r="A56" s="608"/>
      <c r="B56" s="579">
        <v>42705</v>
      </c>
      <c r="C56" s="338" t="e">
        <f>+E55</f>
        <v>#REF!</v>
      </c>
      <c r="D56" s="538" t="e">
        <f t="shared" si="30"/>
        <v>#REF!</v>
      </c>
      <c r="E56" s="342" t="e">
        <f t="shared" si="28"/>
        <v>#REF!</v>
      </c>
      <c r="F56" s="340"/>
      <c r="G56" s="340"/>
      <c r="H56" s="572"/>
      <c r="J56" s="571"/>
      <c r="K56" s="570"/>
      <c r="L56" s="570"/>
      <c r="M56" s="570"/>
    </row>
    <row r="57" spans="1:21" s="569" customFormat="1" ht="14.4" hidden="1" thickBot="1" x14ac:dyDescent="0.35">
      <c r="A57" s="608"/>
      <c r="B57" s="607" t="s">
        <v>869</v>
      </c>
      <c r="C57" s="537"/>
      <c r="D57" s="536">
        <f>SUM(D43:D54)</f>
        <v>72109.531201349906</v>
      </c>
      <c r="E57" s="535"/>
      <c r="F57" s="340"/>
      <c r="G57" s="340"/>
      <c r="H57" s="572"/>
      <c r="J57" s="571"/>
      <c r="K57" s="570"/>
      <c r="L57" s="570"/>
      <c r="M57" s="570"/>
    </row>
    <row r="58" spans="1:21" s="569" customFormat="1" hidden="1" x14ac:dyDescent="0.3">
      <c r="H58" s="534"/>
      <c r="I58" s="591"/>
      <c r="J58" s="594"/>
      <c r="K58" s="570"/>
      <c r="L58" s="570"/>
    </row>
    <row r="59" spans="1:21" s="569" customFormat="1" ht="6.75" hidden="1" customHeight="1" x14ac:dyDescent="0.3">
      <c r="I59" s="591"/>
      <c r="J59" s="594"/>
      <c r="K59" s="570"/>
      <c r="L59" s="570"/>
    </row>
    <row r="60" spans="1:21" s="569" customFormat="1" hidden="1" x14ac:dyDescent="0.3">
      <c r="I60" s="591"/>
      <c r="J60" s="594"/>
      <c r="K60" s="570"/>
      <c r="L60" s="570"/>
    </row>
    <row r="61" spans="1:21" s="591" customFormat="1" hidden="1" x14ac:dyDescent="0.3">
      <c r="H61" s="572"/>
      <c r="J61" s="594"/>
      <c r="K61" s="570"/>
      <c r="L61" s="570"/>
      <c r="M61" s="569"/>
      <c r="N61" s="569"/>
      <c r="O61" s="569"/>
      <c r="P61" s="569"/>
      <c r="Q61" s="569"/>
      <c r="R61" s="569"/>
      <c r="S61" s="569"/>
      <c r="T61" s="569"/>
      <c r="U61" s="569"/>
    </row>
    <row r="62" spans="1:21" s="591" customFormat="1" hidden="1" x14ac:dyDescent="0.3">
      <c r="H62" s="572"/>
      <c r="I62" s="569"/>
      <c r="J62" s="594"/>
      <c r="K62" s="570"/>
      <c r="L62" s="570"/>
      <c r="M62" s="569"/>
      <c r="N62" s="569"/>
      <c r="O62" s="569"/>
      <c r="P62" s="569"/>
      <c r="Q62" s="569"/>
      <c r="R62" s="569"/>
      <c r="S62" s="569"/>
      <c r="T62" s="569"/>
      <c r="U62" s="569"/>
    </row>
    <row r="63" spans="1:21" s="606" customFormat="1" hidden="1" x14ac:dyDescent="0.3">
      <c r="H63" s="572"/>
      <c r="I63" s="572"/>
      <c r="J63" s="594"/>
      <c r="K63" s="570"/>
      <c r="L63" s="570"/>
      <c r="M63" s="572"/>
      <c r="N63" s="572"/>
      <c r="O63" s="572"/>
      <c r="P63" s="572"/>
      <c r="Q63" s="572"/>
      <c r="R63" s="572"/>
      <c r="S63" s="572"/>
      <c r="T63" s="572"/>
      <c r="U63" s="572"/>
    </row>
    <row r="64" spans="1:21" s="606" customFormat="1" hidden="1" x14ac:dyDescent="0.3">
      <c r="H64" s="572"/>
      <c r="I64" s="572"/>
      <c r="J64" s="594"/>
      <c r="K64" s="570"/>
      <c r="L64" s="570"/>
      <c r="M64" s="572"/>
      <c r="N64" s="572"/>
      <c r="O64" s="572"/>
      <c r="P64" s="572"/>
      <c r="Q64" s="572"/>
      <c r="R64" s="572"/>
      <c r="S64" s="572"/>
      <c r="T64" s="572"/>
      <c r="U64" s="572"/>
    </row>
    <row r="65" spans="1:21" s="606" customFormat="1" hidden="1" x14ac:dyDescent="0.3">
      <c r="H65" s="572"/>
      <c r="I65" s="572"/>
      <c r="J65" s="594"/>
      <c r="K65" s="570"/>
      <c r="L65" s="570"/>
      <c r="M65" s="572"/>
      <c r="N65" s="572"/>
      <c r="O65" s="572"/>
      <c r="P65" s="572"/>
      <c r="Q65" s="572"/>
      <c r="R65" s="572"/>
      <c r="S65" s="572"/>
      <c r="T65" s="572"/>
      <c r="U65" s="572"/>
    </row>
    <row r="66" spans="1:21" s="591" customFormat="1" hidden="1" x14ac:dyDescent="0.3">
      <c r="H66" s="572"/>
      <c r="I66" s="569"/>
      <c r="J66" s="594"/>
      <c r="K66" s="570"/>
      <c r="L66" s="570"/>
      <c r="M66" s="569"/>
      <c r="N66" s="569"/>
      <c r="O66" s="569"/>
      <c r="P66" s="569"/>
      <c r="Q66" s="569"/>
      <c r="R66" s="569"/>
      <c r="S66" s="569"/>
      <c r="T66" s="569"/>
      <c r="U66" s="569"/>
    </row>
    <row r="67" spans="1:21" s="591" customFormat="1" hidden="1" x14ac:dyDescent="0.3">
      <c r="H67" s="572"/>
      <c r="I67" s="569"/>
      <c r="J67" s="594"/>
      <c r="K67" s="570"/>
      <c r="L67" s="570"/>
      <c r="M67" s="569"/>
      <c r="N67" s="569"/>
      <c r="O67" s="569"/>
      <c r="P67" s="569"/>
      <c r="Q67" s="569"/>
      <c r="R67" s="569"/>
      <c r="S67" s="569"/>
      <c r="T67" s="569"/>
      <c r="U67" s="569"/>
    </row>
    <row r="68" spans="1:21" s="591" customFormat="1" hidden="1" x14ac:dyDescent="0.3">
      <c r="H68" s="572"/>
      <c r="I68" s="569"/>
      <c r="J68" s="594"/>
      <c r="K68" s="570"/>
      <c r="L68" s="570"/>
      <c r="M68" s="569"/>
      <c r="N68" s="569"/>
      <c r="O68" s="569"/>
      <c r="P68" s="569"/>
      <c r="Q68" s="569"/>
      <c r="R68" s="569"/>
      <c r="S68" s="569"/>
      <c r="T68" s="569"/>
      <c r="U68" s="569"/>
    </row>
    <row r="69" spans="1:21" s="591" customFormat="1" hidden="1" x14ac:dyDescent="0.3">
      <c r="H69" s="572"/>
      <c r="I69" s="569"/>
      <c r="J69" s="594"/>
      <c r="K69" s="570"/>
      <c r="L69" s="570"/>
      <c r="M69" s="569"/>
      <c r="N69" s="569"/>
      <c r="O69" s="569"/>
      <c r="P69" s="569"/>
      <c r="Q69" s="569"/>
      <c r="R69" s="569"/>
      <c r="S69" s="569"/>
      <c r="T69" s="569"/>
      <c r="U69" s="569"/>
    </row>
    <row r="70" spans="1:21" s="591" customFormat="1" hidden="1" x14ac:dyDescent="0.3">
      <c r="H70" s="572"/>
      <c r="I70" s="569"/>
      <c r="J70" s="594"/>
      <c r="K70" s="570"/>
      <c r="L70" s="570"/>
      <c r="M70" s="569"/>
      <c r="N70" s="569"/>
      <c r="O70" s="569"/>
      <c r="P70" s="569"/>
      <c r="Q70" s="569"/>
      <c r="R70" s="569"/>
      <c r="S70" s="569"/>
      <c r="T70" s="569"/>
      <c r="U70" s="569"/>
    </row>
    <row r="71" spans="1:21" s="591" customFormat="1" hidden="1" x14ac:dyDescent="0.3">
      <c r="H71" s="572"/>
      <c r="I71" s="569"/>
      <c r="J71" s="594"/>
      <c r="K71" s="570"/>
      <c r="L71" s="570"/>
      <c r="M71" s="569"/>
      <c r="N71" s="569"/>
      <c r="O71" s="569"/>
      <c r="P71" s="569"/>
      <c r="Q71" s="569"/>
      <c r="R71" s="569"/>
      <c r="S71" s="569"/>
      <c r="T71" s="569"/>
      <c r="U71" s="569"/>
    </row>
    <row r="72" spans="1:21" s="591" customFormat="1" hidden="1" x14ac:dyDescent="0.3">
      <c r="H72" s="572"/>
      <c r="I72" s="569"/>
      <c r="J72" s="594"/>
      <c r="K72" s="570"/>
      <c r="L72" s="570"/>
      <c r="M72" s="569"/>
      <c r="N72" s="569"/>
      <c r="O72" s="569"/>
      <c r="P72" s="569"/>
      <c r="Q72" s="569"/>
      <c r="R72" s="569"/>
      <c r="S72" s="569"/>
      <c r="T72" s="569"/>
      <c r="U72" s="569"/>
    </row>
    <row r="73" spans="1:21" s="591" customFormat="1" hidden="1" x14ac:dyDescent="0.3">
      <c r="H73" s="572"/>
      <c r="I73" s="569"/>
      <c r="J73" s="594"/>
      <c r="K73" s="570"/>
      <c r="L73" s="570"/>
      <c r="M73" s="569"/>
      <c r="N73" s="569"/>
      <c r="O73" s="569"/>
      <c r="P73" s="569"/>
      <c r="Q73" s="569"/>
      <c r="R73" s="569"/>
      <c r="S73" s="569"/>
      <c r="T73" s="569"/>
      <c r="U73" s="569"/>
    </row>
    <row r="74" spans="1:21" s="591" customFormat="1" hidden="1" x14ac:dyDescent="0.3">
      <c r="H74" s="572"/>
      <c r="I74" s="569"/>
      <c r="J74" s="594"/>
      <c r="K74" s="570"/>
      <c r="L74" s="570"/>
      <c r="M74" s="569"/>
      <c r="N74" s="569"/>
      <c r="O74" s="569"/>
      <c r="P74" s="569"/>
      <c r="Q74" s="569"/>
      <c r="R74" s="569"/>
      <c r="S74" s="569"/>
      <c r="T74" s="569"/>
      <c r="U74" s="569"/>
    </row>
    <row r="75" spans="1:21" s="606" customFormat="1" hidden="1" x14ac:dyDescent="0.3">
      <c r="H75" s="572"/>
      <c r="I75" s="572"/>
      <c r="J75" s="594"/>
      <c r="K75" s="570"/>
      <c r="L75" s="570"/>
      <c r="M75" s="572"/>
      <c r="N75" s="572"/>
      <c r="O75" s="572"/>
      <c r="P75" s="572"/>
      <c r="Q75" s="572"/>
      <c r="R75" s="572"/>
      <c r="S75" s="572"/>
      <c r="T75" s="572"/>
      <c r="U75" s="572"/>
    </row>
    <row r="76" spans="1:21" s="591" customFormat="1" hidden="1" x14ac:dyDescent="0.3">
      <c r="H76" s="605"/>
      <c r="I76" s="605"/>
      <c r="J76" s="605"/>
      <c r="K76" s="570"/>
      <c r="L76" s="570"/>
      <c r="M76" s="569"/>
      <c r="N76" s="569"/>
      <c r="O76" s="569"/>
      <c r="P76" s="569"/>
      <c r="Q76" s="569"/>
      <c r="R76" s="569"/>
      <c r="S76" s="569"/>
      <c r="T76" s="569"/>
      <c r="U76" s="569"/>
    </row>
    <row r="77" spans="1:21" s="591" customFormat="1" hidden="1" x14ac:dyDescent="0.3">
      <c r="A77" s="604" t="s">
        <v>778</v>
      </c>
      <c r="B77" s="597"/>
      <c r="C77" s="603"/>
      <c r="D77" s="341"/>
      <c r="E77" s="597"/>
      <c r="F77" s="332"/>
      <c r="G77" s="332"/>
      <c r="H77" s="569"/>
      <c r="J77" s="594"/>
      <c r="K77" s="570"/>
      <c r="L77" s="570"/>
      <c r="M77" s="569"/>
      <c r="N77" s="569"/>
      <c r="O77" s="569"/>
      <c r="P77" s="569"/>
      <c r="Q77" s="569"/>
      <c r="R77" s="569"/>
      <c r="S77" s="569"/>
      <c r="T77" s="569"/>
      <c r="U77" s="569"/>
    </row>
    <row r="78" spans="1:21" s="591" customFormat="1" hidden="1" x14ac:dyDescent="0.3">
      <c r="A78" s="569"/>
      <c r="B78" s="602" t="s">
        <v>777</v>
      </c>
      <c r="C78" s="602" t="s">
        <v>776</v>
      </c>
      <c r="D78" s="601" t="s">
        <v>775</v>
      </c>
      <c r="E78" s="533"/>
      <c r="F78" s="335"/>
      <c r="G78" s="335"/>
      <c r="H78" s="585"/>
      <c r="I78" s="585"/>
      <c r="J78" s="594"/>
      <c r="K78" s="570"/>
      <c r="L78" s="570"/>
      <c r="M78" s="569"/>
      <c r="N78" s="569"/>
      <c r="O78" s="569"/>
      <c r="P78" s="569"/>
      <c r="Q78" s="569"/>
      <c r="R78" s="569"/>
      <c r="S78" s="569"/>
      <c r="T78" s="569"/>
      <c r="U78" s="569"/>
    </row>
    <row r="79" spans="1:21" s="591" customFormat="1" hidden="1" x14ac:dyDescent="0.3">
      <c r="A79" s="569"/>
      <c r="B79" s="600" t="s">
        <v>774</v>
      </c>
      <c r="C79" s="334" t="s">
        <v>773</v>
      </c>
      <c r="D79" s="936" t="s">
        <v>772</v>
      </c>
      <c r="E79" s="936"/>
      <c r="F79" s="936"/>
      <c r="G79" s="936"/>
      <c r="H79" s="936"/>
      <c r="I79" s="936"/>
      <c r="J79" s="594"/>
      <c r="K79" s="570"/>
      <c r="L79" s="570"/>
      <c r="M79" s="569"/>
      <c r="N79" s="569"/>
      <c r="O79" s="569"/>
      <c r="P79" s="569"/>
      <c r="Q79" s="569"/>
      <c r="R79" s="569"/>
      <c r="S79" s="569"/>
      <c r="T79" s="569"/>
      <c r="U79" s="569"/>
    </row>
    <row r="80" spans="1:21" s="591" customFormat="1" ht="12.75" hidden="1" customHeight="1" x14ac:dyDescent="0.3">
      <c r="A80" s="569"/>
      <c r="B80" s="599" t="s">
        <v>771</v>
      </c>
      <c r="C80" s="333">
        <v>632.54999999999995</v>
      </c>
      <c r="D80" s="937" t="s">
        <v>770</v>
      </c>
      <c r="E80" s="937"/>
      <c r="F80" s="937"/>
      <c r="G80" s="937"/>
      <c r="H80" s="937"/>
      <c r="I80" s="598"/>
      <c r="J80" s="594"/>
      <c r="K80" s="570"/>
      <c r="L80" s="570"/>
      <c r="M80" s="569"/>
      <c r="N80" s="569"/>
      <c r="O80" s="569"/>
      <c r="P80" s="569"/>
      <c r="Q80" s="569"/>
      <c r="R80" s="569"/>
      <c r="S80" s="569"/>
      <c r="T80" s="569"/>
      <c r="U80" s="569"/>
    </row>
    <row r="81" spans="1:25" s="591" customFormat="1" ht="4.5" hidden="1" customHeight="1" x14ac:dyDescent="0.3">
      <c r="A81" s="569"/>
      <c r="B81" s="597"/>
      <c r="C81" s="531"/>
      <c r="D81" s="596"/>
      <c r="E81" s="596"/>
      <c r="F81" s="596"/>
      <c r="G81" s="596"/>
      <c r="H81" s="596"/>
      <c r="I81" s="595"/>
      <c r="J81" s="594"/>
      <c r="K81" s="570"/>
      <c r="L81" s="570"/>
      <c r="M81" s="569"/>
      <c r="N81" s="569"/>
      <c r="O81" s="569"/>
      <c r="P81" s="569"/>
      <c r="Q81" s="569"/>
      <c r="R81" s="569"/>
      <c r="S81" s="569"/>
      <c r="T81" s="569"/>
      <c r="U81" s="569"/>
    </row>
    <row r="82" spans="1:25" s="569" customFormat="1" ht="43.5" hidden="1" customHeight="1" x14ac:dyDescent="0.3">
      <c r="A82" s="938" t="s">
        <v>868</v>
      </c>
      <c r="B82" s="938"/>
      <c r="C82" s="938"/>
      <c r="D82" s="938"/>
      <c r="E82" s="938"/>
      <c r="F82" s="938"/>
      <c r="G82" s="938"/>
      <c r="H82" s="938"/>
      <c r="I82" s="938"/>
      <c r="J82" s="938"/>
      <c r="K82" s="938"/>
      <c r="L82" s="938"/>
      <c r="M82" s="938"/>
      <c r="N82" s="938"/>
      <c r="O82" s="938"/>
      <c r="P82" s="938"/>
      <c r="Q82" s="938"/>
      <c r="R82" s="938"/>
      <c r="S82" s="938"/>
      <c r="T82" s="938"/>
      <c r="U82" s="938"/>
      <c r="V82" s="938"/>
      <c r="W82" s="938"/>
      <c r="X82" s="938"/>
      <c r="Y82" s="938"/>
    </row>
    <row r="83" spans="1:25" s="569" customFormat="1" x14ac:dyDescent="0.3">
      <c r="A83" s="593"/>
      <c r="B83" s="593"/>
      <c r="C83" s="593"/>
      <c r="D83" s="593"/>
      <c r="E83" s="593"/>
      <c r="F83" s="593"/>
      <c r="G83" s="593"/>
      <c r="H83" s="593"/>
      <c r="I83" s="593"/>
      <c r="J83" s="571"/>
      <c r="K83" s="570"/>
      <c r="L83" s="570"/>
      <c r="M83" s="570"/>
    </row>
    <row r="84" spans="1:25" s="569" customFormat="1" hidden="1" x14ac:dyDescent="0.3">
      <c r="A84" s="589" t="s">
        <v>867</v>
      </c>
      <c r="C84" s="578"/>
      <c r="D84" s="578"/>
      <c r="E84" s="578"/>
      <c r="F84" s="578"/>
      <c r="G84" s="578"/>
      <c r="H84" s="578"/>
      <c r="I84" s="578"/>
      <c r="J84" s="571"/>
      <c r="K84" s="570"/>
      <c r="L84" s="570"/>
      <c r="M84" s="570"/>
    </row>
    <row r="85" spans="1:25" s="569" customFormat="1" hidden="1" x14ac:dyDescent="0.3">
      <c r="B85" s="588" t="s">
        <v>865</v>
      </c>
      <c r="C85" s="529">
        <v>2213766.4</v>
      </c>
      <c r="D85" s="578"/>
      <c r="E85" s="525"/>
      <c r="F85" s="525"/>
      <c r="G85" s="525"/>
      <c r="H85" s="578"/>
      <c r="I85" s="528"/>
      <c r="J85" s="571"/>
      <c r="K85" s="570"/>
      <c r="L85" s="570"/>
      <c r="M85" s="570"/>
    </row>
    <row r="86" spans="1:25" s="569" customFormat="1" hidden="1" x14ac:dyDescent="0.3">
      <c r="B86" s="527" t="s">
        <v>864</v>
      </c>
      <c r="C86" s="526">
        <f>3.14%/12</f>
        <v>2.6166666666666669E-3</v>
      </c>
      <c r="D86" s="578"/>
      <c r="E86" s="525"/>
      <c r="F86" s="525"/>
      <c r="G86" s="525"/>
      <c r="H86" s="587"/>
      <c r="I86" s="525"/>
      <c r="J86" s="571"/>
      <c r="K86" s="570"/>
      <c r="L86" s="570"/>
      <c r="M86" s="570"/>
    </row>
    <row r="87" spans="1:25" s="569" customFormat="1" hidden="1" x14ac:dyDescent="0.3">
      <c r="B87" s="527" t="s">
        <v>863</v>
      </c>
      <c r="C87" s="526">
        <f>3.21%/12</f>
        <v>2.6749999999999999E-3</v>
      </c>
      <c r="D87" s="578"/>
      <c r="E87" s="525"/>
      <c r="F87" s="525"/>
      <c r="G87" s="525"/>
      <c r="H87" s="587"/>
      <c r="I87" s="525"/>
      <c r="J87" s="571"/>
      <c r="K87" s="570"/>
      <c r="L87" s="570"/>
      <c r="M87" s="570"/>
    </row>
    <row r="88" spans="1:25" s="569" customFormat="1" hidden="1" x14ac:dyDescent="0.3">
      <c r="A88" s="586"/>
      <c r="B88" s="592" t="s">
        <v>862</v>
      </c>
      <c r="C88" s="592"/>
      <c r="D88" s="592"/>
      <c r="E88" s="932" t="s">
        <v>861</v>
      </c>
      <c r="F88" s="932"/>
      <c r="G88" s="932"/>
      <c r="H88" s="932"/>
      <c r="I88" s="530"/>
      <c r="J88" s="571"/>
      <c r="K88" s="570"/>
      <c r="L88" s="570"/>
      <c r="M88" s="570"/>
    </row>
    <row r="89" spans="1:25" s="569" customFormat="1" hidden="1" x14ac:dyDescent="0.3">
      <c r="A89" s="585" t="s">
        <v>771</v>
      </c>
      <c r="B89" s="585" t="s">
        <v>781</v>
      </c>
      <c r="C89" s="583" t="s">
        <v>780</v>
      </c>
      <c r="D89" s="583" t="s">
        <v>779</v>
      </c>
      <c r="E89" s="584" t="s">
        <v>781</v>
      </c>
      <c r="F89" s="583" t="s">
        <v>780</v>
      </c>
      <c r="G89" s="583" t="s">
        <v>779</v>
      </c>
      <c r="H89" s="582" t="s">
        <v>860</v>
      </c>
      <c r="I89" s="581"/>
      <c r="J89" s="570"/>
      <c r="K89" s="570"/>
      <c r="L89" s="570"/>
    </row>
    <row r="90" spans="1:25" s="569" customFormat="1" hidden="1" x14ac:dyDescent="0.3">
      <c r="A90" s="580">
        <v>42217</v>
      </c>
      <c r="B90" s="339">
        <v>2213766.4</v>
      </c>
      <c r="C90" s="334">
        <v>5792.6887466666667</v>
      </c>
      <c r="D90" s="340">
        <v>2219559.0887466664</v>
      </c>
      <c r="E90" s="339">
        <v>2213766.4</v>
      </c>
      <c r="F90" s="343">
        <v>5921.8251199999995</v>
      </c>
      <c r="G90" s="340">
        <v>2219688.2251200001</v>
      </c>
      <c r="H90" s="523">
        <v>129.13637333333281</v>
      </c>
      <c r="I90" s="581"/>
      <c r="J90" s="570"/>
      <c r="K90" s="570"/>
      <c r="L90" s="570"/>
    </row>
    <row r="91" spans="1:25" s="569" customFormat="1" hidden="1" x14ac:dyDescent="0.3">
      <c r="A91" s="580">
        <v>42248</v>
      </c>
      <c r="B91" s="336">
        <v>2219559.0887466664</v>
      </c>
      <c r="C91" s="334">
        <v>5807.8462822204447</v>
      </c>
      <c r="D91" s="340">
        <v>2225366.9350288869</v>
      </c>
      <c r="E91" s="336">
        <v>2219688.2251200001</v>
      </c>
      <c r="F91" s="343">
        <v>5937.6660021959997</v>
      </c>
      <c r="G91" s="340">
        <v>2225625.8911221959</v>
      </c>
      <c r="H91" s="523">
        <v>129.81971997555502</v>
      </c>
      <c r="I91" s="581"/>
      <c r="J91" s="570"/>
      <c r="K91" s="570"/>
      <c r="L91" s="570"/>
    </row>
    <row r="92" spans="1:25" s="569" customFormat="1" hidden="1" x14ac:dyDescent="0.3">
      <c r="A92" s="580">
        <v>42278</v>
      </c>
      <c r="B92" s="336">
        <v>2225366.9350288869</v>
      </c>
      <c r="C92" s="334">
        <v>5823.0434799922541</v>
      </c>
      <c r="D92" s="340">
        <v>2231189.978508879</v>
      </c>
      <c r="E92" s="336">
        <v>2225625.8911221959</v>
      </c>
      <c r="F92" s="343">
        <v>5953.5492587518738</v>
      </c>
      <c r="G92" s="340">
        <v>2231579.4403809477</v>
      </c>
      <c r="H92" s="523">
        <v>130.50577875961972</v>
      </c>
      <c r="I92" s="581"/>
      <c r="J92" s="570"/>
      <c r="K92" s="570"/>
      <c r="L92" s="570"/>
    </row>
    <row r="93" spans="1:25" s="569" customFormat="1" hidden="1" x14ac:dyDescent="0.3">
      <c r="A93" s="580">
        <v>42309</v>
      </c>
      <c r="B93" s="336">
        <v>2231189.978508879</v>
      </c>
      <c r="C93" s="334">
        <v>5838.2804437649002</v>
      </c>
      <c r="D93" s="340">
        <v>2237028.2589526437</v>
      </c>
      <c r="E93" s="336">
        <v>2231579.4403809477</v>
      </c>
      <c r="F93" s="343">
        <v>5969.4750030190344</v>
      </c>
      <c r="G93" s="340">
        <v>2237548.9153839666</v>
      </c>
      <c r="H93" s="523">
        <v>131.19455925413422</v>
      </c>
      <c r="I93" s="581"/>
      <c r="J93" s="570"/>
      <c r="K93" s="570"/>
      <c r="L93" s="570"/>
    </row>
    <row r="94" spans="1:25" s="569" customFormat="1" hidden="1" x14ac:dyDescent="0.3">
      <c r="A94" s="579">
        <v>42339</v>
      </c>
      <c r="B94" s="338">
        <v>2237028.2589526437</v>
      </c>
      <c r="C94" s="337">
        <v>5853.5572775927512</v>
      </c>
      <c r="D94" s="342">
        <v>2242881.8162302366</v>
      </c>
      <c r="E94" s="338">
        <v>2237548.9153839666</v>
      </c>
      <c r="F94" s="337">
        <v>5985.4433486521102</v>
      </c>
      <c r="G94" s="342">
        <v>2243534.3587326189</v>
      </c>
      <c r="H94" s="522">
        <v>131.88607105935898</v>
      </c>
      <c r="I94" s="581"/>
      <c r="J94" s="570"/>
      <c r="K94" s="570"/>
      <c r="L94" s="570"/>
    </row>
    <row r="95" spans="1:25" s="569" customFormat="1" hidden="1" x14ac:dyDescent="0.3">
      <c r="B95" s="573"/>
      <c r="C95" s="573"/>
      <c r="F95" s="572"/>
      <c r="H95" s="591"/>
      <c r="I95" s="581"/>
      <c r="J95" s="570"/>
      <c r="K95" s="570"/>
      <c r="L95" s="570"/>
    </row>
    <row r="96" spans="1:25" s="569" customFormat="1" ht="14.4" hidden="1" thickBot="1" x14ac:dyDescent="0.35">
      <c r="B96" s="573"/>
      <c r="C96" s="573"/>
      <c r="F96" s="590"/>
      <c r="G96" s="521" t="s">
        <v>859</v>
      </c>
      <c r="H96" s="577">
        <f>SUM(H90:H94)</f>
        <v>652.54250238200075</v>
      </c>
      <c r="I96" s="581"/>
      <c r="J96" s="570"/>
      <c r="K96" s="570"/>
      <c r="L96" s="570"/>
    </row>
    <row r="97" spans="1:37" s="569" customFormat="1" hidden="1" x14ac:dyDescent="0.3">
      <c r="A97" s="589" t="s">
        <v>866</v>
      </c>
      <c r="B97" s="578"/>
      <c r="C97" s="578"/>
      <c r="D97" s="578"/>
      <c r="E97" s="578"/>
      <c r="F97" s="578"/>
      <c r="H97" s="578"/>
      <c r="I97" s="572"/>
      <c r="J97" s="571"/>
      <c r="K97" s="570"/>
      <c r="L97" s="570"/>
      <c r="M97" s="570"/>
    </row>
    <row r="98" spans="1:37" s="569" customFormat="1" hidden="1" x14ac:dyDescent="0.3">
      <c r="B98" s="588" t="s">
        <v>865</v>
      </c>
      <c r="C98" s="529">
        <v>1212427.47</v>
      </c>
      <c r="D98" s="525"/>
      <c r="E98" s="525"/>
      <c r="F98" s="578"/>
      <c r="H98" s="528"/>
      <c r="I98" s="572"/>
      <c r="J98" s="571"/>
      <c r="K98" s="570"/>
      <c r="L98" s="570"/>
      <c r="M98" s="570"/>
    </row>
    <row r="99" spans="1:37" s="569" customFormat="1" hidden="1" x14ac:dyDescent="0.3">
      <c r="B99" s="527" t="s">
        <v>864</v>
      </c>
      <c r="C99" s="526">
        <f>3.14%/12</f>
        <v>2.6166666666666669E-3</v>
      </c>
      <c r="D99" s="525"/>
      <c r="E99" s="525"/>
      <c r="F99" s="587"/>
      <c r="H99" s="525"/>
      <c r="I99" s="572"/>
      <c r="J99" s="571"/>
      <c r="K99" s="570"/>
      <c r="L99" s="570"/>
      <c r="M99" s="570"/>
    </row>
    <row r="100" spans="1:37" s="569" customFormat="1" hidden="1" x14ac:dyDescent="0.3">
      <c r="B100" s="527" t="s">
        <v>863</v>
      </c>
      <c r="C100" s="526">
        <f>3.21%/12</f>
        <v>2.6749999999999999E-3</v>
      </c>
      <c r="D100" s="525"/>
      <c r="E100" s="525"/>
      <c r="F100" s="587"/>
      <c r="H100" s="525"/>
      <c r="I100" s="572"/>
      <c r="J100" s="571"/>
      <c r="K100" s="570"/>
      <c r="L100" s="570"/>
      <c r="M100" s="570"/>
    </row>
    <row r="101" spans="1:37" s="569" customFormat="1" hidden="1" x14ac:dyDescent="0.3">
      <c r="A101" s="586"/>
      <c r="B101" s="931" t="s">
        <v>862</v>
      </c>
      <c r="C101" s="931"/>
      <c r="D101" s="931"/>
      <c r="E101" s="932" t="s">
        <v>861</v>
      </c>
      <c r="F101" s="932"/>
      <c r="G101" s="932"/>
      <c r="H101" s="932"/>
      <c r="I101" s="524"/>
      <c r="J101" s="571"/>
      <c r="K101" s="570"/>
      <c r="L101" s="570"/>
      <c r="M101" s="570"/>
    </row>
    <row r="102" spans="1:37" s="569" customFormat="1" hidden="1" x14ac:dyDescent="0.3">
      <c r="A102" s="585" t="s">
        <v>771</v>
      </c>
      <c r="B102" s="585" t="s">
        <v>781</v>
      </c>
      <c r="C102" s="583" t="s">
        <v>780</v>
      </c>
      <c r="D102" s="583" t="s">
        <v>779</v>
      </c>
      <c r="E102" s="584" t="s">
        <v>781</v>
      </c>
      <c r="F102" s="583" t="s">
        <v>780</v>
      </c>
      <c r="G102" s="583" t="s">
        <v>779</v>
      </c>
      <c r="H102" s="582" t="s">
        <v>860</v>
      </c>
      <c r="I102" s="581"/>
      <c r="J102" s="570"/>
      <c r="K102" s="570"/>
      <c r="L102" s="570"/>
    </row>
    <row r="103" spans="1:37" s="569" customFormat="1" hidden="1" x14ac:dyDescent="0.3">
      <c r="A103" s="580">
        <v>42217</v>
      </c>
      <c r="B103" s="339">
        <v>1212427.4700000002</v>
      </c>
      <c r="C103" s="334">
        <v>3172.5185465000009</v>
      </c>
      <c r="D103" s="340">
        <v>1215599.9885465002</v>
      </c>
      <c r="E103" s="339">
        <v>1212427.4700000002</v>
      </c>
      <c r="F103" s="343">
        <v>3243.2434822500004</v>
      </c>
      <c r="G103" s="340">
        <v>1215670.7134822502</v>
      </c>
      <c r="H103" s="523">
        <v>70.724935749999531</v>
      </c>
      <c r="I103" s="581"/>
      <c r="J103" s="570"/>
      <c r="K103" s="570"/>
      <c r="L103" s="570"/>
    </row>
    <row r="104" spans="1:37" s="569" customFormat="1" hidden="1" x14ac:dyDescent="0.3">
      <c r="A104" s="580">
        <v>42248</v>
      </c>
      <c r="B104" s="336">
        <v>1215599.9885465002</v>
      </c>
      <c r="C104" s="334">
        <v>3180.8199700300092</v>
      </c>
      <c r="D104" s="340">
        <v>1218780.8085165303</v>
      </c>
      <c r="E104" s="339">
        <v>1215670.7134822502</v>
      </c>
      <c r="F104" s="343">
        <v>3251.9191585650192</v>
      </c>
      <c r="G104" s="340">
        <v>1218922.6326408153</v>
      </c>
      <c r="H104" s="523">
        <v>71.099188535009944</v>
      </c>
      <c r="I104" s="581"/>
      <c r="J104" s="570"/>
      <c r="K104" s="570"/>
      <c r="L104" s="570"/>
    </row>
    <row r="105" spans="1:37" s="569" customFormat="1" hidden="1" x14ac:dyDescent="0.3">
      <c r="A105" s="580">
        <v>42278</v>
      </c>
      <c r="B105" s="336">
        <v>1218780.8085165303</v>
      </c>
      <c r="C105" s="334">
        <v>3189.1431156182548</v>
      </c>
      <c r="D105" s="340">
        <v>1221969.9516321486</v>
      </c>
      <c r="E105" s="339">
        <v>1218922.6326408153</v>
      </c>
      <c r="F105" s="343">
        <v>3260.6180423141809</v>
      </c>
      <c r="G105" s="340">
        <v>1222183.2506831295</v>
      </c>
      <c r="H105" s="523">
        <v>71.474926695926115</v>
      </c>
      <c r="I105" s="581"/>
      <c r="J105" s="570"/>
      <c r="K105" s="570"/>
      <c r="L105" s="570"/>
    </row>
    <row r="106" spans="1:37" s="569" customFormat="1" hidden="1" x14ac:dyDescent="0.3">
      <c r="A106" s="580">
        <v>42309</v>
      </c>
      <c r="B106" s="336">
        <v>1221969.9516321486</v>
      </c>
      <c r="C106" s="334">
        <v>3197.4880401041223</v>
      </c>
      <c r="D106" s="340">
        <v>1225167.4396722526</v>
      </c>
      <c r="E106" s="339">
        <v>1222183.2506831295</v>
      </c>
      <c r="F106" s="343">
        <v>3269.3401955773711</v>
      </c>
      <c r="G106" s="340">
        <v>1225452.5908787069</v>
      </c>
      <c r="H106" s="523">
        <v>71.852155473248786</v>
      </c>
      <c r="I106" s="571"/>
      <c r="J106" s="570"/>
      <c r="K106" s="570"/>
      <c r="L106" s="570"/>
    </row>
    <row r="107" spans="1:37" s="569" customFormat="1" hidden="1" x14ac:dyDescent="0.3">
      <c r="A107" s="579">
        <v>42339</v>
      </c>
      <c r="B107" s="338">
        <v>1225167.4396722526</v>
      </c>
      <c r="C107" s="337">
        <v>3205.8548004757281</v>
      </c>
      <c r="D107" s="342">
        <v>1228373.2944727284</v>
      </c>
      <c r="E107" s="338">
        <v>1225452.5908787069</v>
      </c>
      <c r="F107" s="337">
        <v>3278.0856806005409</v>
      </c>
      <c r="G107" s="342">
        <v>1228730.6765593074</v>
      </c>
      <c r="H107" s="522">
        <v>72.230880124812757</v>
      </c>
      <c r="I107" s="571"/>
      <c r="J107" s="570"/>
      <c r="K107" s="570"/>
      <c r="L107" s="570"/>
    </row>
    <row r="108" spans="1:37" s="569" customFormat="1" hidden="1" x14ac:dyDescent="0.3">
      <c r="A108" s="578"/>
      <c r="B108" s="578"/>
      <c r="C108" s="578"/>
      <c r="D108" s="578"/>
      <c r="E108" s="578"/>
      <c r="F108" s="578"/>
      <c r="G108" s="578"/>
      <c r="H108" s="578"/>
      <c r="I108" s="571"/>
      <c r="J108" s="570"/>
      <c r="K108" s="570"/>
      <c r="L108" s="570"/>
    </row>
    <row r="109" spans="1:37" s="569" customFormat="1" ht="14.4" hidden="1" thickBot="1" x14ac:dyDescent="0.35">
      <c r="A109" s="578"/>
      <c r="B109" s="578"/>
      <c r="C109" s="578"/>
      <c r="D109" s="578"/>
      <c r="E109" s="578"/>
      <c r="F109" s="521" t="s">
        <v>859</v>
      </c>
      <c r="G109" s="521" t="s">
        <v>859</v>
      </c>
      <c r="H109" s="577">
        <f>SUM(H103:H107)</f>
        <v>357.38208657899713</v>
      </c>
      <c r="I109" s="571"/>
      <c r="J109" s="570"/>
      <c r="K109" s="570"/>
      <c r="L109" s="570"/>
    </row>
    <row r="110" spans="1:37" s="569" customFormat="1" hidden="1" x14ac:dyDescent="0.3">
      <c r="C110" s="573"/>
      <c r="D110" s="573"/>
      <c r="H110" s="572"/>
      <c r="J110" s="571"/>
      <c r="K110" s="570"/>
      <c r="L110" s="570"/>
      <c r="M110" s="570"/>
    </row>
    <row r="111" spans="1:37" s="516" customFormat="1" ht="15" customHeight="1" x14ac:dyDescent="0.3">
      <c r="A111" s="926" t="s">
        <v>918</v>
      </c>
      <c r="B111" s="926"/>
      <c r="C111" s="926"/>
      <c r="D111" s="926"/>
      <c r="E111" s="926"/>
      <c r="F111" s="926"/>
      <c r="G111" s="926"/>
      <c r="H111" s="926"/>
      <c r="I111" s="926"/>
      <c r="J111" s="926"/>
      <c r="K111" s="926"/>
      <c r="L111" s="926"/>
      <c r="M111" s="926"/>
      <c r="N111" s="926"/>
      <c r="O111" s="926"/>
      <c r="P111" s="926"/>
      <c r="Q111" s="926"/>
      <c r="R111" s="926"/>
      <c r="S111" s="926"/>
      <c r="T111" s="926"/>
      <c r="U111" s="926"/>
      <c r="V111" s="926"/>
      <c r="W111" s="926"/>
      <c r="X111" s="926"/>
      <c r="Y111" s="926"/>
      <c r="AE111" s="570"/>
      <c r="AH111" s="570"/>
      <c r="AI111" s="570"/>
      <c r="AJ111" s="570"/>
      <c r="AK111" s="570"/>
    </row>
    <row r="112" spans="1:37" s="516" customFormat="1" ht="15" customHeight="1" x14ac:dyDescent="0.3">
      <c r="A112" s="926" t="s">
        <v>919</v>
      </c>
      <c r="B112" s="926"/>
      <c r="C112" s="926"/>
      <c r="D112" s="926"/>
      <c r="E112" s="926"/>
      <c r="F112" s="926"/>
      <c r="G112" s="926"/>
      <c r="H112" s="926"/>
      <c r="I112" s="926"/>
      <c r="J112" s="926"/>
      <c r="K112" s="926"/>
      <c r="L112" s="926"/>
      <c r="M112" s="926"/>
      <c r="N112" s="926"/>
      <c r="O112" s="926"/>
      <c r="P112" s="926"/>
      <c r="Q112" s="926"/>
      <c r="R112" s="926"/>
      <c r="S112" s="926"/>
      <c r="T112" s="926"/>
      <c r="U112" s="926"/>
      <c r="V112" s="926"/>
      <c r="W112" s="926"/>
      <c r="X112" s="926"/>
      <c r="Y112" s="926"/>
      <c r="AE112" s="570"/>
      <c r="AH112" s="570"/>
      <c r="AI112" s="570"/>
      <c r="AJ112" s="570"/>
      <c r="AK112" s="570"/>
    </row>
    <row r="113" spans="1:37" s="516" customFormat="1" ht="15" customHeight="1" x14ac:dyDescent="0.3">
      <c r="A113" s="689"/>
      <c r="B113" s="689"/>
      <c r="C113" s="689"/>
      <c r="D113" s="689"/>
      <c r="E113" s="689"/>
      <c r="F113" s="689"/>
      <c r="G113" s="689"/>
      <c r="H113" s="689"/>
      <c r="I113" s="689"/>
      <c r="J113" s="689"/>
      <c r="K113" s="689"/>
      <c r="L113" s="689"/>
      <c r="M113" s="689"/>
      <c r="N113" s="689"/>
      <c r="O113" s="689"/>
      <c r="P113" s="689"/>
      <c r="Q113" s="689"/>
      <c r="R113" s="689"/>
      <c r="S113" s="689"/>
      <c r="T113" s="689"/>
      <c r="U113" s="689"/>
      <c r="V113" s="689"/>
      <c r="W113" s="689"/>
      <c r="X113" s="689"/>
      <c r="Y113" s="689"/>
      <c r="AE113" s="570"/>
      <c r="AH113" s="570"/>
      <c r="AI113" s="570"/>
      <c r="AJ113" s="570"/>
      <c r="AK113" s="570"/>
    </row>
    <row r="114" spans="1:37" s="516" customFormat="1" x14ac:dyDescent="0.3">
      <c r="A114" s="520" t="s">
        <v>858</v>
      </c>
      <c r="B114" s="515"/>
      <c r="C114" s="515"/>
      <c r="D114" s="332"/>
      <c r="E114" s="576"/>
      <c r="F114" s="576"/>
      <c r="G114" s="576"/>
      <c r="H114" s="576"/>
      <c r="I114" s="576"/>
      <c r="J114" s="576"/>
      <c r="K114" s="576"/>
      <c r="L114" s="576"/>
      <c r="M114" s="576"/>
      <c r="N114" s="576"/>
      <c r="O114" s="576"/>
      <c r="P114" s="576"/>
      <c r="Q114" s="576"/>
      <c r="R114" s="515"/>
      <c r="S114" s="515"/>
      <c r="AE114" s="570"/>
      <c r="AH114" s="570"/>
      <c r="AI114" s="570"/>
      <c r="AJ114" s="570"/>
      <c r="AK114" s="570"/>
    </row>
    <row r="115" spans="1:37" s="516" customFormat="1" ht="27.6" customHeight="1" x14ac:dyDescent="0.3">
      <c r="A115" s="933" t="s">
        <v>449</v>
      </c>
      <c r="B115" s="933"/>
      <c r="C115" s="345" t="s">
        <v>857</v>
      </c>
      <c r="D115" s="357"/>
      <c r="E115" s="519"/>
      <c r="F115" s="519"/>
      <c r="G115" s="519"/>
      <c r="H115" s="519"/>
      <c r="I115" s="519"/>
      <c r="J115" s="519"/>
      <c r="K115" s="519"/>
      <c r="L115" s="519"/>
      <c r="M115" s="519"/>
      <c r="N115" s="519"/>
      <c r="O115" s="519"/>
      <c r="P115" s="519"/>
      <c r="Q115" s="519"/>
      <c r="R115" s="519"/>
      <c r="V115" s="930" t="s">
        <v>891</v>
      </c>
      <c r="W115" s="930"/>
      <c r="X115" s="930" t="s">
        <v>894</v>
      </c>
      <c r="Y115" s="930"/>
      <c r="AE115" s="570"/>
      <c r="AH115" s="570"/>
      <c r="AI115" s="570"/>
      <c r="AJ115" s="570"/>
      <c r="AK115" s="570"/>
    </row>
    <row r="116" spans="1:37" s="516" customFormat="1" x14ac:dyDescent="0.3">
      <c r="A116" s="934" t="s">
        <v>769</v>
      </c>
      <c r="B116" s="934"/>
      <c r="C116" s="332"/>
      <c r="D116" s="357"/>
      <c r="E116" s="575"/>
      <c r="F116" s="575"/>
      <c r="G116" s="575"/>
      <c r="H116" s="575"/>
      <c r="I116" s="575"/>
      <c r="J116" s="575"/>
      <c r="K116" s="575"/>
      <c r="L116" s="575"/>
      <c r="M116" s="575"/>
      <c r="N116" s="575"/>
      <c r="O116" s="575"/>
      <c r="P116" s="575"/>
      <c r="Q116" s="515"/>
      <c r="R116" s="515"/>
      <c r="V116" s="563" t="s">
        <v>364</v>
      </c>
      <c r="W116" s="563" t="s">
        <v>365</v>
      </c>
      <c r="X116" s="563" t="s">
        <v>364</v>
      </c>
      <c r="Y116" s="563" t="s">
        <v>365</v>
      </c>
      <c r="AE116" s="570"/>
      <c r="AH116" s="570"/>
      <c r="AI116" s="570"/>
      <c r="AJ116" s="570"/>
      <c r="AK116" s="570"/>
    </row>
    <row r="117" spans="1:37" s="516" customFormat="1" x14ac:dyDescent="0.3">
      <c r="A117" s="926" t="s">
        <v>768</v>
      </c>
      <c r="B117" s="926"/>
      <c r="C117" s="332">
        <v>24447.100000000093</v>
      </c>
      <c r="D117" s="357"/>
      <c r="E117" s="574"/>
      <c r="F117" s="574"/>
      <c r="G117" s="574"/>
      <c r="H117" s="574"/>
      <c r="I117" s="574"/>
      <c r="J117" s="574"/>
      <c r="K117" s="574"/>
      <c r="L117" s="574"/>
      <c r="M117" s="574"/>
      <c r="N117" s="574"/>
      <c r="O117" s="574"/>
      <c r="P117" s="574"/>
      <c r="Q117" s="574"/>
      <c r="R117" s="515"/>
      <c r="V117" s="646">
        <f ca="1">Common!E4</f>
        <v>0.67179999999999995</v>
      </c>
      <c r="W117" s="646">
        <f ca="1">Common!F4</f>
        <v>0.32819999999999999</v>
      </c>
      <c r="X117" s="646">
        <f ca="1">V117</f>
        <v>0.67179999999999995</v>
      </c>
      <c r="Y117" s="646">
        <f ca="1">W117</f>
        <v>0.32819999999999999</v>
      </c>
      <c r="AE117" s="570"/>
      <c r="AF117" s="690"/>
      <c r="AH117" s="570"/>
      <c r="AI117" s="690"/>
      <c r="AJ117" s="570"/>
      <c r="AK117" s="570"/>
    </row>
    <row r="118" spans="1:37" s="516" customFormat="1" x14ac:dyDescent="0.3">
      <c r="A118" s="926" t="s">
        <v>767</v>
      </c>
      <c r="B118" s="926"/>
      <c r="C118" s="332">
        <v>-25234.389999999898</v>
      </c>
      <c r="D118" s="357"/>
      <c r="E118" s="515"/>
      <c r="F118" s="515"/>
      <c r="G118" s="515"/>
      <c r="H118" s="515"/>
      <c r="I118" s="515"/>
      <c r="J118" s="515"/>
      <c r="K118" s="515"/>
      <c r="L118" s="515"/>
      <c r="M118" s="515"/>
      <c r="N118" s="515"/>
      <c r="O118" s="515"/>
      <c r="P118" s="515"/>
      <c r="Q118" s="515"/>
      <c r="R118" s="515"/>
      <c r="AE118" s="570"/>
      <c r="AH118" s="570"/>
      <c r="AI118" s="570"/>
      <c r="AJ118" s="570"/>
      <c r="AK118" s="570"/>
    </row>
    <row r="119" spans="1:37" s="516" customFormat="1" x14ac:dyDescent="0.3">
      <c r="A119" s="926" t="s">
        <v>766</v>
      </c>
      <c r="B119" s="926"/>
      <c r="C119" s="332">
        <v>-333212.98000000045</v>
      </c>
      <c r="D119" s="357"/>
      <c r="E119" s="515"/>
      <c r="F119" s="515"/>
      <c r="G119" s="515"/>
      <c r="H119" s="515"/>
      <c r="I119" s="515"/>
      <c r="J119" s="515"/>
      <c r="K119" s="515"/>
      <c r="L119" s="515"/>
      <c r="M119" s="515"/>
      <c r="N119" s="515"/>
      <c r="O119" s="515"/>
      <c r="P119" s="515"/>
      <c r="Q119" s="515"/>
      <c r="R119" s="515"/>
      <c r="U119" s="648" t="s">
        <v>889</v>
      </c>
      <c r="V119" s="651">
        <f ca="1">(T27)*V117</f>
        <v>105787.14347799998</v>
      </c>
      <c r="X119" s="659">
        <f ca="1">U27*V117</f>
        <v>9072.2021759999989</v>
      </c>
      <c r="AE119" s="570"/>
      <c r="AH119" s="570"/>
      <c r="AI119" s="570"/>
      <c r="AJ119" s="570"/>
      <c r="AK119" s="570"/>
    </row>
    <row r="120" spans="1:37" s="516" customFormat="1" x14ac:dyDescent="0.3">
      <c r="A120" s="926" t="s">
        <v>765</v>
      </c>
      <c r="B120" s="926"/>
      <c r="C120" s="332">
        <v>1277.6199999999953</v>
      </c>
      <c r="D120" s="357"/>
      <c r="E120" s="515"/>
      <c r="F120" s="515"/>
      <c r="G120" s="515"/>
      <c r="H120" s="515"/>
      <c r="I120" s="515"/>
      <c r="J120" s="515"/>
      <c r="K120" s="515"/>
      <c r="L120" s="515"/>
      <c r="M120" s="515"/>
      <c r="N120" s="515"/>
      <c r="O120" s="515"/>
      <c r="P120" s="515"/>
      <c r="Q120" s="515"/>
      <c r="R120" s="515"/>
      <c r="U120" s="648" t="s">
        <v>890</v>
      </c>
      <c r="V120" s="649">
        <f ca="1">(T27)*W117</f>
        <v>51681.066521999994</v>
      </c>
      <c r="X120" s="649">
        <f ca="1">U27*Y117</f>
        <v>4432.1178239999999</v>
      </c>
      <c r="AE120" s="570"/>
      <c r="AH120" s="570"/>
      <c r="AI120" s="570"/>
      <c r="AJ120" s="570"/>
      <c r="AK120" s="570"/>
    </row>
    <row r="121" spans="1:37" x14ac:dyDescent="0.3">
      <c r="A121" s="927" t="s">
        <v>764</v>
      </c>
      <c r="B121" s="927"/>
      <c r="C121" s="332">
        <v>159595.62999999989</v>
      </c>
      <c r="D121" s="357"/>
      <c r="V121" s="519">
        <f ca="1">SUM(V119:V120)</f>
        <v>157468.20999999996</v>
      </c>
      <c r="X121" s="519">
        <f ca="1">SUM(X119:X120)</f>
        <v>13504.32</v>
      </c>
    </row>
    <row r="122" spans="1:37" ht="14.4" thickBot="1" x14ac:dyDescent="0.35">
      <c r="A122" s="928" t="s">
        <v>763</v>
      </c>
      <c r="B122" s="928"/>
      <c r="C122" s="331">
        <f>SUM(C117:C121)</f>
        <v>-173127.02000000037</v>
      </c>
      <c r="D122" s="357"/>
      <c r="V122" s="650">
        <f ca="1">(T27)-V121</f>
        <v>0</v>
      </c>
      <c r="W122" s="633" t="s">
        <v>888</v>
      </c>
      <c r="X122" s="519">
        <f ca="1">U27-X121</f>
        <v>0</v>
      </c>
      <c r="Y122" s="633" t="s">
        <v>888</v>
      </c>
    </row>
    <row r="123" spans="1:37" ht="14.4" thickTop="1" x14ac:dyDescent="0.3">
      <c r="A123" s="929" t="s">
        <v>787</v>
      </c>
      <c r="B123" s="929"/>
      <c r="C123" s="332"/>
      <c r="D123" s="357"/>
      <c r="V123" s="519"/>
      <c r="X123" s="515"/>
    </row>
    <row r="124" spans="1:37" x14ac:dyDescent="0.3">
      <c r="A124" s="926" t="s">
        <v>786</v>
      </c>
      <c r="B124" s="926"/>
      <c r="C124" s="332">
        <v>-3186.4800000000978</v>
      </c>
      <c r="D124" s="357"/>
      <c r="V124" s="519"/>
      <c r="W124" s="519"/>
      <c r="X124" s="515"/>
    </row>
    <row r="125" spans="1:37" x14ac:dyDescent="0.3">
      <c r="A125" s="926" t="s">
        <v>785</v>
      </c>
      <c r="B125" s="926"/>
      <c r="C125" s="332">
        <v>8148.3699999999953</v>
      </c>
      <c r="D125" s="357"/>
      <c r="V125" s="519"/>
      <c r="W125" s="519"/>
      <c r="X125" s="515"/>
    </row>
    <row r="126" spans="1:37" ht="14.4" thickBot="1" x14ac:dyDescent="0.35">
      <c r="A126" s="347" t="s">
        <v>784</v>
      </c>
      <c r="B126" s="518"/>
      <c r="C126" s="346">
        <f>SUM(C124:C125)</f>
        <v>4961.8899999998976</v>
      </c>
      <c r="D126" s="357"/>
      <c r="V126" s="806"/>
      <c r="X126" s="515"/>
    </row>
    <row r="127" spans="1:37" s="569" customFormat="1" ht="14.4" thickTop="1" x14ac:dyDescent="0.3">
      <c r="C127" s="573"/>
      <c r="D127" s="573"/>
      <c r="H127" s="572"/>
      <c r="J127" s="571"/>
      <c r="K127" s="570"/>
      <c r="L127" s="570"/>
      <c r="M127" s="570"/>
    </row>
    <row r="128" spans="1:37" x14ac:dyDescent="0.3">
      <c r="A128" s="515" t="s">
        <v>856</v>
      </c>
    </row>
    <row r="129" spans="1:37" x14ac:dyDescent="0.3">
      <c r="A129" s="515" t="s">
        <v>880</v>
      </c>
      <c r="AE129" s="515"/>
      <c r="AH129" s="515"/>
      <c r="AI129" s="515"/>
      <c r="AJ129" s="515"/>
      <c r="AK129" s="515"/>
    </row>
    <row r="130" spans="1:37" s="568" customFormat="1" x14ac:dyDescent="0.3">
      <c r="A130" s="515" t="s">
        <v>977</v>
      </c>
      <c r="C130" s="515"/>
      <c r="D130" s="515"/>
      <c r="E130" s="515"/>
      <c r="F130" s="515"/>
      <c r="G130" s="515"/>
      <c r="H130" s="515"/>
      <c r="I130" s="515"/>
      <c r="J130" s="515"/>
      <c r="K130" s="515"/>
      <c r="L130" s="515"/>
      <c r="M130" s="515"/>
      <c r="N130" s="515"/>
      <c r="O130" s="515"/>
      <c r="P130" s="515"/>
      <c r="Q130" s="515"/>
      <c r="R130" s="515"/>
      <c r="S130" s="515"/>
      <c r="T130" s="515"/>
      <c r="U130" s="515"/>
      <c r="V130" s="515"/>
      <c r="W130" s="515"/>
      <c r="X130" s="332"/>
    </row>
    <row r="131" spans="1:37" x14ac:dyDescent="0.3">
      <c r="A131" s="569" t="s">
        <v>978</v>
      </c>
    </row>
  </sheetData>
  <mergeCells count="22">
    <mergeCell ref="X24:Y27"/>
    <mergeCell ref="D79:I79"/>
    <mergeCell ref="D80:H80"/>
    <mergeCell ref="A82:Y82"/>
    <mergeCell ref="E88:H88"/>
    <mergeCell ref="B101:D101"/>
    <mergeCell ref="E101:H101"/>
    <mergeCell ref="A111:Y111"/>
    <mergeCell ref="A115:B115"/>
    <mergeCell ref="A116:B116"/>
    <mergeCell ref="A112:Y112"/>
    <mergeCell ref="A117:B117"/>
    <mergeCell ref="A118:B118"/>
    <mergeCell ref="A119:B119"/>
    <mergeCell ref="V115:W115"/>
    <mergeCell ref="X115:Y115"/>
    <mergeCell ref="A125:B125"/>
    <mergeCell ref="A120:B120"/>
    <mergeCell ref="A121:B121"/>
    <mergeCell ref="A122:B122"/>
    <mergeCell ref="A123:B123"/>
    <mergeCell ref="A124:B124"/>
  </mergeCells>
  <conditionalFormatting sqref="C126">
    <cfRule type="duplicateValues" dxfId="0" priority="1"/>
  </conditionalFormatting>
  <pageMargins left="0.7" right="0.7" top="0.75" bottom="0.75" header="0.3" footer="0.3"/>
  <pageSetup paperSize="5" scale="55" fitToWidth="0" fitToHeight="0" orientation="landscape" r:id="rId1"/>
  <headerFooter>
    <oddHeader>&amp;C&amp;"-,Bold"&amp;11Puget Sound Energy
Reclass for ARO Accretion and ARC Depreciation  October 2015 - September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pane ySplit="1" topLeftCell="A2" activePane="bottomLeft" state="frozen"/>
      <selection pane="bottomLeft" activeCell="F37" sqref="F37"/>
    </sheetView>
  </sheetViews>
  <sheetFormatPr defaultColWidth="8.88671875" defaultRowHeight="13.2" x14ac:dyDescent="0.25"/>
  <cols>
    <col min="1" max="1" width="38.33203125" style="186" bestFit="1" customWidth="1"/>
    <col min="2" max="2" width="4.88671875" style="193" customWidth="1"/>
    <col min="3" max="3" width="13.88671875" style="186" customWidth="1"/>
    <col min="4" max="4" width="3.44140625" style="193" customWidth="1"/>
    <col min="5" max="7" width="13.88671875" style="186" customWidth="1"/>
    <col min="8" max="8" width="4.88671875" style="193" customWidth="1"/>
    <col min="9" max="9" width="6.5546875" style="772" bestFit="1" customWidth="1"/>
    <col min="10" max="16384" width="8.88671875" style="186"/>
  </cols>
  <sheetData>
    <row r="1" spans="1:10" x14ac:dyDescent="0.25">
      <c r="A1" s="189" t="s">
        <v>923</v>
      </c>
      <c r="B1" s="760"/>
      <c r="C1" s="315" t="s">
        <v>762</v>
      </c>
      <c r="D1" s="761"/>
      <c r="E1" s="315" t="s">
        <v>364</v>
      </c>
      <c r="F1" s="315" t="s">
        <v>365</v>
      </c>
      <c r="G1" s="315" t="s">
        <v>916</v>
      </c>
      <c r="H1" s="761"/>
      <c r="I1" s="762" t="s">
        <v>658</v>
      </c>
    </row>
    <row r="2" spans="1:10" x14ac:dyDescent="0.25">
      <c r="A2" s="186" t="s">
        <v>924</v>
      </c>
      <c r="C2" s="763">
        <f>SUM(E2:G2)</f>
        <v>388358848</v>
      </c>
      <c r="D2" s="764"/>
      <c r="E2" s="763">
        <v>250591014</v>
      </c>
      <c r="F2" s="763">
        <v>114732150</v>
      </c>
      <c r="G2" s="763">
        <v>23035684</v>
      </c>
      <c r="H2" s="764"/>
      <c r="I2" s="765"/>
    </row>
    <row r="3" spans="1:10" x14ac:dyDescent="0.25">
      <c r="A3" s="186" t="s">
        <v>925</v>
      </c>
      <c r="C3" s="763">
        <f>SUM(E3:G3)</f>
        <v>45296621.93</v>
      </c>
      <c r="D3" s="764"/>
      <c r="E3" s="763">
        <v>11877723</v>
      </c>
      <c r="F3" s="763">
        <v>1734999</v>
      </c>
      <c r="G3" s="763">
        <f>30769970+756461.72+157468.21</f>
        <v>31683899.93</v>
      </c>
      <c r="H3" s="764"/>
      <c r="I3" s="765"/>
      <c r="J3" s="766" t="s">
        <v>926</v>
      </c>
    </row>
    <row r="4" spans="1:10" ht="13.8" thickBot="1" x14ac:dyDescent="0.3">
      <c r="A4" s="66" t="s">
        <v>927</v>
      </c>
      <c r="B4" s="767"/>
      <c r="C4" s="768">
        <v>433655470.41000003</v>
      </c>
      <c r="D4" s="764"/>
      <c r="E4" s="768">
        <v>262468737.40000001</v>
      </c>
      <c r="F4" s="768">
        <v>116467149.31999999</v>
      </c>
      <c r="G4" s="768">
        <f>54719583.69</f>
        <v>54719583.689999998</v>
      </c>
      <c r="H4" s="764"/>
      <c r="I4" s="765">
        <f>C4-E4-F4-G4</f>
        <v>0</v>
      </c>
    </row>
    <row r="5" spans="1:10" ht="13.8" thickTop="1" x14ac:dyDescent="0.25">
      <c r="C5" s="763">
        <f>C4-C3-C2</f>
        <v>0.48000001907348633</v>
      </c>
      <c r="D5" s="764"/>
      <c r="E5" s="763">
        <f>E4-E3-E2</f>
        <v>0.40000000596046448</v>
      </c>
      <c r="F5" s="763">
        <f t="shared" ref="F5:G5" si="0">F4-F3-F2</f>
        <v>0.31999999284744263</v>
      </c>
      <c r="G5" s="763">
        <f t="shared" si="0"/>
        <v>-0.24000000208616257</v>
      </c>
      <c r="H5" s="764"/>
      <c r="I5" s="765"/>
    </row>
    <row r="6" spans="1:10" x14ac:dyDescent="0.25">
      <c r="A6" s="769" t="s">
        <v>928</v>
      </c>
      <c r="B6" s="769"/>
      <c r="C6" s="763"/>
      <c r="D6" s="764"/>
      <c r="E6" s="763"/>
      <c r="F6" s="763"/>
      <c r="G6" s="763"/>
      <c r="H6" s="764"/>
      <c r="I6" s="765"/>
    </row>
    <row r="7" spans="1:10" x14ac:dyDescent="0.25">
      <c r="A7" s="766" t="s">
        <v>929</v>
      </c>
      <c r="B7" s="770"/>
      <c r="C7" s="25">
        <f>SUM(E7:G7)</f>
        <v>-884454.47</v>
      </c>
      <c r="D7" s="764"/>
      <c r="E7" s="21">
        <v>-481479.76</v>
      </c>
      <c r="F7" s="21">
        <v>-237283.35</v>
      </c>
      <c r="G7" s="21">
        <v>-165691.35999999999</v>
      </c>
      <c r="H7" s="764"/>
      <c r="I7" s="765">
        <f>C7-E7-F7-G7</f>
        <v>0</v>
      </c>
    </row>
    <row r="8" spans="1:10" x14ac:dyDescent="0.25">
      <c r="A8" s="766" t="s">
        <v>930</v>
      </c>
      <c r="B8" s="770"/>
      <c r="C8" s="763">
        <v>-756461.72</v>
      </c>
      <c r="D8" s="764"/>
      <c r="E8" s="763"/>
      <c r="F8" s="763"/>
      <c r="G8" s="763">
        <f>C8</f>
        <v>-756461.72</v>
      </c>
      <c r="H8" s="764"/>
      <c r="I8" s="765">
        <f>C8-E8-F8-G8</f>
        <v>0</v>
      </c>
    </row>
    <row r="9" spans="1:10" x14ac:dyDescent="0.25">
      <c r="C9" s="763"/>
      <c r="D9" s="764"/>
      <c r="E9" s="763"/>
      <c r="F9" s="763"/>
      <c r="G9" s="763"/>
      <c r="H9" s="764"/>
      <c r="I9" s="765"/>
    </row>
    <row r="10" spans="1:10" x14ac:dyDescent="0.25">
      <c r="C10" s="763"/>
      <c r="D10" s="764"/>
      <c r="E10" s="763"/>
      <c r="F10" s="763"/>
      <c r="G10" s="763"/>
      <c r="H10" s="764"/>
      <c r="I10" s="765"/>
    </row>
    <row r="11" spans="1:10" x14ac:dyDescent="0.25">
      <c r="A11" s="769" t="s">
        <v>931</v>
      </c>
      <c r="B11" s="769"/>
      <c r="C11" s="763"/>
      <c r="D11" s="764"/>
      <c r="E11" s="763"/>
      <c r="F11" s="763"/>
      <c r="G11" s="763"/>
      <c r="H11" s="764"/>
      <c r="I11" s="765"/>
    </row>
    <row r="12" spans="1:10" x14ac:dyDescent="0.25">
      <c r="A12" s="766">
        <v>40300341</v>
      </c>
      <c r="B12" s="770"/>
      <c r="C12" s="21">
        <v>-173057.07</v>
      </c>
      <c r="D12" s="764"/>
      <c r="E12" s="763"/>
      <c r="F12" s="763">
        <f>C12</f>
        <v>-173057.07</v>
      </c>
      <c r="G12" s="763"/>
      <c r="H12" s="764"/>
      <c r="I12" s="765">
        <f>C12-E12-F12-G12</f>
        <v>0</v>
      </c>
      <c r="J12" s="766" t="s">
        <v>932</v>
      </c>
    </row>
    <row r="13" spans="1:10" x14ac:dyDescent="0.25">
      <c r="C13" s="763"/>
      <c r="D13" s="764"/>
      <c r="E13" s="763"/>
      <c r="F13" s="763"/>
      <c r="G13" s="763"/>
      <c r="H13" s="764"/>
      <c r="I13" s="765"/>
    </row>
    <row r="14" spans="1:10" ht="13.8" thickBot="1" x14ac:dyDescent="0.3">
      <c r="A14" s="771" t="s">
        <v>933</v>
      </c>
      <c r="B14" s="760"/>
      <c r="C14" s="768">
        <f>SUBTOTAL(9,C4:C13)</f>
        <v>431841497.63</v>
      </c>
      <c r="D14" s="764"/>
      <c r="E14" s="768">
        <f>SUBTOTAL(9,E4:E13)</f>
        <v>261987258.04000002</v>
      </c>
      <c r="F14" s="768">
        <f t="shared" ref="F14:G14" si="1">SUBTOTAL(9,F4:F13)</f>
        <v>116056809.22</v>
      </c>
      <c r="G14" s="768">
        <f t="shared" si="1"/>
        <v>53797430.369999997</v>
      </c>
      <c r="H14" s="764"/>
      <c r="I14" s="765">
        <f>C14-E14-F14-G14</f>
        <v>0</v>
      </c>
    </row>
    <row r="15" spans="1:10" ht="13.8" thickTop="1" x14ac:dyDescent="0.25">
      <c r="C15" s="763"/>
      <c r="D15" s="764"/>
      <c r="E15" s="763"/>
      <c r="F15" s="763"/>
      <c r="G15" s="763"/>
      <c r="H15" s="764"/>
      <c r="I15" s="765"/>
    </row>
    <row r="16" spans="1:10" x14ac:dyDescent="0.25">
      <c r="A16" s="189" t="s">
        <v>934</v>
      </c>
      <c r="B16" s="760"/>
      <c r="C16" s="763"/>
      <c r="D16" s="764"/>
      <c r="E16" s="763"/>
      <c r="F16" s="763"/>
      <c r="G16" s="763"/>
      <c r="H16" s="764"/>
      <c r="I16" s="765"/>
    </row>
    <row r="17" spans="1:9" x14ac:dyDescent="0.25">
      <c r="A17" s="186" t="s">
        <v>935</v>
      </c>
      <c r="C17" s="763">
        <v>390437769.87</v>
      </c>
      <c r="D17" s="764"/>
      <c r="E17" s="763">
        <v>252831199.00999999</v>
      </c>
      <c r="F17" s="763">
        <v>114495844.76000001</v>
      </c>
      <c r="G17" s="763">
        <v>23110726.100000001</v>
      </c>
      <c r="H17" s="764"/>
      <c r="I17" s="765">
        <f>C17-E17-F17-G17</f>
        <v>0</v>
      </c>
    </row>
    <row r="18" spans="1:9" x14ac:dyDescent="0.25">
      <c r="A18" s="186" t="s">
        <v>936</v>
      </c>
      <c r="C18" s="763">
        <v>41403037.439999998</v>
      </c>
      <c r="D18" s="764"/>
      <c r="E18" s="763">
        <v>9155368.7899999991</v>
      </c>
      <c r="F18" s="763">
        <v>1560964.14</v>
      </c>
      <c r="G18" s="763">
        <v>30686704.510000002</v>
      </c>
      <c r="H18" s="764"/>
      <c r="I18" s="765">
        <f t="shared" ref="I18:I20" si="2">C18-E18-F18-G18</f>
        <v>0</v>
      </c>
    </row>
    <row r="19" spans="1:9" ht="13.8" thickBot="1" x14ac:dyDescent="0.3">
      <c r="A19" s="771" t="s">
        <v>937</v>
      </c>
      <c r="B19" s="760"/>
      <c r="C19" s="768">
        <f>SUBTOTAL(9,C17:C18)</f>
        <v>431840807.31</v>
      </c>
      <c r="D19" s="764"/>
      <c r="E19" s="768">
        <f t="shared" ref="E19:G19" si="3">SUBTOTAL(9,E17:E18)</f>
        <v>261986567.79999998</v>
      </c>
      <c r="F19" s="768">
        <f t="shared" si="3"/>
        <v>116056808.90000001</v>
      </c>
      <c r="G19" s="768">
        <f t="shared" si="3"/>
        <v>53797430.609999999</v>
      </c>
      <c r="H19" s="764"/>
      <c r="I19" s="765">
        <f t="shared" si="2"/>
        <v>0</v>
      </c>
    </row>
    <row r="20" spans="1:9" ht="13.8" thickTop="1" x14ac:dyDescent="0.25">
      <c r="A20" s="766" t="s">
        <v>658</v>
      </c>
      <c r="B20" s="770"/>
      <c r="C20" s="763">
        <f>C14-C19</f>
        <v>690.31999999284744</v>
      </c>
      <c r="D20" s="764"/>
      <c r="E20" s="763">
        <f>E14-E19</f>
        <v>690.24000003933907</v>
      </c>
      <c r="F20" s="763">
        <f>F14-F19</f>
        <v>0.31999999284744263</v>
      </c>
      <c r="G20" s="763">
        <f>G14-G19</f>
        <v>-0.24000000208616257</v>
      </c>
      <c r="H20" s="764"/>
      <c r="I20" s="765">
        <f t="shared" si="2"/>
        <v>-3.7252902984619141E-8</v>
      </c>
    </row>
    <row r="22" spans="1:9" x14ac:dyDescent="0.25">
      <c r="A22" s="189" t="s">
        <v>938</v>
      </c>
      <c r="B22" s="760"/>
    </row>
    <row r="23" spans="1:9" x14ac:dyDescent="0.25">
      <c r="A23" s="766" t="s">
        <v>939</v>
      </c>
      <c r="B23" s="770"/>
      <c r="C23" s="763">
        <f>SUM(E23:G23)</f>
        <v>-856858.48</v>
      </c>
      <c r="D23" s="764"/>
      <c r="E23" s="763">
        <v>-61849.08</v>
      </c>
      <c r="F23" s="763">
        <v>-927658</v>
      </c>
      <c r="G23" s="763">
        <v>132648.6</v>
      </c>
      <c r="H23" s="764"/>
    </row>
    <row r="27" spans="1:9" x14ac:dyDescent="0.25">
      <c r="C27" s="773" t="s">
        <v>94</v>
      </c>
      <c r="E27" s="775">
        <f>Electric!D405</f>
        <v>808903.53</v>
      </c>
      <c r="G27" s="190">
        <f>Common!D24</f>
        <v>374087.05000000005</v>
      </c>
    </row>
    <row r="28" spans="1:9" x14ac:dyDescent="0.25">
      <c r="C28" s="773" t="s">
        <v>118</v>
      </c>
      <c r="E28" s="191">
        <f>Electric!D425</f>
        <v>363063.32999999996</v>
      </c>
      <c r="G28" s="191">
        <f>Common!D34</f>
        <v>24310.800000000003</v>
      </c>
    </row>
    <row r="29" spans="1:9" x14ac:dyDescent="0.25">
      <c r="C29" s="774" t="s">
        <v>940</v>
      </c>
      <c r="E29" s="775">
        <f>SUM(E27:E28)</f>
        <v>1171966.8599999999</v>
      </c>
      <c r="G29" s="775">
        <f>SUM(G27:G28)</f>
        <v>398397.85000000003</v>
      </c>
    </row>
    <row r="30" spans="1:9" x14ac:dyDescent="0.25">
      <c r="C30" s="774" t="s">
        <v>941</v>
      </c>
      <c r="E30" s="776">
        <f>-E7</f>
        <v>481479.76</v>
      </c>
      <c r="G30" s="776">
        <f>-G7</f>
        <v>165691.35999999999</v>
      </c>
    </row>
    <row r="31" spans="1:9" x14ac:dyDescent="0.25">
      <c r="C31" s="774" t="s">
        <v>942</v>
      </c>
      <c r="E31" s="514">
        <f>E30/E29</f>
        <v>0.4108305246788293</v>
      </c>
      <c r="G31" s="514">
        <f>G30/G29</f>
        <v>0.41589421228051299</v>
      </c>
    </row>
    <row r="32" spans="1:9" x14ac:dyDescent="0.25">
      <c r="C32" s="774" t="s">
        <v>943</v>
      </c>
      <c r="E32" s="777">
        <f>1-E31</f>
        <v>0.5891694753211707</v>
      </c>
      <c r="G32" s="777">
        <f>1-G31</f>
        <v>0.58410578771948707</v>
      </c>
    </row>
    <row r="41" spans="6:6" x14ac:dyDescent="0.25">
      <c r="F41" s="190"/>
    </row>
  </sheetData>
  <pageMargins left="0.7" right="0.7" top="0.75" bottom="0.75" header="0.3" footer="0.3"/>
  <pageSetup scale="52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57"/>
  <sheetViews>
    <sheetView topLeftCell="A461" workbookViewId="0">
      <selection activeCell="J482" sqref="J482"/>
    </sheetView>
  </sheetViews>
  <sheetFormatPr defaultRowHeight="13.2" outlineLevelCol="1" x14ac:dyDescent="0.25"/>
  <cols>
    <col min="2" max="2" width="58.6640625" customWidth="1" outlineLevel="1"/>
    <col min="3" max="3" width="15" customWidth="1" outlineLevel="1"/>
    <col min="4" max="4" width="14.5546875" customWidth="1" outlineLevel="1"/>
    <col min="5" max="5" width="14.5546875" bestFit="1" customWidth="1" outlineLevel="1"/>
    <col min="6" max="6" width="14" customWidth="1" outlineLevel="1"/>
    <col min="7" max="7" width="15" customWidth="1" outlineLevel="1"/>
    <col min="8" max="8" width="15.6640625" bestFit="1" customWidth="1"/>
    <col min="9" max="9" width="14.5546875" bestFit="1" customWidth="1"/>
    <col min="10" max="10" width="14" bestFit="1" customWidth="1"/>
  </cols>
  <sheetData>
    <row r="5" spans="1:8" x14ac:dyDescent="0.25">
      <c r="A5" s="766"/>
      <c r="B5" s="851">
        <f>Electric!A9</f>
        <v>311</v>
      </c>
      <c r="C5" s="855">
        <f>Electric!J9</f>
        <v>0</v>
      </c>
      <c r="D5" s="766">
        <f t="shared" ref="D5:D68" si="0">VLOOKUP(B5,$A$456:$A$537,1,FALSE)</f>
        <v>311</v>
      </c>
      <c r="H5" s="766"/>
    </row>
    <row r="6" spans="1:8" x14ac:dyDescent="0.25">
      <c r="A6" s="766"/>
      <c r="B6" s="851">
        <f t="shared" ref="B6:B19" si="1">B5</f>
        <v>311</v>
      </c>
      <c r="C6" s="511">
        <f>Electric!J10</f>
        <v>374645.17825186264</v>
      </c>
      <c r="D6" s="766">
        <f t="shared" si="0"/>
        <v>311</v>
      </c>
      <c r="H6" s="766"/>
    </row>
    <row r="7" spans="1:8" x14ac:dyDescent="0.25">
      <c r="A7" s="766"/>
      <c r="B7" s="851">
        <f t="shared" si="1"/>
        <v>311</v>
      </c>
      <c r="C7" s="511">
        <f>Electric!J11</f>
        <v>200477.32887833167</v>
      </c>
      <c r="D7" s="766">
        <f t="shared" si="0"/>
        <v>311</v>
      </c>
      <c r="H7" s="766"/>
    </row>
    <row r="8" spans="1:8" x14ac:dyDescent="0.25">
      <c r="A8" s="766"/>
      <c r="B8" s="851">
        <f t="shared" si="1"/>
        <v>311</v>
      </c>
      <c r="C8" s="511">
        <f>Electric!J12</f>
        <v>616643.97834586445</v>
      </c>
      <c r="D8" s="766">
        <f t="shared" si="0"/>
        <v>311</v>
      </c>
      <c r="H8" s="766"/>
    </row>
    <row r="9" spans="1:8" x14ac:dyDescent="0.25">
      <c r="A9" s="766"/>
      <c r="B9" s="851">
        <f t="shared" si="1"/>
        <v>311</v>
      </c>
      <c r="C9" s="511">
        <f>Electric!J13</f>
        <v>628454.06774647895</v>
      </c>
      <c r="D9" s="766">
        <f t="shared" si="0"/>
        <v>311</v>
      </c>
      <c r="H9" s="766"/>
    </row>
    <row r="10" spans="1:8" x14ac:dyDescent="0.25">
      <c r="A10" s="766"/>
      <c r="B10" s="851">
        <f t="shared" si="1"/>
        <v>311</v>
      </c>
      <c r="C10" s="511">
        <f>Electric!J14</f>
        <v>1520094.092632941</v>
      </c>
      <c r="D10" s="766">
        <f t="shared" si="0"/>
        <v>311</v>
      </c>
      <c r="H10" s="766"/>
    </row>
    <row r="11" spans="1:8" x14ac:dyDescent="0.25">
      <c r="A11" s="766"/>
      <c r="B11" s="851">
        <f t="shared" si="1"/>
        <v>311</v>
      </c>
      <c r="C11" s="511">
        <f>Electric!J15</f>
        <v>1236502.3007633584</v>
      </c>
      <c r="D11" s="766">
        <f t="shared" si="0"/>
        <v>311</v>
      </c>
      <c r="H11" s="766"/>
    </row>
    <row r="12" spans="1:8" x14ac:dyDescent="0.25">
      <c r="A12" s="766"/>
      <c r="B12" s="851">
        <f t="shared" si="1"/>
        <v>311</v>
      </c>
      <c r="C12" s="511">
        <f>Electric!J16</f>
        <v>254.79109479298609</v>
      </c>
      <c r="D12" s="766">
        <f t="shared" si="0"/>
        <v>311</v>
      </c>
      <c r="H12" s="766"/>
    </row>
    <row r="13" spans="1:8" x14ac:dyDescent="0.25">
      <c r="A13" s="766"/>
      <c r="B13" s="851">
        <f t="shared" si="1"/>
        <v>311</v>
      </c>
      <c r="C13" s="511">
        <f>Electric!J17</f>
        <v>-4764.496083866663</v>
      </c>
      <c r="D13" s="766">
        <f t="shared" si="0"/>
        <v>311</v>
      </c>
      <c r="H13" s="766"/>
    </row>
    <row r="14" spans="1:8" x14ac:dyDescent="0.25">
      <c r="A14" s="766"/>
      <c r="B14" s="851">
        <f t="shared" si="1"/>
        <v>311</v>
      </c>
      <c r="C14" s="511">
        <f>Electric!J18</f>
        <v>-611.26595843419818</v>
      </c>
      <c r="D14" s="766">
        <f t="shared" si="0"/>
        <v>311</v>
      </c>
      <c r="H14" s="766"/>
    </row>
    <row r="15" spans="1:8" x14ac:dyDescent="0.25">
      <c r="A15" s="766"/>
      <c r="B15" s="851">
        <f t="shared" si="1"/>
        <v>311</v>
      </c>
      <c r="C15" s="511">
        <f>Electric!J19</f>
        <v>-3565.1801931984883</v>
      </c>
      <c r="D15" s="766">
        <f t="shared" si="0"/>
        <v>311</v>
      </c>
      <c r="H15" s="766"/>
    </row>
    <row r="16" spans="1:8" x14ac:dyDescent="0.25">
      <c r="A16" s="766"/>
      <c r="B16" s="851">
        <f t="shared" si="1"/>
        <v>311</v>
      </c>
      <c r="C16" s="511">
        <f>Electric!J20</f>
        <v>4698.041719595989</v>
      </c>
      <c r="D16" s="766">
        <f t="shared" si="0"/>
        <v>311</v>
      </c>
      <c r="H16" s="766"/>
    </row>
    <row r="17" spans="1:8" x14ac:dyDescent="0.25">
      <c r="A17" s="766"/>
      <c r="B17" s="851">
        <f t="shared" si="1"/>
        <v>311</v>
      </c>
      <c r="C17" s="393"/>
      <c r="D17" s="766">
        <f t="shared" si="0"/>
        <v>311</v>
      </c>
      <c r="H17" s="766"/>
    </row>
    <row r="18" spans="1:8" x14ac:dyDescent="0.25">
      <c r="A18" s="766"/>
      <c r="B18" s="851">
        <f t="shared" si="1"/>
        <v>311</v>
      </c>
      <c r="C18" s="512"/>
      <c r="D18" s="766">
        <f t="shared" si="0"/>
        <v>311</v>
      </c>
      <c r="H18" s="766"/>
    </row>
    <row r="19" spans="1:8" x14ac:dyDescent="0.25">
      <c r="A19" s="766"/>
      <c r="B19" s="851">
        <f t="shared" si="1"/>
        <v>311</v>
      </c>
      <c r="C19" s="853"/>
      <c r="D19" s="766">
        <f t="shared" si="0"/>
        <v>311</v>
      </c>
      <c r="H19" s="766"/>
    </row>
    <row r="20" spans="1:8" x14ac:dyDescent="0.25">
      <c r="A20" s="766"/>
      <c r="B20" s="851">
        <f>Electric!A24</f>
        <v>312</v>
      </c>
      <c r="C20" s="393"/>
      <c r="D20" s="766">
        <f t="shared" si="0"/>
        <v>312</v>
      </c>
      <c r="H20" s="766"/>
    </row>
    <row r="21" spans="1:8" x14ac:dyDescent="0.25">
      <c r="A21" s="766"/>
      <c r="B21" s="851">
        <f t="shared" ref="B21:B35" si="2">B20</f>
        <v>312</v>
      </c>
      <c r="C21" s="511">
        <f>Electric!J25</f>
        <v>3641992.8537353501</v>
      </c>
      <c r="D21" s="766">
        <f t="shared" si="0"/>
        <v>312</v>
      </c>
      <c r="H21" s="766"/>
    </row>
    <row r="22" spans="1:8" x14ac:dyDescent="0.25">
      <c r="A22" s="766"/>
      <c r="B22" s="851">
        <f t="shared" si="2"/>
        <v>312</v>
      </c>
      <c r="C22" s="511">
        <f>Electric!J26</f>
        <v>3658213.970321178</v>
      </c>
      <c r="D22" s="766">
        <f t="shared" si="0"/>
        <v>312</v>
      </c>
      <c r="H22" s="766"/>
    </row>
    <row r="23" spans="1:8" x14ac:dyDescent="0.25">
      <c r="A23" s="766"/>
      <c r="B23" s="851">
        <f t="shared" si="2"/>
        <v>312</v>
      </c>
      <c r="C23" s="511">
        <f>Electric!J27</f>
        <v>3784022.9816666683</v>
      </c>
      <c r="D23" s="766">
        <f t="shared" si="0"/>
        <v>312</v>
      </c>
      <c r="H23" s="766"/>
    </row>
    <row r="24" spans="1:8" x14ac:dyDescent="0.25">
      <c r="A24" s="766"/>
      <c r="B24" s="851">
        <f t="shared" si="2"/>
        <v>312</v>
      </c>
      <c r="C24" s="511">
        <f>Electric!J28</f>
        <v>3728959.6236585383</v>
      </c>
      <c r="D24" s="766">
        <f t="shared" si="0"/>
        <v>312</v>
      </c>
      <c r="H24" s="766"/>
    </row>
    <row r="25" spans="1:8" x14ac:dyDescent="0.25">
      <c r="A25" s="766"/>
      <c r="B25" s="851">
        <f t="shared" si="2"/>
        <v>312</v>
      </c>
      <c r="C25" s="511">
        <f>Electric!J29</f>
        <v>280090.89802443481</v>
      </c>
      <c r="D25" s="766">
        <f t="shared" si="0"/>
        <v>312</v>
      </c>
      <c r="H25" s="766"/>
    </row>
    <row r="26" spans="1:8" x14ac:dyDescent="0.25">
      <c r="A26" s="766"/>
      <c r="B26" s="851">
        <f t="shared" si="2"/>
        <v>312</v>
      </c>
      <c r="C26" s="511">
        <f>Electric!J30</f>
        <v>397172.29342281882</v>
      </c>
      <c r="D26" s="766">
        <f t="shared" si="0"/>
        <v>312</v>
      </c>
      <c r="H26" s="766"/>
    </row>
    <row r="27" spans="1:8" x14ac:dyDescent="0.25">
      <c r="A27" s="766"/>
      <c r="B27" s="851">
        <f t="shared" si="2"/>
        <v>312</v>
      </c>
      <c r="C27" s="511">
        <f>Electric!J31</f>
        <v>-336146.98686799861</v>
      </c>
      <c r="D27" s="766">
        <f t="shared" si="0"/>
        <v>312</v>
      </c>
      <c r="H27" s="766"/>
    </row>
    <row r="28" spans="1:8" x14ac:dyDescent="0.25">
      <c r="A28" s="766"/>
      <c r="B28" s="851">
        <f t="shared" si="2"/>
        <v>312</v>
      </c>
      <c r="C28" s="511">
        <f>Electric!J32</f>
        <v>-111374.25623502908</v>
      </c>
      <c r="D28" s="766">
        <f t="shared" si="0"/>
        <v>312</v>
      </c>
      <c r="H28" s="766"/>
    </row>
    <row r="29" spans="1:8" x14ac:dyDescent="0.25">
      <c r="A29" s="766"/>
      <c r="B29" s="851">
        <f t="shared" si="2"/>
        <v>312</v>
      </c>
      <c r="C29" s="511">
        <f>Electric!J33</f>
        <v>-422341.11614332639</v>
      </c>
      <c r="D29" s="766">
        <f t="shared" si="0"/>
        <v>312</v>
      </c>
      <c r="H29" s="766"/>
    </row>
    <row r="30" spans="1:8" x14ac:dyDescent="0.25">
      <c r="A30" s="766"/>
      <c r="B30" s="851">
        <f t="shared" si="2"/>
        <v>312</v>
      </c>
      <c r="C30" s="511">
        <f>Electric!J34</f>
        <v>124986.52802105993</v>
      </c>
      <c r="D30" s="766">
        <f t="shared" si="0"/>
        <v>312</v>
      </c>
      <c r="H30" s="766"/>
    </row>
    <row r="31" spans="1:8" x14ac:dyDescent="0.25">
      <c r="A31" s="766"/>
      <c r="B31" s="851">
        <f t="shared" si="2"/>
        <v>312</v>
      </c>
      <c r="C31" s="511">
        <f>Electric!J35</f>
        <v>-115582.12557291472</v>
      </c>
      <c r="D31" s="766">
        <f t="shared" si="0"/>
        <v>312</v>
      </c>
      <c r="H31" s="766"/>
    </row>
    <row r="32" spans="1:8" x14ac:dyDescent="0.25">
      <c r="A32" s="766"/>
      <c r="B32" s="851">
        <f t="shared" si="2"/>
        <v>312</v>
      </c>
      <c r="C32" s="511">
        <f>Electric!J36</f>
        <v>274955.23421625199</v>
      </c>
      <c r="D32" s="766">
        <f t="shared" si="0"/>
        <v>312</v>
      </c>
      <c r="H32" s="766"/>
    </row>
    <row r="33" spans="1:8" x14ac:dyDescent="0.25">
      <c r="A33" s="766"/>
      <c r="B33" s="851">
        <f t="shared" si="2"/>
        <v>312</v>
      </c>
      <c r="C33" s="393"/>
      <c r="D33" s="766">
        <f t="shared" si="0"/>
        <v>312</v>
      </c>
      <c r="H33" s="766"/>
    </row>
    <row r="34" spans="1:8" x14ac:dyDescent="0.25">
      <c r="A34" s="766"/>
      <c r="B34" s="851">
        <f t="shared" si="2"/>
        <v>312</v>
      </c>
      <c r="C34" s="512"/>
      <c r="D34" s="766">
        <f t="shared" si="0"/>
        <v>312</v>
      </c>
      <c r="H34" s="766"/>
    </row>
    <row r="35" spans="1:8" x14ac:dyDescent="0.25">
      <c r="A35" s="766"/>
      <c r="B35" s="851">
        <f t="shared" si="2"/>
        <v>312</v>
      </c>
      <c r="C35" s="853"/>
      <c r="D35" s="766">
        <f t="shared" si="0"/>
        <v>312</v>
      </c>
      <c r="H35" s="766"/>
    </row>
    <row r="36" spans="1:8" x14ac:dyDescent="0.25">
      <c r="A36" s="766"/>
      <c r="B36" s="851">
        <f>Electric!A40</f>
        <v>314</v>
      </c>
      <c r="C36" s="393"/>
      <c r="D36" s="766">
        <f t="shared" si="0"/>
        <v>314</v>
      </c>
      <c r="H36" s="766"/>
    </row>
    <row r="37" spans="1:8" x14ac:dyDescent="0.25">
      <c r="A37" s="766"/>
      <c r="B37" s="851">
        <f t="shared" ref="B37:B50" si="3">B36</f>
        <v>314</v>
      </c>
      <c r="C37" s="511">
        <f>Electric!J41</f>
        <v>993705.33639433444</v>
      </c>
      <c r="D37" s="766">
        <f t="shared" si="0"/>
        <v>314</v>
      </c>
      <c r="H37" s="766"/>
    </row>
    <row r="38" spans="1:8" x14ac:dyDescent="0.25">
      <c r="A38" s="766"/>
      <c r="B38" s="851">
        <f t="shared" si="3"/>
        <v>314</v>
      </c>
      <c r="C38" s="511">
        <f>Electric!J42</f>
        <v>1239721.8066711663</v>
      </c>
      <c r="D38" s="766">
        <f t="shared" si="0"/>
        <v>314</v>
      </c>
      <c r="H38" s="766"/>
    </row>
    <row r="39" spans="1:8" x14ac:dyDescent="0.25">
      <c r="A39" s="766"/>
      <c r="B39" s="851">
        <f t="shared" si="3"/>
        <v>314</v>
      </c>
      <c r="C39" s="511">
        <f>Electric!J43</f>
        <v>2165627.5363636361</v>
      </c>
      <c r="D39" s="766">
        <f t="shared" si="0"/>
        <v>314</v>
      </c>
      <c r="H39" s="766"/>
    </row>
    <row r="40" spans="1:8" x14ac:dyDescent="0.25">
      <c r="A40" s="766"/>
      <c r="B40" s="851">
        <f t="shared" si="3"/>
        <v>314</v>
      </c>
      <c r="C40" s="511">
        <f>Electric!J44</f>
        <v>1760220.4912500002</v>
      </c>
      <c r="D40" s="766">
        <f t="shared" si="0"/>
        <v>314</v>
      </c>
      <c r="H40" s="766"/>
    </row>
    <row r="41" spans="1:8" x14ac:dyDescent="0.25">
      <c r="A41" s="766"/>
      <c r="B41" s="851">
        <f t="shared" si="3"/>
        <v>314</v>
      </c>
      <c r="C41" s="511">
        <f>Electric!J45</f>
        <v>178085.56514745837</v>
      </c>
      <c r="D41" s="766">
        <f t="shared" si="0"/>
        <v>314</v>
      </c>
      <c r="H41" s="766"/>
    </row>
    <row r="42" spans="1:8" x14ac:dyDescent="0.25">
      <c r="A42" s="766"/>
      <c r="B42" s="851">
        <f t="shared" si="3"/>
        <v>314</v>
      </c>
      <c r="C42" s="511">
        <f>Electric!J46</f>
        <v>-183090.07230643078</v>
      </c>
      <c r="D42" s="766">
        <f t="shared" si="0"/>
        <v>314</v>
      </c>
      <c r="H42" s="766"/>
    </row>
    <row r="43" spans="1:8" x14ac:dyDescent="0.25">
      <c r="A43" s="766"/>
      <c r="B43" s="851">
        <f t="shared" si="3"/>
        <v>314</v>
      </c>
      <c r="C43" s="511">
        <f>Electric!J47</f>
        <v>-61434.783537138312</v>
      </c>
      <c r="D43" s="766">
        <f t="shared" si="0"/>
        <v>314</v>
      </c>
      <c r="H43" s="766"/>
    </row>
    <row r="44" spans="1:8" x14ac:dyDescent="0.25">
      <c r="A44" s="766"/>
      <c r="B44" s="851">
        <f t="shared" si="3"/>
        <v>314</v>
      </c>
      <c r="C44" s="511">
        <f>Electric!J48</f>
        <v>-368584.48676934419</v>
      </c>
      <c r="D44" s="766">
        <f t="shared" si="0"/>
        <v>314</v>
      </c>
      <c r="H44" s="766"/>
    </row>
    <row r="45" spans="1:8" x14ac:dyDescent="0.25">
      <c r="A45" s="766"/>
      <c r="B45" s="851">
        <f t="shared" si="3"/>
        <v>314</v>
      </c>
      <c r="C45" s="511">
        <f>Electric!J49</f>
        <v>38740.805117345066</v>
      </c>
      <c r="D45" s="766">
        <f t="shared" si="0"/>
        <v>314</v>
      </c>
      <c r="H45" s="766"/>
    </row>
    <row r="46" spans="1:8" x14ac:dyDescent="0.25">
      <c r="A46" s="766"/>
      <c r="B46" s="851">
        <f t="shared" si="3"/>
        <v>314</v>
      </c>
      <c r="C46" s="511">
        <f>Electric!J50</f>
        <v>-46838.108663091436</v>
      </c>
      <c r="D46" s="766">
        <f t="shared" si="0"/>
        <v>314</v>
      </c>
      <c r="H46" s="766"/>
    </row>
    <row r="47" spans="1:8" x14ac:dyDescent="0.25">
      <c r="A47" s="766"/>
      <c r="B47" s="851">
        <f t="shared" si="3"/>
        <v>314</v>
      </c>
      <c r="C47" s="511">
        <f>Electric!J51</f>
        <v>166164.08133869251</v>
      </c>
      <c r="D47" s="766">
        <f t="shared" si="0"/>
        <v>314</v>
      </c>
      <c r="H47" s="766"/>
    </row>
    <row r="48" spans="1:8" x14ac:dyDescent="0.25">
      <c r="A48" s="766"/>
      <c r="B48" s="851">
        <f t="shared" si="3"/>
        <v>314</v>
      </c>
      <c r="C48" s="511"/>
      <c r="D48" s="766">
        <f t="shared" si="0"/>
        <v>314</v>
      </c>
      <c r="H48" s="766"/>
    </row>
    <row r="49" spans="1:8" x14ac:dyDescent="0.25">
      <c r="A49" s="766"/>
      <c r="B49" s="851">
        <f t="shared" si="3"/>
        <v>314</v>
      </c>
      <c r="C49" s="512"/>
      <c r="D49" s="766">
        <f t="shared" si="0"/>
        <v>314</v>
      </c>
      <c r="H49" s="766"/>
    </row>
    <row r="50" spans="1:8" x14ac:dyDescent="0.25">
      <c r="A50" s="766"/>
      <c r="B50" s="851">
        <f t="shared" si="3"/>
        <v>314</v>
      </c>
      <c r="C50" s="853"/>
      <c r="D50" s="766">
        <f t="shared" si="0"/>
        <v>314</v>
      </c>
      <c r="H50" s="766"/>
    </row>
    <row r="51" spans="1:8" x14ac:dyDescent="0.25">
      <c r="A51" s="766"/>
      <c r="B51" s="851">
        <f>Electric!A55</f>
        <v>315</v>
      </c>
      <c r="C51" s="393"/>
      <c r="D51" s="766">
        <f t="shared" si="0"/>
        <v>315</v>
      </c>
      <c r="H51" s="766"/>
    </row>
    <row r="52" spans="1:8" x14ac:dyDescent="0.25">
      <c r="A52" s="766"/>
      <c r="B52" s="851">
        <f t="shared" ref="B52:B66" si="4">B51</f>
        <v>315</v>
      </c>
      <c r="C52" s="511">
        <f>Electric!J56</f>
        <v>369134.22755118523</v>
      </c>
      <c r="D52" s="766">
        <f t="shared" si="0"/>
        <v>315</v>
      </c>
      <c r="H52" s="766"/>
    </row>
    <row r="53" spans="1:8" x14ac:dyDescent="0.25">
      <c r="A53" s="766"/>
      <c r="B53" s="851">
        <f t="shared" si="4"/>
        <v>315</v>
      </c>
      <c r="C53" s="511">
        <f>Electric!J57</f>
        <v>191995.24984657974</v>
      </c>
      <c r="D53" s="766">
        <f t="shared" si="0"/>
        <v>315</v>
      </c>
      <c r="H53" s="766"/>
    </row>
    <row r="54" spans="1:8" x14ac:dyDescent="0.25">
      <c r="A54" s="766"/>
      <c r="B54" s="851">
        <f t="shared" si="4"/>
        <v>315</v>
      </c>
      <c r="C54" s="511">
        <f>Electric!J58</f>
        <v>179899.40718749992</v>
      </c>
      <c r="D54" s="766">
        <f t="shared" si="0"/>
        <v>315</v>
      </c>
      <c r="H54" s="766"/>
    </row>
    <row r="55" spans="1:8" x14ac:dyDescent="0.25">
      <c r="A55" s="766"/>
      <c r="B55" s="851">
        <f t="shared" si="4"/>
        <v>315</v>
      </c>
      <c r="C55" s="511">
        <f>Electric!J59</f>
        <v>202065.21535714288</v>
      </c>
      <c r="D55" s="766">
        <f t="shared" si="0"/>
        <v>315</v>
      </c>
      <c r="H55" s="766"/>
    </row>
    <row r="56" spans="1:8" x14ac:dyDescent="0.25">
      <c r="A56" s="766"/>
      <c r="B56" s="851">
        <f t="shared" si="4"/>
        <v>315</v>
      </c>
      <c r="C56" s="511">
        <f>Electric!J60</f>
        <v>108373.63881404728</v>
      </c>
      <c r="D56" s="766">
        <f t="shared" si="0"/>
        <v>315</v>
      </c>
      <c r="H56" s="766"/>
    </row>
    <row r="57" spans="1:8" x14ac:dyDescent="0.25">
      <c r="A57" s="766"/>
      <c r="B57" s="851">
        <f t="shared" si="4"/>
        <v>315</v>
      </c>
      <c r="C57" s="511">
        <f>Electric!J61</f>
        <v>173435.217890625</v>
      </c>
      <c r="D57" s="766">
        <f t="shared" si="0"/>
        <v>315</v>
      </c>
      <c r="H57" s="766"/>
    </row>
    <row r="58" spans="1:8" x14ac:dyDescent="0.25">
      <c r="A58" s="766"/>
      <c r="B58" s="851">
        <f t="shared" si="4"/>
        <v>315</v>
      </c>
      <c r="C58" s="511">
        <f>Electric!J62</f>
        <v>-10579.48702721619</v>
      </c>
      <c r="D58" s="766">
        <f t="shared" si="0"/>
        <v>315</v>
      </c>
      <c r="H58" s="766"/>
    </row>
    <row r="59" spans="1:8" x14ac:dyDescent="0.25">
      <c r="A59" s="766"/>
      <c r="B59" s="851">
        <f t="shared" si="4"/>
        <v>315</v>
      </c>
      <c r="C59" s="511">
        <f>Electric!J63</f>
        <v>-3041.8766426609327</v>
      </c>
      <c r="D59" s="766">
        <f t="shared" si="0"/>
        <v>315</v>
      </c>
      <c r="H59" s="766"/>
    </row>
    <row r="60" spans="1:8" x14ac:dyDescent="0.25">
      <c r="A60" s="766"/>
      <c r="B60" s="851">
        <f t="shared" si="4"/>
        <v>315</v>
      </c>
      <c r="C60" s="511">
        <f>Electric!J64</f>
        <v>-54076.612792374835</v>
      </c>
      <c r="D60" s="766">
        <f t="shared" si="0"/>
        <v>315</v>
      </c>
      <c r="H60" s="766"/>
    </row>
    <row r="61" spans="1:8" x14ac:dyDescent="0.25">
      <c r="A61" s="766"/>
      <c r="B61" s="851">
        <f t="shared" si="4"/>
        <v>315</v>
      </c>
      <c r="C61" s="511">
        <f>Electric!J65</f>
        <v>-7053.8301058099023</v>
      </c>
      <c r="D61" s="766">
        <f t="shared" si="0"/>
        <v>315</v>
      </c>
      <c r="H61" s="766"/>
    </row>
    <row r="62" spans="1:8" x14ac:dyDescent="0.25">
      <c r="A62" s="766"/>
      <c r="B62" s="851">
        <f t="shared" si="4"/>
        <v>315</v>
      </c>
      <c r="C62" s="511">
        <f>Electric!J66</f>
        <v>-6171.8493812674997</v>
      </c>
      <c r="D62" s="766">
        <f t="shared" si="0"/>
        <v>315</v>
      </c>
      <c r="H62" s="766"/>
    </row>
    <row r="63" spans="1:8" x14ac:dyDescent="0.25">
      <c r="A63" s="766"/>
      <c r="B63" s="851">
        <f t="shared" si="4"/>
        <v>315</v>
      </c>
      <c r="C63" s="511">
        <f>Electric!J67</f>
        <v>4331.4303188109261</v>
      </c>
      <c r="D63" s="766">
        <f t="shared" si="0"/>
        <v>315</v>
      </c>
      <c r="H63" s="766"/>
    </row>
    <row r="64" spans="1:8" x14ac:dyDescent="0.25">
      <c r="A64" s="766"/>
      <c r="B64" s="851">
        <f t="shared" si="4"/>
        <v>315</v>
      </c>
      <c r="C64" s="393"/>
      <c r="D64" s="766">
        <f t="shared" si="0"/>
        <v>315</v>
      </c>
      <c r="H64" s="766"/>
    </row>
    <row r="65" spans="1:8" x14ac:dyDescent="0.25">
      <c r="A65" s="766"/>
      <c r="B65" s="851">
        <f t="shared" si="4"/>
        <v>315</v>
      </c>
      <c r="C65" s="512"/>
      <c r="D65" s="766">
        <f t="shared" si="0"/>
        <v>315</v>
      </c>
      <c r="H65" s="766"/>
    </row>
    <row r="66" spans="1:8" x14ac:dyDescent="0.25">
      <c r="A66" s="766"/>
      <c r="B66" s="851">
        <f t="shared" si="4"/>
        <v>315</v>
      </c>
      <c r="C66" s="853"/>
      <c r="D66" s="766">
        <f t="shared" si="0"/>
        <v>315</v>
      </c>
      <c r="H66" s="766"/>
    </row>
    <row r="67" spans="1:8" x14ac:dyDescent="0.25">
      <c r="A67" s="766"/>
      <c r="B67" s="851">
        <f>Electric!A71</f>
        <v>316</v>
      </c>
      <c r="C67" s="393"/>
      <c r="D67" s="766">
        <f t="shared" si="0"/>
        <v>316</v>
      </c>
      <c r="H67" s="766"/>
    </row>
    <row r="68" spans="1:8" x14ac:dyDescent="0.25">
      <c r="A68" s="766"/>
      <c r="B68" s="851">
        <f t="shared" ref="B68:B87" si="5">B67</f>
        <v>316</v>
      </c>
      <c r="C68" s="511">
        <f>Electric!J72</f>
        <v>33628.13722233595</v>
      </c>
      <c r="D68" s="766">
        <f t="shared" si="0"/>
        <v>316</v>
      </c>
      <c r="H68" s="766"/>
    </row>
    <row r="69" spans="1:8" x14ac:dyDescent="0.25">
      <c r="A69" s="766"/>
      <c r="B69" s="851">
        <f t="shared" si="5"/>
        <v>316</v>
      </c>
      <c r="C69" s="511">
        <f>Electric!J73</f>
        <v>38735.918210945296</v>
      </c>
      <c r="D69" s="766">
        <f t="shared" ref="D69:D132" si="6">VLOOKUP(B69,$A$456:$A$537,1,FALSE)</f>
        <v>316</v>
      </c>
      <c r="H69" s="766"/>
    </row>
    <row r="70" spans="1:8" x14ac:dyDescent="0.25">
      <c r="A70" s="766"/>
      <c r="B70" s="851">
        <f t="shared" si="5"/>
        <v>316</v>
      </c>
      <c r="C70" s="511">
        <f>Electric!J74</f>
        <v>48009.194228855726</v>
      </c>
      <c r="D70" s="766">
        <f t="shared" si="6"/>
        <v>316</v>
      </c>
      <c r="H70" s="766"/>
    </row>
    <row r="71" spans="1:8" x14ac:dyDescent="0.25">
      <c r="A71" s="766"/>
      <c r="B71" s="851">
        <f t="shared" si="5"/>
        <v>316</v>
      </c>
      <c r="C71" s="511">
        <f>Electric!J75</f>
        <v>55162.616165803105</v>
      </c>
      <c r="D71" s="766">
        <f t="shared" si="6"/>
        <v>316</v>
      </c>
      <c r="H71" s="766"/>
    </row>
    <row r="72" spans="1:8" x14ac:dyDescent="0.25">
      <c r="A72" s="766"/>
      <c r="B72" s="851">
        <f t="shared" si="5"/>
        <v>316</v>
      </c>
      <c r="C72" s="511">
        <f>Electric!J76</f>
        <v>279847.36829784891</v>
      </c>
      <c r="D72" s="766">
        <f t="shared" si="6"/>
        <v>316</v>
      </c>
      <c r="H72" s="766"/>
    </row>
    <row r="73" spans="1:8" x14ac:dyDescent="0.25">
      <c r="A73" s="766"/>
      <c r="B73" s="851">
        <f t="shared" si="5"/>
        <v>316</v>
      </c>
      <c r="C73" s="511">
        <f>Electric!J77</f>
        <v>1506.4282178115127</v>
      </c>
      <c r="D73" s="766">
        <f t="shared" si="6"/>
        <v>316</v>
      </c>
      <c r="H73" s="766"/>
    </row>
    <row r="74" spans="1:8" x14ac:dyDescent="0.25">
      <c r="A74" s="766"/>
      <c r="B74" s="851">
        <f t="shared" si="5"/>
        <v>316</v>
      </c>
      <c r="C74" s="511">
        <f>Electric!J78</f>
        <v>112442.63705521474</v>
      </c>
      <c r="D74" s="766">
        <f t="shared" si="6"/>
        <v>316</v>
      </c>
      <c r="H74" s="766"/>
    </row>
    <row r="75" spans="1:8" x14ac:dyDescent="0.25">
      <c r="A75" s="766"/>
      <c r="B75" s="851">
        <f t="shared" si="5"/>
        <v>316</v>
      </c>
      <c r="C75" s="511">
        <f>Electric!J79</f>
        <v>-2703.6455929565436</v>
      </c>
      <c r="D75" s="766">
        <f t="shared" si="6"/>
        <v>316</v>
      </c>
      <c r="H75" s="766"/>
    </row>
    <row r="76" spans="1:8" x14ac:dyDescent="0.25">
      <c r="A76" s="766"/>
      <c r="B76" s="851">
        <f t="shared" si="5"/>
        <v>316</v>
      </c>
      <c r="C76" s="511">
        <f>Electric!J80</f>
        <v>-41.523674373079714</v>
      </c>
      <c r="D76" s="766">
        <f t="shared" si="6"/>
        <v>316</v>
      </c>
      <c r="H76" s="766"/>
    </row>
    <row r="77" spans="1:8" x14ac:dyDescent="0.25">
      <c r="A77" s="766"/>
      <c r="B77" s="851">
        <f t="shared" si="5"/>
        <v>316</v>
      </c>
      <c r="C77" s="511">
        <f>Electric!J81</f>
        <v>-107.2258000071979</v>
      </c>
      <c r="D77" s="766">
        <f t="shared" si="6"/>
        <v>316</v>
      </c>
      <c r="H77" s="766"/>
    </row>
    <row r="78" spans="1:8" x14ac:dyDescent="0.25">
      <c r="A78" s="766"/>
      <c r="B78" s="851">
        <f t="shared" si="5"/>
        <v>316</v>
      </c>
      <c r="C78" s="511">
        <f>Electric!J82</f>
        <v>-1278.2095025451349</v>
      </c>
      <c r="D78" s="766">
        <f t="shared" si="6"/>
        <v>316</v>
      </c>
      <c r="H78" s="766"/>
    </row>
    <row r="79" spans="1:8" x14ac:dyDescent="0.25">
      <c r="A79" s="766"/>
      <c r="B79" s="851">
        <f t="shared" si="5"/>
        <v>316</v>
      </c>
      <c r="C79" s="511">
        <f>Electric!J83</f>
        <v>225.24675120035579</v>
      </c>
      <c r="D79" s="766">
        <f t="shared" si="6"/>
        <v>316</v>
      </c>
      <c r="H79" s="766"/>
    </row>
    <row r="80" spans="1:8" x14ac:dyDescent="0.25">
      <c r="A80" s="766"/>
      <c r="B80" s="851">
        <f t="shared" si="5"/>
        <v>316</v>
      </c>
      <c r="C80" s="393"/>
      <c r="D80" s="766">
        <f t="shared" si="6"/>
        <v>316</v>
      </c>
      <c r="H80" s="766"/>
    </row>
    <row r="81" spans="1:8" x14ac:dyDescent="0.25">
      <c r="A81" s="766"/>
      <c r="B81" s="851">
        <f t="shared" si="5"/>
        <v>316</v>
      </c>
      <c r="C81" s="512"/>
      <c r="D81" s="766">
        <f t="shared" si="6"/>
        <v>316</v>
      </c>
      <c r="H81" s="766"/>
    </row>
    <row r="82" spans="1:8" x14ac:dyDescent="0.25">
      <c r="A82" s="766"/>
      <c r="B82" s="851">
        <f t="shared" si="5"/>
        <v>316</v>
      </c>
      <c r="C82" s="853"/>
      <c r="D82" s="766">
        <f t="shared" si="6"/>
        <v>316</v>
      </c>
      <c r="H82" s="766"/>
    </row>
    <row r="83" spans="1:8" x14ac:dyDescent="0.25">
      <c r="A83" s="766"/>
      <c r="B83" s="851">
        <f t="shared" si="5"/>
        <v>316</v>
      </c>
      <c r="C83" s="136"/>
      <c r="D83" s="766">
        <f t="shared" si="6"/>
        <v>316</v>
      </c>
      <c r="H83" s="766"/>
    </row>
    <row r="84" spans="1:8" x14ac:dyDescent="0.25">
      <c r="A84" s="766"/>
      <c r="B84" s="851">
        <f t="shared" si="5"/>
        <v>316</v>
      </c>
      <c r="C84" s="854"/>
      <c r="D84" s="766">
        <f t="shared" si="6"/>
        <v>316</v>
      </c>
      <c r="H84" s="766"/>
    </row>
    <row r="85" spans="1:8" x14ac:dyDescent="0.25">
      <c r="A85" s="766"/>
      <c r="B85" s="851">
        <f t="shared" si="5"/>
        <v>316</v>
      </c>
      <c r="C85" s="393"/>
      <c r="D85" s="766">
        <f t="shared" si="6"/>
        <v>316</v>
      </c>
      <c r="H85" s="766"/>
    </row>
    <row r="86" spans="1:8" x14ac:dyDescent="0.25">
      <c r="A86" s="766"/>
      <c r="B86" s="851">
        <f t="shared" si="5"/>
        <v>316</v>
      </c>
      <c r="C86" s="393"/>
      <c r="D86" s="766">
        <f t="shared" si="6"/>
        <v>316</v>
      </c>
      <c r="H86" s="766"/>
    </row>
    <row r="87" spans="1:8" x14ac:dyDescent="0.25">
      <c r="A87" s="766"/>
      <c r="B87" s="851">
        <f t="shared" si="5"/>
        <v>316</v>
      </c>
      <c r="C87" s="393"/>
      <c r="D87" s="766">
        <f t="shared" si="6"/>
        <v>316</v>
      </c>
      <c r="H87" s="766"/>
    </row>
    <row r="88" spans="1:8" x14ac:dyDescent="0.25">
      <c r="A88" s="766"/>
      <c r="B88" s="851">
        <f>Electric!A92</f>
        <v>330.1</v>
      </c>
      <c r="C88" s="511">
        <f>Electric!J92</f>
        <v>-142.43929240767397</v>
      </c>
      <c r="D88" s="766">
        <f t="shared" si="6"/>
        <v>330.1</v>
      </c>
      <c r="H88" s="766"/>
    </row>
    <row r="89" spans="1:8" x14ac:dyDescent="0.25">
      <c r="A89" s="766"/>
      <c r="B89" s="851">
        <f>Electric!A93</f>
        <v>331</v>
      </c>
      <c r="C89" s="853">
        <f>Electric!J93</f>
        <v>0</v>
      </c>
      <c r="D89" s="766">
        <f t="shared" si="6"/>
        <v>331</v>
      </c>
      <c r="H89" s="766"/>
    </row>
    <row r="90" spans="1:8" x14ac:dyDescent="0.25">
      <c r="A90" s="766"/>
      <c r="B90" s="851">
        <f t="shared" ref="B90:B99" si="7">B89</f>
        <v>331</v>
      </c>
      <c r="C90" s="511">
        <f>Electric!J94</f>
        <v>68256.174607830966</v>
      </c>
      <c r="D90" s="766">
        <f t="shared" si="6"/>
        <v>331</v>
      </c>
      <c r="H90" s="766"/>
    </row>
    <row r="91" spans="1:8" x14ac:dyDescent="0.25">
      <c r="A91" s="766"/>
      <c r="B91" s="851">
        <f t="shared" si="7"/>
        <v>331</v>
      </c>
      <c r="C91" s="511">
        <f>Electric!J95</f>
        <v>3672.5072658156278</v>
      </c>
      <c r="D91" s="766">
        <f t="shared" si="6"/>
        <v>331</v>
      </c>
      <c r="H91" s="766"/>
    </row>
    <row r="92" spans="1:8" x14ac:dyDescent="0.25">
      <c r="A92" s="766"/>
      <c r="B92" s="851">
        <f t="shared" si="7"/>
        <v>331</v>
      </c>
      <c r="C92" s="511">
        <f>Electric!J96</f>
        <v>176442.56191329091</v>
      </c>
      <c r="D92" s="766">
        <f t="shared" si="6"/>
        <v>331</v>
      </c>
      <c r="H92" s="766"/>
    </row>
    <row r="93" spans="1:8" x14ac:dyDescent="0.25">
      <c r="A93" s="766"/>
      <c r="B93" s="851">
        <f t="shared" si="7"/>
        <v>331</v>
      </c>
      <c r="C93" s="511">
        <f>Electric!J97</f>
        <v>148985.95452692342</v>
      </c>
      <c r="D93" s="766">
        <f t="shared" si="6"/>
        <v>331</v>
      </c>
      <c r="H93" s="766"/>
    </row>
    <row r="94" spans="1:8" x14ac:dyDescent="0.25">
      <c r="A94" s="766"/>
      <c r="B94" s="851">
        <f t="shared" si="7"/>
        <v>331</v>
      </c>
      <c r="C94" s="511">
        <f>Electric!J98</f>
        <v>108353.02793529909</v>
      </c>
      <c r="D94" s="766">
        <f t="shared" si="6"/>
        <v>331</v>
      </c>
      <c r="H94" s="766"/>
    </row>
    <row r="95" spans="1:8" x14ac:dyDescent="0.25">
      <c r="A95" s="766"/>
      <c r="B95" s="851">
        <f t="shared" si="7"/>
        <v>331</v>
      </c>
      <c r="C95" s="511">
        <f>Electric!J99</f>
        <v>92148.153598141856</v>
      </c>
      <c r="D95" s="766">
        <f t="shared" si="6"/>
        <v>331</v>
      </c>
      <c r="H95" s="766"/>
    </row>
    <row r="96" spans="1:8" x14ac:dyDescent="0.25">
      <c r="A96" s="766"/>
      <c r="B96" s="851">
        <f t="shared" si="7"/>
        <v>331</v>
      </c>
      <c r="C96" s="511">
        <f>Electric!J100</f>
        <v>0</v>
      </c>
      <c r="D96" s="766">
        <f t="shared" si="6"/>
        <v>331</v>
      </c>
      <c r="H96" s="766"/>
    </row>
    <row r="97" spans="1:8" x14ac:dyDescent="0.25">
      <c r="A97" s="766"/>
      <c r="B97" s="851">
        <f t="shared" si="7"/>
        <v>331</v>
      </c>
      <c r="C97" s="393"/>
      <c r="D97" s="766">
        <f t="shared" si="6"/>
        <v>331</v>
      </c>
      <c r="H97" s="766"/>
    </row>
    <row r="98" spans="1:8" x14ac:dyDescent="0.25">
      <c r="A98" s="766"/>
      <c r="B98" s="851">
        <f t="shared" si="7"/>
        <v>331</v>
      </c>
      <c r="C98" s="512"/>
      <c r="D98" s="766">
        <f t="shared" si="6"/>
        <v>331</v>
      </c>
      <c r="H98" s="766"/>
    </row>
    <row r="99" spans="1:8" x14ac:dyDescent="0.25">
      <c r="A99" s="766"/>
      <c r="B99" s="851">
        <f t="shared" si="7"/>
        <v>331</v>
      </c>
      <c r="C99" s="853"/>
      <c r="D99" s="766">
        <f t="shared" si="6"/>
        <v>331</v>
      </c>
      <c r="H99" s="766"/>
    </row>
    <row r="100" spans="1:8" x14ac:dyDescent="0.25">
      <c r="A100" s="766"/>
      <c r="B100" s="851">
        <f>Electric!A104</f>
        <v>332</v>
      </c>
      <c r="C100" s="393"/>
      <c r="D100" s="766">
        <f t="shared" si="6"/>
        <v>332</v>
      </c>
      <c r="H100" s="766"/>
    </row>
    <row r="101" spans="1:8" x14ac:dyDescent="0.25">
      <c r="A101" s="766"/>
      <c r="B101" s="851">
        <f t="shared" ref="B101:B110" si="8">B100</f>
        <v>332</v>
      </c>
      <c r="C101" s="511">
        <f>Electric!J105</f>
        <v>694624.85240859259</v>
      </c>
      <c r="D101" s="766">
        <f t="shared" si="6"/>
        <v>332</v>
      </c>
      <c r="H101" s="766"/>
    </row>
    <row r="102" spans="1:8" x14ac:dyDescent="0.25">
      <c r="A102" s="766"/>
      <c r="B102" s="851">
        <f t="shared" si="8"/>
        <v>332</v>
      </c>
      <c r="C102" s="511">
        <f>Electric!J106</f>
        <v>66877.498183265794</v>
      </c>
      <c r="D102" s="766">
        <f t="shared" si="6"/>
        <v>332</v>
      </c>
      <c r="H102" s="766"/>
    </row>
    <row r="103" spans="1:8" x14ac:dyDescent="0.25">
      <c r="A103" s="189"/>
      <c r="B103" s="851">
        <f t="shared" si="8"/>
        <v>332</v>
      </c>
      <c r="C103" s="511">
        <f>Electric!J107</f>
        <v>1470233.1844215565</v>
      </c>
      <c r="D103" s="766">
        <f t="shared" si="6"/>
        <v>332</v>
      </c>
      <c r="E103" s="189"/>
      <c r="F103" s="189"/>
      <c r="G103" s="189"/>
      <c r="H103" s="189"/>
    </row>
    <row r="104" spans="1:8" x14ac:dyDescent="0.25">
      <c r="A104" s="766"/>
      <c r="B104" s="851">
        <f t="shared" si="8"/>
        <v>332</v>
      </c>
      <c r="C104" s="511">
        <f>Electric!J108</f>
        <v>6753.5590351128303</v>
      </c>
      <c r="D104" s="766">
        <f t="shared" si="6"/>
        <v>332</v>
      </c>
      <c r="H104" s="766"/>
    </row>
    <row r="105" spans="1:8" x14ac:dyDescent="0.25">
      <c r="A105" s="766"/>
      <c r="B105" s="851">
        <f t="shared" si="8"/>
        <v>332</v>
      </c>
      <c r="C105" s="511">
        <f>Electric!J109</f>
        <v>190008.34238418145</v>
      </c>
      <c r="D105" s="766">
        <f t="shared" si="6"/>
        <v>332</v>
      </c>
      <c r="H105" s="766"/>
    </row>
    <row r="106" spans="1:8" x14ac:dyDescent="0.25">
      <c r="A106" s="766"/>
      <c r="B106" s="851">
        <f t="shared" si="8"/>
        <v>332</v>
      </c>
      <c r="C106" s="511">
        <f>Electric!J110</f>
        <v>4991.4088293745326</v>
      </c>
      <c r="D106" s="766">
        <f t="shared" si="6"/>
        <v>332</v>
      </c>
      <c r="H106" s="766"/>
    </row>
    <row r="107" spans="1:8" x14ac:dyDescent="0.25">
      <c r="A107" s="766"/>
      <c r="B107" s="851">
        <f t="shared" si="8"/>
        <v>332</v>
      </c>
      <c r="C107" s="511">
        <f>Electric!J111</f>
        <v>255940.29670508043</v>
      </c>
      <c r="D107" s="766">
        <f t="shared" si="6"/>
        <v>332</v>
      </c>
      <c r="H107" s="766"/>
    </row>
    <row r="108" spans="1:8" x14ac:dyDescent="0.25">
      <c r="A108" s="766"/>
      <c r="B108" s="851">
        <f t="shared" si="8"/>
        <v>332</v>
      </c>
      <c r="C108" s="393"/>
      <c r="D108" s="766">
        <f t="shared" si="6"/>
        <v>332</v>
      </c>
      <c r="H108" s="766"/>
    </row>
    <row r="109" spans="1:8" x14ac:dyDescent="0.25">
      <c r="A109" s="766"/>
      <c r="B109" s="851">
        <f t="shared" si="8"/>
        <v>332</v>
      </c>
      <c r="C109" s="512"/>
      <c r="D109" s="766">
        <f t="shared" si="6"/>
        <v>332</v>
      </c>
      <c r="H109" s="766"/>
    </row>
    <row r="110" spans="1:8" x14ac:dyDescent="0.25">
      <c r="A110" s="766"/>
      <c r="B110" s="851">
        <f t="shared" si="8"/>
        <v>332</v>
      </c>
      <c r="C110" s="853"/>
      <c r="D110" s="766">
        <f t="shared" si="6"/>
        <v>332</v>
      </c>
      <c r="H110" s="766"/>
    </row>
    <row r="111" spans="1:8" x14ac:dyDescent="0.25">
      <c r="A111" s="766"/>
      <c r="B111" s="851">
        <f>Electric!A115</f>
        <v>333</v>
      </c>
      <c r="C111" s="393"/>
      <c r="D111" s="766">
        <f t="shared" si="6"/>
        <v>333</v>
      </c>
      <c r="H111" s="766"/>
    </row>
    <row r="112" spans="1:8" x14ac:dyDescent="0.25">
      <c r="A112" s="766"/>
      <c r="B112" s="851">
        <f t="shared" ref="B112:B121" si="9">B111</f>
        <v>333</v>
      </c>
      <c r="C112" s="511">
        <f>Electric!J116</f>
        <v>16263.897694898711</v>
      </c>
      <c r="D112" s="766">
        <f t="shared" si="6"/>
        <v>333</v>
      </c>
      <c r="H112" s="766"/>
    </row>
    <row r="113" spans="1:8" x14ac:dyDescent="0.25">
      <c r="A113" s="766"/>
      <c r="B113" s="851">
        <f t="shared" si="9"/>
        <v>333</v>
      </c>
      <c r="C113" s="511">
        <f>Electric!J117</f>
        <v>-13593.65739858395</v>
      </c>
      <c r="D113" s="766">
        <f t="shared" si="6"/>
        <v>333</v>
      </c>
      <c r="H113" s="766"/>
    </row>
    <row r="114" spans="1:8" x14ac:dyDescent="0.25">
      <c r="A114" s="766"/>
      <c r="B114" s="851">
        <f t="shared" si="9"/>
        <v>333</v>
      </c>
      <c r="C114" s="511">
        <f>Electric!J118</f>
        <v>0</v>
      </c>
      <c r="D114" s="766">
        <f t="shared" si="6"/>
        <v>333</v>
      </c>
      <c r="H114" s="766"/>
    </row>
    <row r="115" spans="1:8" x14ac:dyDescent="0.25">
      <c r="A115" s="766"/>
      <c r="B115" s="851">
        <f t="shared" si="9"/>
        <v>333</v>
      </c>
      <c r="C115" s="511">
        <f>Electric!J119</f>
        <v>30872.970115859731</v>
      </c>
      <c r="D115" s="766">
        <f t="shared" si="6"/>
        <v>333</v>
      </c>
      <c r="H115" s="766"/>
    </row>
    <row r="116" spans="1:8" x14ac:dyDescent="0.25">
      <c r="A116" s="766"/>
      <c r="B116" s="851">
        <f t="shared" si="9"/>
        <v>333</v>
      </c>
      <c r="C116" s="511">
        <f>Electric!J120</f>
        <v>92106.758408465656</v>
      </c>
      <c r="D116" s="766">
        <f t="shared" si="6"/>
        <v>333</v>
      </c>
      <c r="H116" s="766"/>
    </row>
    <row r="117" spans="1:8" x14ac:dyDescent="0.25">
      <c r="A117" s="766"/>
      <c r="B117" s="851">
        <f t="shared" si="9"/>
        <v>333</v>
      </c>
      <c r="C117" s="511">
        <f>Electric!J121</f>
        <v>85042.414820226375</v>
      </c>
      <c r="D117" s="766">
        <f t="shared" si="6"/>
        <v>333</v>
      </c>
      <c r="H117" s="766"/>
    </row>
    <row r="118" spans="1:8" x14ac:dyDescent="0.25">
      <c r="A118" s="766"/>
      <c r="B118" s="851">
        <f t="shared" si="9"/>
        <v>333</v>
      </c>
      <c r="C118" s="511">
        <f>Electric!J122</f>
        <v>16488.245649373508</v>
      </c>
      <c r="D118" s="766">
        <f t="shared" si="6"/>
        <v>333</v>
      </c>
      <c r="H118" s="766"/>
    </row>
    <row r="119" spans="1:8" x14ac:dyDescent="0.25">
      <c r="A119" s="766"/>
      <c r="B119" s="851">
        <f t="shared" si="9"/>
        <v>333</v>
      </c>
      <c r="C119" s="393"/>
      <c r="D119" s="766">
        <f t="shared" si="6"/>
        <v>333</v>
      </c>
      <c r="H119" s="766"/>
    </row>
    <row r="120" spans="1:8" x14ac:dyDescent="0.25">
      <c r="A120" s="766"/>
      <c r="B120" s="851">
        <f t="shared" si="9"/>
        <v>333</v>
      </c>
      <c r="C120" s="512"/>
      <c r="D120" s="766">
        <f t="shared" si="6"/>
        <v>333</v>
      </c>
      <c r="H120" s="766"/>
    </row>
    <row r="121" spans="1:8" x14ac:dyDescent="0.25">
      <c r="A121" s="766"/>
      <c r="B121" s="851">
        <f t="shared" si="9"/>
        <v>333</v>
      </c>
      <c r="C121" s="853"/>
      <c r="D121" s="766">
        <f t="shared" si="6"/>
        <v>333</v>
      </c>
      <c r="H121" s="766"/>
    </row>
    <row r="122" spans="1:8" x14ac:dyDescent="0.25">
      <c r="A122" s="766"/>
      <c r="B122" s="851">
        <f>Electric!A126</f>
        <v>334</v>
      </c>
      <c r="C122" s="393"/>
      <c r="D122" s="766">
        <f t="shared" si="6"/>
        <v>334</v>
      </c>
      <c r="H122" s="766"/>
    </row>
    <row r="123" spans="1:8" x14ac:dyDescent="0.25">
      <c r="A123" s="766"/>
      <c r="B123" s="851">
        <f t="shared" ref="B123:B131" si="10">B122</f>
        <v>334</v>
      </c>
      <c r="C123" s="511">
        <f>Electric!J127</f>
        <v>17690.097360563555</v>
      </c>
      <c r="D123" s="766">
        <f t="shared" si="6"/>
        <v>334</v>
      </c>
      <c r="H123" s="766"/>
    </row>
    <row r="124" spans="1:8" x14ac:dyDescent="0.25">
      <c r="A124" s="766"/>
      <c r="B124" s="851">
        <f t="shared" si="10"/>
        <v>334</v>
      </c>
      <c r="C124" s="511">
        <f>Electric!J128</f>
        <v>2386.9932249655831</v>
      </c>
      <c r="D124" s="766">
        <f t="shared" si="6"/>
        <v>334</v>
      </c>
      <c r="H124" s="766"/>
    </row>
    <row r="125" spans="1:8" x14ac:dyDescent="0.25">
      <c r="A125" s="766"/>
      <c r="B125" s="851">
        <f t="shared" si="10"/>
        <v>334</v>
      </c>
      <c r="C125" s="511">
        <f>Electric!J129</f>
        <v>41798.634957178161</v>
      </c>
      <c r="D125" s="766">
        <f t="shared" si="6"/>
        <v>334</v>
      </c>
      <c r="H125" s="766"/>
    </row>
    <row r="126" spans="1:8" x14ac:dyDescent="0.25">
      <c r="A126" s="766"/>
      <c r="B126" s="851">
        <f t="shared" si="10"/>
        <v>334</v>
      </c>
      <c r="C126" s="511">
        <f>Electric!J130</f>
        <v>45871.040310527198</v>
      </c>
      <c r="D126" s="766">
        <f t="shared" si="6"/>
        <v>334</v>
      </c>
      <c r="H126" s="766"/>
    </row>
    <row r="127" spans="1:8" x14ac:dyDescent="0.25">
      <c r="A127" s="766"/>
      <c r="B127" s="851">
        <f t="shared" si="10"/>
        <v>334</v>
      </c>
      <c r="C127" s="511">
        <f>Electric!J131</f>
        <v>35758.024155353021</v>
      </c>
      <c r="D127" s="766">
        <f t="shared" si="6"/>
        <v>334</v>
      </c>
      <c r="H127" s="766"/>
    </row>
    <row r="128" spans="1:8" x14ac:dyDescent="0.25">
      <c r="A128" s="766"/>
      <c r="B128" s="851">
        <f t="shared" si="10"/>
        <v>334</v>
      </c>
      <c r="C128" s="511">
        <f>Electric!J132</f>
        <v>0</v>
      </c>
      <c r="D128" s="766">
        <f t="shared" si="6"/>
        <v>334</v>
      </c>
      <c r="H128" s="766"/>
    </row>
    <row r="129" spans="1:8" x14ac:dyDescent="0.25">
      <c r="A129" s="766"/>
      <c r="B129" s="851">
        <f t="shared" si="10"/>
        <v>334</v>
      </c>
      <c r="C129" s="393"/>
      <c r="D129" s="766">
        <f t="shared" si="6"/>
        <v>334</v>
      </c>
      <c r="H129" s="766"/>
    </row>
    <row r="130" spans="1:8" x14ac:dyDescent="0.25">
      <c r="A130" s="766"/>
      <c r="B130" s="851">
        <f t="shared" si="10"/>
        <v>334</v>
      </c>
      <c r="C130" s="512"/>
      <c r="D130" s="766">
        <f t="shared" si="6"/>
        <v>334</v>
      </c>
      <c r="H130" s="766"/>
    </row>
    <row r="131" spans="1:8" x14ac:dyDescent="0.25">
      <c r="A131" s="766"/>
      <c r="B131" s="851">
        <f t="shared" si="10"/>
        <v>334</v>
      </c>
      <c r="C131" s="853"/>
      <c r="D131" s="766">
        <f t="shared" si="6"/>
        <v>334</v>
      </c>
      <c r="H131" s="766"/>
    </row>
    <row r="132" spans="1:8" x14ac:dyDescent="0.25">
      <c r="A132" s="766"/>
      <c r="B132" s="851">
        <f>Electric!A136</f>
        <v>335</v>
      </c>
      <c r="C132" s="393"/>
      <c r="D132" s="766">
        <f t="shared" si="6"/>
        <v>335</v>
      </c>
      <c r="H132" s="766"/>
    </row>
    <row r="133" spans="1:8" x14ac:dyDescent="0.25">
      <c r="A133" s="766"/>
      <c r="B133" s="851">
        <f t="shared" ref="B133:B141" si="11">B132</f>
        <v>335</v>
      </c>
      <c r="C133" s="511">
        <f>Electric!J137</f>
        <v>18983.588305466088</v>
      </c>
      <c r="D133" s="766">
        <f t="shared" ref="D133:D196" si="12">VLOOKUP(B133,$A$456:$A$537,1,FALSE)</f>
        <v>335</v>
      </c>
      <c r="H133" s="766"/>
    </row>
    <row r="134" spans="1:8" x14ac:dyDescent="0.25">
      <c r="A134" s="766"/>
      <c r="B134" s="851">
        <f t="shared" si="11"/>
        <v>335</v>
      </c>
      <c r="C134" s="511">
        <f>Electric!J138</f>
        <v>37284.226858707989</v>
      </c>
      <c r="D134" s="766">
        <f t="shared" si="12"/>
        <v>335</v>
      </c>
      <c r="H134" s="766"/>
    </row>
    <row r="135" spans="1:8" x14ac:dyDescent="0.25">
      <c r="A135" s="766"/>
      <c r="B135" s="851">
        <f t="shared" si="11"/>
        <v>335</v>
      </c>
      <c r="C135" s="511">
        <f>Electric!J139</f>
        <v>-1729.9670347779684</v>
      </c>
      <c r="D135" s="766">
        <f t="shared" si="12"/>
        <v>335</v>
      </c>
      <c r="H135" s="766"/>
    </row>
    <row r="136" spans="1:8" x14ac:dyDescent="0.25">
      <c r="A136" s="766"/>
      <c r="B136" s="851">
        <f t="shared" si="11"/>
        <v>335</v>
      </c>
      <c r="C136" s="511">
        <f>Electric!J140</f>
        <v>6191.052839461343</v>
      </c>
      <c r="D136" s="766">
        <f t="shared" si="12"/>
        <v>335</v>
      </c>
      <c r="H136" s="766"/>
    </row>
    <row r="137" spans="1:8" x14ac:dyDescent="0.25">
      <c r="A137" s="766"/>
      <c r="B137" s="851">
        <f t="shared" si="11"/>
        <v>335</v>
      </c>
      <c r="C137" s="511">
        <f>Electric!J141</f>
        <v>1113.6791670280218</v>
      </c>
      <c r="D137" s="766">
        <f t="shared" si="12"/>
        <v>335</v>
      </c>
      <c r="H137" s="766"/>
    </row>
    <row r="138" spans="1:8" x14ac:dyDescent="0.25">
      <c r="A138" s="766"/>
      <c r="B138" s="851">
        <f t="shared" si="11"/>
        <v>335</v>
      </c>
      <c r="C138" s="511">
        <f>Electric!J142</f>
        <v>0.38170386768387843</v>
      </c>
      <c r="D138" s="766">
        <f t="shared" si="12"/>
        <v>335</v>
      </c>
      <c r="H138" s="766"/>
    </row>
    <row r="139" spans="1:8" x14ac:dyDescent="0.25">
      <c r="A139" s="766"/>
      <c r="B139" s="851">
        <f t="shared" si="11"/>
        <v>335</v>
      </c>
      <c r="C139" s="393"/>
      <c r="D139" s="766">
        <f t="shared" si="12"/>
        <v>335</v>
      </c>
      <c r="H139" s="766"/>
    </row>
    <row r="140" spans="1:8" x14ac:dyDescent="0.25">
      <c r="A140" s="766"/>
      <c r="B140" s="851">
        <f t="shared" si="11"/>
        <v>335</v>
      </c>
      <c r="C140" s="512"/>
      <c r="D140" s="766">
        <f t="shared" si="12"/>
        <v>335</v>
      </c>
      <c r="H140" s="766"/>
    </row>
    <row r="141" spans="1:8" x14ac:dyDescent="0.25">
      <c r="A141" s="766"/>
      <c r="B141" s="851">
        <f t="shared" si="11"/>
        <v>335</v>
      </c>
      <c r="C141" s="853"/>
      <c r="D141" s="766">
        <f t="shared" si="12"/>
        <v>335</v>
      </c>
      <c r="H141" s="766"/>
    </row>
    <row r="142" spans="1:8" x14ac:dyDescent="0.25">
      <c r="A142" s="766"/>
      <c r="B142" s="851">
        <f>Electric!A146</f>
        <v>335.1</v>
      </c>
      <c r="C142" s="393"/>
      <c r="D142" s="766">
        <f t="shared" si="12"/>
        <v>335.1</v>
      </c>
      <c r="H142" s="766"/>
    </row>
    <row r="143" spans="1:8" x14ac:dyDescent="0.25">
      <c r="A143" s="766"/>
      <c r="B143" s="851">
        <f t="shared" ref="B143:B150" si="13">B142</f>
        <v>335.1</v>
      </c>
      <c r="C143" s="511">
        <f>Electric!J147</f>
        <v>-5.8397364565839638</v>
      </c>
      <c r="D143" s="766">
        <f t="shared" si="12"/>
        <v>335.1</v>
      </c>
      <c r="H143" s="766"/>
    </row>
    <row r="144" spans="1:8" x14ac:dyDescent="0.25">
      <c r="A144" s="766"/>
      <c r="B144" s="851">
        <f t="shared" si="13"/>
        <v>335.1</v>
      </c>
      <c r="C144" s="511">
        <f>Electric!J148</f>
        <v>-19786.021778183105</v>
      </c>
      <c r="D144" s="766">
        <f t="shared" si="12"/>
        <v>335.1</v>
      </c>
      <c r="H144" s="766"/>
    </row>
    <row r="145" spans="1:8" x14ac:dyDescent="0.25">
      <c r="A145" s="766"/>
      <c r="B145" s="851">
        <f t="shared" si="13"/>
        <v>335.1</v>
      </c>
      <c r="C145" s="511">
        <f>Electric!J149</f>
        <v>49595.320845562012</v>
      </c>
      <c r="D145" s="766">
        <f t="shared" si="12"/>
        <v>335.1</v>
      </c>
      <c r="H145" s="766"/>
    </row>
    <row r="146" spans="1:8" x14ac:dyDescent="0.25">
      <c r="A146" s="766"/>
      <c r="B146" s="851">
        <f t="shared" si="13"/>
        <v>335.1</v>
      </c>
      <c r="C146" s="511">
        <f>Electric!J150</f>
        <v>-11945.226881954346</v>
      </c>
      <c r="D146" s="766">
        <f t="shared" si="12"/>
        <v>335.1</v>
      </c>
      <c r="H146" s="766"/>
    </row>
    <row r="147" spans="1:8" x14ac:dyDescent="0.25">
      <c r="A147" s="766"/>
      <c r="B147" s="851">
        <f t="shared" si="13"/>
        <v>335.1</v>
      </c>
      <c r="C147" s="511">
        <f>Electric!J151</f>
        <v>-8827.7213510956681</v>
      </c>
      <c r="D147" s="766">
        <f t="shared" si="12"/>
        <v>335.1</v>
      </c>
      <c r="H147" s="766"/>
    </row>
    <row r="148" spans="1:8" x14ac:dyDescent="0.25">
      <c r="A148" s="766"/>
      <c r="B148" s="851">
        <f t="shared" si="13"/>
        <v>335.1</v>
      </c>
      <c r="C148" s="393"/>
      <c r="D148" s="766">
        <f t="shared" si="12"/>
        <v>335.1</v>
      </c>
      <c r="H148" s="766"/>
    </row>
    <row r="149" spans="1:8" x14ac:dyDescent="0.25">
      <c r="A149" s="766"/>
      <c r="B149" s="851">
        <f t="shared" si="13"/>
        <v>335.1</v>
      </c>
      <c r="C149" s="512"/>
      <c r="D149" s="766">
        <f t="shared" si="12"/>
        <v>335.1</v>
      </c>
      <c r="H149" s="766"/>
    </row>
    <row r="150" spans="1:8" x14ac:dyDescent="0.25">
      <c r="A150" s="766"/>
      <c r="B150" s="851">
        <f t="shared" si="13"/>
        <v>335.1</v>
      </c>
      <c r="C150" s="853"/>
      <c r="D150" s="766">
        <f t="shared" si="12"/>
        <v>335.1</v>
      </c>
      <c r="H150" s="766"/>
    </row>
    <row r="151" spans="1:8" x14ac:dyDescent="0.25">
      <c r="A151" s="766"/>
      <c r="B151" s="851">
        <f>Electric!A155</f>
        <v>336</v>
      </c>
      <c r="C151" s="393"/>
      <c r="D151" s="766">
        <f t="shared" si="12"/>
        <v>336</v>
      </c>
      <c r="H151" s="766"/>
    </row>
    <row r="152" spans="1:8" x14ac:dyDescent="0.25">
      <c r="A152" s="766"/>
      <c r="B152" s="851">
        <f t="shared" ref="B152:B165" si="14">B151</f>
        <v>336</v>
      </c>
      <c r="C152" s="511">
        <f>Electric!J156</f>
        <v>1930.1666897325263</v>
      </c>
      <c r="D152" s="766">
        <f t="shared" si="12"/>
        <v>336</v>
      </c>
      <c r="H152" s="766"/>
    </row>
    <row r="153" spans="1:8" x14ac:dyDescent="0.25">
      <c r="A153" s="766"/>
      <c r="B153" s="851">
        <f t="shared" si="14"/>
        <v>336</v>
      </c>
      <c r="C153" s="511">
        <f>Electric!J157</f>
        <v>1607.7559271330501</v>
      </c>
      <c r="D153" s="766">
        <f t="shared" si="12"/>
        <v>336</v>
      </c>
      <c r="H153" s="766"/>
    </row>
    <row r="154" spans="1:8" x14ac:dyDescent="0.25">
      <c r="A154" s="766"/>
      <c r="B154" s="851">
        <f t="shared" si="14"/>
        <v>336</v>
      </c>
      <c r="C154" s="511">
        <f>Electric!J158</f>
        <v>0</v>
      </c>
      <c r="D154" s="766">
        <f t="shared" si="12"/>
        <v>336</v>
      </c>
      <c r="H154" s="766"/>
    </row>
    <row r="155" spans="1:8" x14ac:dyDescent="0.25">
      <c r="A155" s="766"/>
      <c r="B155" s="851">
        <f t="shared" si="14"/>
        <v>336</v>
      </c>
      <c r="C155" s="511">
        <f>Electric!J159</f>
        <v>1220.6205716591976</v>
      </c>
      <c r="D155" s="766">
        <f t="shared" si="12"/>
        <v>336</v>
      </c>
      <c r="H155" s="766"/>
    </row>
    <row r="156" spans="1:8" x14ac:dyDescent="0.25">
      <c r="A156" s="766"/>
      <c r="B156" s="851">
        <f t="shared" si="14"/>
        <v>336</v>
      </c>
      <c r="C156" s="511">
        <f>Electric!J160</f>
        <v>302.87735474928559</v>
      </c>
      <c r="D156" s="766">
        <f t="shared" si="12"/>
        <v>336</v>
      </c>
      <c r="H156" s="766"/>
    </row>
    <row r="157" spans="1:8" x14ac:dyDescent="0.25">
      <c r="A157" s="766"/>
      <c r="B157" s="851">
        <f t="shared" si="14"/>
        <v>336</v>
      </c>
      <c r="C157" s="511">
        <f>Electric!J161</f>
        <v>0</v>
      </c>
      <c r="D157" s="766">
        <f t="shared" si="12"/>
        <v>336</v>
      </c>
      <c r="H157" s="766"/>
    </row>
    <row r="158" spans="1:8" x14ac:dyDescent="0.25">
      <c r="A158" s="766"/>
      <c r="B158" s="851">
        <f t="shared" si="14"/>
        <v>336</v>
      </c>
      <c r="C158" s="393"/>
      <c r="D158" s="766">
        <f t="shared" si="12"/>
        <v>336</v>
      </c>
      <c r="H158" s="766"/>
    </row>
    <row r="159" spans="1:8" x14ac:dyDescent="0.25">
      <c r="A159" s="766"/>
      <c r="B159" s="851">
        <f t="shared" si="14"/>
        <v>336</v>
      </c>
      <c r="C159" s="512"/>
      <c r="D159" s="766">
        <f t="shared" si="12"/>
        <v>336</v>
      </c>
      <c r="H159" s="766"/>
    </row>
    <row r="160" spans="1:8" x14ac:dyDescent="0.25">
      <c r="A160" s="766"/>
      <c r="B160" s="851">
        <f t="shared" si="14"/>
        <v>336</v>
      </c>
      <c r="C160" s="852"/>
      <c r="D160" s="766">
        <f t="shared" si="12"/>
        <v>336</v>
      </c>
      <c r="H160" s="766"/>
    </row>
    <row r="161" spans="1:8" x14ac:dyDescent="0.25">
      <c r="A161" s="766"/>
      <c r="B161" s="851">
        <f t="shared" si="14"/>
        <v>336</v>
      </c>
      <c r="C161" s="136"/>
      <c r="D161" s="766">
        <f t="shared" si="12"/>
        <v>336</v>
      </c>
      <c r="H161" s="766"/>
    </row>
    <row r="162" spans="1:8" x14ac:dyDescent="0.25">
      <c r="A162" s="766"/>
      <c r="B162" s="851">
        <f t="shared" si="14"/>
        <v>336</v>
      </c>
      <c r="C162" s="136"/>
      <c r="D162" s="766">
        <f t="shared" si="12"/>
        <v>336</v>
      </c>
      <c r="H162" s="766"/>
    </row>
    <row r="163" spans="1:8" x14ac:dyDescent="0.25">
      <c r="A163" s="766"/>
      <c r="B163" s="851">
        <f t="shared" si="14"/>
        <v>336</v>
      </c>
      <c r="C163" s="770"/>
      <c r="D163" s="766">
        <f t="shared" si="12"/>
        <v>336</v>
      </c>
      <c r="H163" s="766"/>
    </row>
    <row r="164" spans="1:8" x14ac:dyDescent="0.25">
      <c r="A164" s="766"/>
      <c r="B164" s="851">
        <f t="shared" si="14"/>
        <v>336</v>
      </c>
      <c r="C164" s="770"/>
      <c r="D164" s="766">
        <f t="shared" si="12"/>
        <v>336</v>
      </c>
      <c r="H164" s="766"/>
    </row>
    <row r="165" spans="1:8" x14ac:dyDescent="0.25">
      <c r="A165" s="766"/>
      <c r="B165" s="851">
        <f t="shared" si="14"/>
        <v>336</v>
      </c>
      <c r="C165" s="770"/>
      <c r="D165" s="766">
        <f t="shared" si="12"/>
        <v>336</v>
      </c>
      <c r="H165" s="766"/>
    </row>
    <row r="166" spans="1:8" x14ac:dyDescent="0.25">
      <c r="A166" s="766"/>
      <c r="B166" s="851">
        <f>Electric!A170</f>
        <v>340.1</v>
      </c>
      <c r="C166" s="663">
        <f>Electric!J170</f>
        <v>-5888.6516811757992</v>
      </c>
      <c r="D166" s="766">
        <f t="shared" si="12"/>
        <v>340.1</v>
      </c>
      <c r="H166" s="766"/>
    </row>
    <row r="167" spans="1:8" x14ac:dyDescent="0.25">
      <c r="A167" s="766"/>
      <c r="B167" s="851">
        <f>Electric!A171</f>
        <v>341</v>
      </c>
      <c r="C167" s="853">
        <f>Electric!J171</f>
        <v>0</v>
      </c>
      <c r="D167" s="766">
        <f t="shared" si="12"/>
        <v>341</v>
      </c>
      <c r="H167" s="766"/>
    </row>
    <row r="168" spans="1:8" x14ac:dyDescent="0.25">
      <c r="A168" s="766"/>
      <c r="B168" s="851">
        <f t="shared" ref="B168:B181" si="15">B167</f>
        <v>341</v>
      </c>
      <c r="C168" s="663">
        <f>Electric!J172</f>
        <v>32777.652119065111</v>
      </c>
      <c r="D168" s="766">
        <f t="shared" si="12"/>
        <v>341</v>
      </c>
      <c r="H168" s="766"/>
    </row>
    <row r="169" spans="1:8" x14ac:dyDescent="0.25">
      <c r="A169" s="766"/>
      <c r="B169" s="851">
        <f t="shared" si="15"/>
        <v>341</v>
      </c>
      <c r="C169" s="663">
        <f>Electric!J173</f>
        <v>-42702.990251328534</v>
      </c>
      <c r="D169" s="766">
        <f t="shared" si="12"/>
        <v>341</v>
      </c>
      <c r="H169" s="766"/>
    </row>
    <row r="170" spans="1:8" x14ac:dyDescent="0.25">
      <c r="A170" s="766"/>
      <c r="B170" s="851">
        <f t="shared" si="15"/>
        <v>341</v>
      </c>
      <c r="C170" s="663">
        <f>Electric!J174</f>
        <v>-184886.73403368593</v>
      </c>
      <c r="D170" s="766">
        <f t="shared" si="12"/>
        <v>341</v>
      </c>
      <c r="H170" s="766"/>
    </row>
    <row r="171" spans="1:8" x14ac:dyDescent="0.25">
      <c r="A171" s="766"/>
      <c r="B171" s="851">
        <f t="shared" si="15"/>
        <v>341</v>
      </c>
      <c r="C171" s="663">
        <f>Electric!J175</f>
        <v>-22984.052274505782</v>
      </c>
      <c r="D171" s="766">
        <f t="shared" si="12"/>
        <v>341</v>
      </c>
      <c r="H171" s="766"/>
    </row>
    <row r="172" spans="1:8" x14ac:dyDescent="0.25">
      <c r="A172" s="766"/>
      <c r="B172" s="851">
        <f t="shared" si="15"/>
        <v>341</v>
      </c>
      <c r="C172" s="663">
        <f>Electric!J176</f>
        <v>-7181.1792247815101</v>
      </c>
      <c r="D172" s="766">
        <f t="shared" si="12"/>
        <v>341</v>
      </c>
      <c r="H172" s="766"/>
    </row>
    <row r="173" spans="1:8" x14ac:dyDescent="0.25">
      <c r="A173" s="766"/>
      <c r="B173" s="851">
        <f t="shared" si="15"/>
        <v>341</v>
      </c>
      <c r="C173" s="511">
        <f>Electric!J177</f>
        <v>-1735.6870795330178</v>
      </c>
      <c r="D173" s="766">
        <f t="shared" si="12"/>
        <v>341</v>
      </c>
      <c r="H173" s="766"/>
    </row>
    <row r="174" spans="1:8" x14ac:dyDescent="0.25">
      <c r="A174" s="766"/>
      <c r="B174" s="851">
        <f t="shared" si="15"/>
        <v>341</v>
      </c>
      <c r="C174" s="511">
        <f>Electric!J178</f>
        <v>-89247.690149002898</v>
      </c>
      <c r="D174" s="766">
        <f t="shared" si="12"/>
        <v>341</v>
      </c>
      <c r="H174" s="766"/>
    </row>
    <row r="175" spans="1:8" x14ac:dyDescent="0.25">
      <c r="A175" s="766"/>
      <c r="B175" s="851">
        <f t="shared" si="15"/>
        <v>341</v>
      </c>
      <c r="C175" s="511">
        <f>Electric!J179</f>
        <v>-6369.0830753498667</v>
      </c>
      <c r="D175" s="766">
        <f t="shared" si="12"/>
        <v>341</v>
      </c>
      <c r="H175" s="766"/>
    </row>
    <row r="176" spans="1:8" x14ac:dyDescent="0.25">
      <c r="A176" s="766"/>
      <c r="B176" s="851">
        <f t="shared" si="15"/>
        <v>341</v>
      </c>
      <c r="C176" s="663">
        <f>Electric!J180</f>
        <v>-62648.256449161388</v>
      </c>
      <c r="D176" s="766">
        <f t="shared" si="12"/>
        <v>341</v>
      </c>
      <c r="H176" s="766"/>
    </row>
    <row r="177" spans="1:8" x14ac:dyDescent="0.25">
      <c r="A177" s="766"/>
      <c r="B177" s="851">
        <f t="shared" si="15"/>
        <v>341</v>
      </c>
      <c r="C177" s="663">
        <f>Electric!J181</f>
        <v>-45923.494361504258</v>
      </c>
      <c r="D177" s="766">
        <f t="shared" si="12"/>
        <v>341</v>
      </c>
      <c r="H177" s="766"/>
    </row>
    <row r="178" spans="1:8" x14ac:dyDescent="0.25">
      <c r="A178" s="766"/>
      <c r="B178" s="851">
        <f t="shared" si="15"/>
        <v>341</v>
      </c>
      <c r="C178" s="663">
        <f>Electric!J182</f>
        <v>-6175.9403303536874</v>
      </c>
      <c r="D178" s="766">
        <f t="shared" si="12"/>
        <v>341</v>
      </c>
      <c r="H178" s="766"/>
    </row>
    <row r="179" spans="1:8" x14ac:dyDescent="0.25">
      <c r="A179" s="766"/>
      <c r="B179" s="851">
        <f t="shared" si="15"/>
        <v>341</v>
      </c>
      <c r="C179" s="770"/>
      <c r="D179" s="766">
        <f t="shared" si="12"/>
        <v>341</v>
      </c>
      <c r="H179" s="766"/>
    </row>
    <row r="180" spans="1:8" x14ac:dyDescent="0.25">
      <c r="A180" s="766"/>
      <c r="B180" s="851">
        <f t="shared" si="15"/>
        <v>341</v>
      </c>
      <c r="C180" s="512"/>
      <c r="D180" s="766">
        <f t="shared" si="12"/>
        <v>341</v>
      </c>
      <c r="H180" s="766"/>
    </row>
    <row r="181" spans="1:8" x14ac:dyDescent="0.25">
      <c r="A181" s="766"/>
      <c r="B181" s="851">
        <f t="shared" si="15"/>
        <v>341</v>
      </c>
      <c r="C181" s="852"/>
      <c r="D181" s="766">
        <f t="shared" si="12"/>
        <v>341</v>
      </c>
      <c r="H181" s="766"/>
    </row>
    <row r="182" spans="1:8" x14ac:dyDescent="0.25">
      <c r="A182" s="766"/>
      <c r="B182" s="851">
        <f>Electric!A186</f>
        <v>341.01</v>
      </c>
      <c r="C182" s="770"/>
      <c r="D182" s="766">
        <f t="shared" si="12"/>
        <v>341.01</v>
      </c>
      <c r="H182" s="766"/>
    </row>
    <row r="183" spans="1:8" x14ac:dyDescent="0.25">
      <c r="A183" s="766"/>
      <c r="B183" s="851">
        <f t="shared" ref="B183:B188" si="16">B182</f>
        <v>341.01</v>
      </c>
      <c r="C183" s="663">
        <f>Electric!J187</f>
        <v>40182.302596739726</v>
      </c>
      <c r="D183" s="766">
        <f t="shared" si="12"/>
        <v>341.01</v>
      </c>
      <c r="H183" s="766"/>
    </row>
    <row r="184" spans="1:8" x14ac:dyDescent="0.25">
      <c r="A184" s="766"/>
      <c r="B184" s="851">
        <f t="shared" si="16"/>
        <v>341.01</v>
      </c>
      <c r="C184" s="663">
        <f>Electric!J188</f>
        <v>-334780.28214204451</v>
      </c>
      <c r="D184" s="766">
        <f t="shared" si="12"/>
        <v>341.01</v>
      </c>
      <c r="H184" s="766"/>
    </row>
    <row r="185" spans="1:8" x14ac:dyDescent="0.25">
      <c r="A185" s="766"/>
      <c r="B185" s="851">
        <f t="shared" si="16"/>
        <v>341.01</v>
      </c>
      <c r="C185" s="663">
        <f>Electric!J189</f>
        <v>-4955.8941242019137</v>
      </c>
      <c r="D185" s="766">
        <f t="shared" si="12"/>
        <v>341.01</v>
      </c>
      <c r="H185" s="766"/>
    </row>
    <row r="186" spans="1:8" x14ac:dyDescent="0.25">
      <c r="A186" s="766"/>
      <c r="B186" s="851">
        <f t="shared" si="16"/>
        <v>341.01</v>
      </c>
      <c r="C186" s="770"/>
      <c r="D186" s="766">
        <f t="shared" si="12"/>
        <v>341.01</v>
      </c>
      <c r="H186" s="766"/>
    </row>
    <row r="187" spans="1:8" x14ac:dyDescent="0.25">
      <c r="A187" s="766"/>
      <c r="B187" s="851">
        <f t="shared" si="16"/>
        <v>341.01</v>
      </c>
      <c r="C187" s="512"/>
      <c r="D187" s="766">
        <f t="shared" si="12"/>
        <v>341.01</v>
      </c>
      <c r="H187" s="766"/>
    </row>
    <row r="188" spans="1:8" x14ac:dyDescent="0.25">
      <c r="A188" s="766"/>
      <c r="B188" s="851">
        <f t="shared" si="16"/>
        <v>341.01</v>
      </c>
      <c r="C188" s="852"/>
      <c r="D188" s="766">
        <f t="shared" si="12"/>
        <v>341.01</v>
      </c>
      <c r="H188" s="766"/>
    </row>
    <row r="189" spans="1:8" x14ac:dyDescent="0.25">
      <c r="A189" s="766"/>
      <c r="B189" s="851">
        <f>Electric!A193</f>
        <v>342</v>
      </c>
      <c r="C189" s="770"/>
      <c r="D189" s="766">
        <f t="shared" si="12"/>
        <v>342</v>
      </c>
      <c r="H189" s="766"/>
    </row>
    <row r="190" spans="1:8" x14ac:dyDescent="0.25">
      <c r="A190" s="766"/>
      <c r="B190" s="851">
        <f t="shared" ref="B190:B203" si="17">B189</f>
        <v>342</v>
      </c>
      <c r="C190" s="663">
        <f>Electric!J194</f>
        <v>-43455.130743319474</v>
      </c>
      <c r="D190" s="766">
        <f t="shared" si="12"/>
        <v>342</v>
      </c>
      <c r="H190" s="766"/>
    </row>
    <row r="191" spans="1:8" x14ac:dyDescent="0.25">
      <c r="A191" s="766"/>
      <c r="B191" s="851">
        <f t="shared" si="17"/>
        <v>342</v>
      </c>
      <c r="C191" s="663">
        <f>Electric!J195</f>
        <v>-3748.8126695433457</v>
      </c>
      <c r="D191" s="766">
        <f t="shared" si="12"/>
        <v>342</v>
      </c>
      <c r="H191" s="766"/>
    </row>
    <row r="192" spans="1:8" x14ac:dyDescent="0.25">
      <c r="A192" s="766"/>
      <c r="B192" s="851">
        <f t="shared" si="17"/>
        <v>342</v>
      </c>
      <c r="C192" s="663">
        <f>Electric!J196</f>
        <v>-9627.081417193338</v>
      </c>
      <c r="D192" s="766">
        <f t="shared" si="12"/>
        <v>342</v>
      </c>
      <c r="H192" s="766"/>
    </row>
    <row r="193" spans="1:8" x14ac:dyDescent="0.25">
      <c r="A193" s="766"/>
      <c r="B193" s="851">
        <f t="shared" si="17"/>
        <v>342</v>
      </c>
      <c r="C193" s="663">
        <f>Electric!J197</f>
        <v>-1335.3292666630441</v>
      </c>
      <c r="D193" s="766">
        <f t="shared" si="12"/>
        <v>342</v>
      </c>
      <c r="H193" s="766"/>
    </row>
    <row r="194" spans="1:8" x14ac:dyDescent="0.25">
      <c r="A194" s="766"/>
      <c r="B194" s="851">
        <f t="shared" si="17"/>
        <v>342</v>
      </c>
      <c r="C194" s="663">
        <f>Electric!J198</f>
        <v>-29012.025508984058</v>
      </c>
      <c r="D194" s="766">
        <f t="shared" si="12"/>
        <v>342</v>
      </c>
      <c r="H194" s="766"/>
    </row>
    <row r="195" spans="1:8" x14ac:dyDescent="0.25">
      <c r="A195" s="766"/>
      <c r="B195" s="851">
        <f t="shared" si="17"/>
        <v>342</v>
      </c>
      <c r="C195" s="663">
        <f>Electric!J199</f>
        <v>16771.392440816217</v>
      </c>
      <c r="D195" s="766">
        <f t="shared" si="12"/>
        <v>342</v>
      </c>
      <c r="H195" s="766"/>
    </row>
    <row r="196" spans="1:8" x14ac:dyDescent="0.25">
      <c r="A196" s="766"/>
      <c r="B196" s="851">
        <f t="shared" si="17"/>
        <v>342</v>
      </c>
      <c r="C196" s="511">
        <f>Electric!J200</f>
        <v>9718.7006242963907</v>
      </c>
      <c r="D196" s="766">
        <f t="shared" si="12"/>
        <v>342</v>
      </c>
      <c r="H196" s="766"/>
    </row>
    <row r="197" spans="1:8" x14ac:dyDescent="0.25">
      <c r="A197" s="766"/>
      <c r="B197" s="851">
        <f t="shared" si="17"/>
        <v>342</v>
      </c>
      <c r="C197" s="511">
        <f>Electric!J201</f>
        <v>-40347.227014603384</v>
      </c>
      <c r="D197" s="766">
        <f t="shared" ref="D197:D260" si="18">VLOOKUP(B197,$A$456:$A$537,1,FALSE)</f>
        <v>342</v>
      </c>
      <c r="H197" s="766"/>
    </row>
    <row r="198" spans="1:8" x14ac:dyDescent="0.25">
      <c r="A198" s="766"/>
      <c r="B198" s="851">
        <f t="shared" si="17"/>
        <v>342</v>
      </c>
      <c r="C198" s="663">
        <f>Electric!J202</f>
        <v>-50757.649952239895</v>
      </c>
      <c r="D198" s="766">
        <f t="shared" si="18"/>
        <v>342</v>
      </c>
      <c r="H198" s="766"/>
    </row>
    <row r="199" spans="1:8" x14ac:dyDescent="0.25">
      <c r="A199" s="766"/>
      <c r="B199" s="851">
        <f t="shared" si="17"/>
        <v>342</v>
      </c>
      <c r="C199" s="663">
        <f>Electric!J203</f>
        <v>-7689.5205311322188</v>
      </c>
      <c r="D199" s="766">
        <f t="shared" si="18"/>
        <v>342</v>
      </c>
      <c r="H199" s="766"/>
    </row>
    <row r="200" spans="1:8" x14ac:dyDescent="0.25">
      <c r="A200" s="766"/>
      <c r="B200" s="851">
        <f t="shared" si="17"/>
        <v>342</v>
      </c>
      <c r="C200" s="663">
        <f>Electric!J204</f>
        <v>2467.8245774832403</v>
      </c>
      <c r="D200" s="766">
        <f t="shared" si="18"/>
        <v>342</v>
      </c>
      <c r="H200" s="766"/>
    </row>
    <row r="201" spans="1:8" x14ac:dyDescent="0.25">
      <c r="A201" s="766"/>
      <c r="B201" s="851">
        <f t="shared" si="17"/>
        <v>342</v>
      </c>
      <c r="C201" s="770"/>
      <c r="D201" s="766">
        <f t="shared" si="18"/>
        <v>342</v>
      </c>
      <c r="H201" s="766"/>
    </row>
    <row r="202" spans="1:8" x14ac:dyDescent="0.25">
      <c r="A202" s="766"/>
      <c r="B202" s="851">
        <f t="shared" si="17"/>
        <v>342</v>
      </c>
      <c r="C202" s="512"/>
      <c r="D202" s="766">
        <f t="shared" si="18"/>
        <v>342</v>
      </c>
      <c r="H202" s="766"/>
    </row>
    <row r="203" spans="1:8" x14ac:dyDescent="0.25">
      <c r="A203" s="766"/>
      <c r="B203" s="851">
        <f t="shared" si="17"/>
        <v>342</v>
      </c>
      <c r="C203" s="852"/>
      <c r="D203" s="766">
        <f t="shared" si="18"/>
        <v>342</v>
      </c>
      <c r="H203" s="766"/>
    </row>
    <row r="204" spans="1:8" x14ac:dyDescent="0.25">
      <c r="A204" s="766"/>
      <c r="B204" s="851">
        <f>Electric!A208</f>
        <v>344</v>
      </c>
      <c r="C204" s="770"/>
      <c r="D204" s="766">
        <f t="shared" si="18"/>
        <v>344</v>
      </c>
      <c r="H204" s="766"/>
    </row>
    <row r="205" spans="1:8" x14ac:dyDescent="0.25">
      <c r="A205" s="766"/>
      <c r="B205" s="851">
        <f t="shared" ref="B205:B213" si="19">B204</f>
        <v>344</v>
      </c>
      <c r="C205" s="663">
        <f>Electric!J209</f>
        <v>-8461.1589862292349</v>
      </c>
      <c r="D205" s="766">
        <f t="shared" si="18"/>
        <v>344</v>
      </c>
      <c r="H205" s="766"/>
    </row>
    <row r="206" spans="1:8" x14ac:dyDescent="0.25">
      <c r="A206" s="766"/>
      <c r="B206" s="851">
        <f t="shared" si="19"/>
        <v>344</v>
      </c>
      <c r="C206" s="511">
        <f>Electric!J210</f>
        <v>320429.20223869465</v>
      </c>
      <c r="D206" s="766">
        <f t="shared" si="18"/>
        <v>344</v>
      </c>
      <c r="H206" s="766"/>
    </row>
    <row r="207" spans="1:8" x14ac:dyDescent="0.25">
      <c r="A207" s="766"/>
      <c r="B207" s="851">
        <f t="shared" si="19"/>
        <v>344</v>
      </c>
      <c r="C207" s="511">
        <f>Electric!J211</f>
        <v>244072.91681972309</v>
      </c>
      <c r="D207" s="766">
        <f t="shared" si="18"/>
        <v>344</v>
      </c>
      <c r="H207" s="766"/>
    </row>
    <row r="208" spans="1:8" x14ac:dyDescent="0.25">
      <c r="A208" s="766"/>
      <c r="B208" s="851">
        <f t="shared" si="19"/>
        <v>344</v>
      </c>
      <c r="C208" s="663">
        <f>Electric!J212</f>
        <v>-238064.83280626318</v>
      </c>
      <c r="D208" s="766">
        <f t="shared" si="18"/>
        <v>344</v>
      </c>
      <c r="H208" s="766"/>
    </row>
    <row r="209" spans="1:8" x14ac:dyDescent="0.25">
      <c r="A209" s="766"/>
      <c r="B209" s="851">
        <f t="shared" si="19"/>
        <v>344</v>
      </c>
      <c r="C209" s="511">
        <f>Electric!J213</f>
        <v>-620293.56747130991</v>
      </c>
      <c r="D209" s="766">
        <f t="shared" si="18"/>
        <v>344</v>
      </c>
      <c r="H209" s="766"/>
    </row>
    <row r="210" spans="1:8" x14ac:dyDescent="0.25">
      <c r="A210" s="766"/>
      <c r="B210" s="851">
        <f t="shared" si="19"/>
        <v>344</v>
      </c>
      <c r="C210" s="511">
        <f>Electric!J214</f>
        <v>-312846.89486326161</v>
      </c>
      <c r="D210" s="766">
        <f t="shared" si="18"/>
        <v>344</v>
      </c>
      <c r="H210" s="766"/>
    </row>
    <row r="211" spans="1:8" x14ac:dyDescent="0.25">
      <c r="A211" s="766"/>
      <c r="B211" s="851">
        <f t="shared" si="19"/>
        <v>344</v>
      </c>
      <c r="C211" s="770"/>
      <c r="D211" s="766">
        <f t="shared" si="18"/>
        <v>344</v>
      </c>
      <c r="H211" s="766"/>
    </row>
    <row r="212" spans="1:8" x14ac:dyDescent="0.25">
      <c r="A212" s="766"/>
      <c r="B212" s="851">
        <f t="shared" si="19"/>
        <v>344</v>
      </c>
      <c r="C212" s="512"/>
      <c r="D212" s="766">
        <f t="shared" si="18"/>
        <v>344</v>
      </c>
      <c r="H212" s="766"/>
    </row>
    <row r="213" spans="1:8" x14ac:dyDescent="0.25">
      <c r="A213" s="766"/>
      <c r="B213" s="851">
        <f t="shared" si="19"/>
        <v>344</v>
      </c>
      <c r="C213" s="852"/>
      <c r="D213" s="766">
        <f t="shared" si="18"/>
        <v>344</v>
      </c>
      <c r="H213" s="766"/>
    </row>
    <row r="214" spans="1:8" x14ac:dyDescent="0.25">
      <c r="A214" s="766"/>
      <c r="B214" s="851">
        <f>Electric!A218</f>
        <v>344.01</v>
      </c>
      <c r="C214" s="770"/>
      <c r="D214" s="766">
        <f t="shared" si="18"/>
        <v>344.01</v>
      </c>
      <c r="H214" s="766"/>
    </row>
    <row r="215" spans="1:8" x14ac:dyDescent="0.25">
      <c r="A215" s="766"/>
      <c r="B215" s="851">
        <f t="shared" ref="B215:B220" si="20">B214</f>
        <v>344.01</v>
      </c>
      <c r="C215" s="663">
        <f>Electric!J219</f>
        <v>502085.48906614259</v>
      </c>
      <c r="D215" s="766">
        <f t="shared" si="18"/>
        <v>344.01</v>
      </c>
      <c r="H215" s="766"/>
    </row>
    <row r="216" spans="1:8" x14ac:dyDescent="0.25">
      <c r="A216" s="766"/>
      <c r="B216" s="851">
        <f t="shared" si="20"/>
        <v>344.01</v>
      </c>
      <c r="C216" s="663">
        <f>Electric!J220</f>
        <v>1009398.9794043684</v>
      </c>
      <c r="D216" s="766">
        <f t="shared" si="18"/>
        <v>344.01</v>
      </c>
      <c r="H216" s="766"/>
    </row>
    <row r="217" spans="1:8" x14ac:dyDescent="0.25">
      <c r="A217" s="766"/>
      <c r="B217" s="851">
        <f t="shared" si="20"/>
        <v>344.01</v>
      </c>
      <c r="C217" s="663">
        <f>Electric!J221</f>
        <v>2127642.3644084372</v>
      </c>
      <c r="D217" s="766">
        <f t="shared" si="18"/>
        <v>344.01</v>
      </c>
      <c r="H217" s="766"/>
    </row>
    <row r="218" spans="1:8" x14ac:dyDescent="0.25">
      <c r="A218" s="766"/>
      <c r="B218" s="851">
        <f t="shared" si="20"/>
        <v>344.01</v>
      </c>
      <c r="C218" s="770"/>
      <c r="D218" s="766">
        <f t="shared" si="18"/>
        <v>344.01</v>
      </c>
      <c r="H218" s="766"/>
    </row>
    <row r="219" spans="1:8" x14ac:dyDescent="0.25">
      <c r="A219" s="766"/>
      <c r="B219" s="851">
        <f t="shared" si="20"/>
        <v>344.01</v>
      </c>
      <c r="C219" s="512"/>
      <c r="D219" s="766">
        <f t="shared" si="18"/>
        <v>344.01</v>
      </c>
      <c r="H219" s="766"/>
    </row>
    <row r="220" spans="1:8" x14ac:dyDescent="0.25">
      <c r="A220" s="766"/>
      <c r="B220" s="851">
        <f t="shared" si="20"/>
        <v>344.01</v>
      </c>
      <c r="C220" s="852"/>
      <c r="D220" s="766">
        <f t="shared" si="18"/>
        <v>344.01</v>
      </c>
      <c r="H220" s="766"/>
    </row>
    <row r="221" spans="1:8" x14ac:dyDescent="0.25">
      <c r="A221" s="766"/>
      <c r="B221" s="851">
        <f>Electric!A225</f>
        <v>344.2</v>
      </c>
      <c r="C221" s="770"/>
      <c r="D221" s="766">
        <f t="shared" si="18"/>
        <v>344.2</v>
      </c>
      <c r="H221" s="766"/>
    </row>
    <row r="222" spans="1:8" x14ac:dyDescent="0.25">
      <c r="A222" s="766"/>
      <c r="B222" s="851">
        <f t="shared" ref="B222:B230" si="21">B221</f>
        <v>344.2</v>
      </c>
      <c r="C222" s="663">
        <f>Electric!J226</f>
        <v>-828162.04461497813</v>
      </c>
      <c r="D222" s="766">
        <f t="shared" si="18"/>
        <v>344.2</v>
      </c>
      <c r="H222" s="766"/>
    </row>
    <row r="223" spans="1:8" x14ac:dyDescent="0.25">
      <c r="A223" s="766"/>
      <c r="B223" s="851">
        <f t="shared" si="21"/>
        <v>344.2</v>
      </c>
      <c r="C223" s="663">
        <f>Electric!J227</f>
        <v>2252949.0374591476</v>
      </c>
      <c r="D223" s="766">
        <f t="shared" si="18"/>
        <v>344.2</v>
      </c>
      <c r="H223" s="766"/>
    </row>
    <row r="224" spans="1:8" x14ac:dyDescent="0.25">
      <c r="A224" s="766"/>
      <c r="B224" s="851">
        <f t="shared" si="21"/>
        <v>344.2</v>
      </c>
      <c r="C224" s="663">
        <f>Electric!J228</f>
        <v>6244723.1598723223</v>
      </c>
      <c r="D224" s="766">
        <f t="shared" si="18"/>
        <v>344.2</v>
      </c>
      <c r="H224" s="766"/>
    </row>
    <row r="225" spans="1:8" x14ac:dyDescent="0.25">
      <c r="A225" s="766"/>
      <c r="B225" s="851">
        <f t="shared" si="21"/>
        <v>344.2</v>
      </c>
      <c r="C225" s="663">
        <f>Electric!J229</f>
        <v>1996639.0104693719</v>
      </c>
      <c r="D225" s="766">
        <f t="shared" si="18"/>
        <v>344.2</v>
      </c>
      <c r="H225" s="766"/>
    </row>
    <row r="226" spans="1:8" x14ac:dyDescent="0.25">
      <c r="A226" s="766"/>
      <c r="B226" s="851">
        <f t="shared" si="21"/>
        <v>344.2</v>
      </c>
      <c r="C226" s="663">
        <f>Electric!J230</f>
        <v>-218760.65482889186</v>
      </c>
      <c r="D226" s="766">
        <f t="shared" si="18"/>
        <v>344.2</v>
      </c>
      <c r="H226" s="766"/>
    </row>
    <row r="227" spans="1:8" x14ac:dyDescent="0.25">
      <c r="A227" s="766"/>
      <c r="B227" s="851">
        <f t="shared" si="21"/>
        <v>344.2</v>
      </c>
      <c r="C227" s="663">
        <f>Electric!J231</f>
        <v>48205.028331445064</v>
      </c>
      <c r="D227" s="766">
        <f t="shared" si="18"/>
        <v>344.2</v>
      </c>
      <c r="H227" s="766"/>
    </row>
    <row r="228" spans="1:8" x14ac:dyDescent="0.25">
      <c r="A228" s="766"/>
      <c r="B228" s="851">
        <f t="shared" si="21"/>
        <v>344.2</v>
      </c>
      <c r="C228" s="770"/>
      <c r="D228" s="766">
        <f t="shared" si="18"/>
        <v>344.2</v>
      </c>
      <c r="H228" s="766"/>
    </row>
    <row r="229" spans="1:8" x14ac:dyDescent="0.25">
      <c r="A229" s="766"/>
      <c r="B229" s="851">
        <f t="shared" si="21"/>
        <v>344.2</v>
      </c>
      <c r="C229" s="512"/>
      <c r="D229" s="766">
        <f t="shared" si="18"/>
        <v>344.2</v>
      </c>
      <c r="H229" s="766"/>
    </row>
    <row r="230" spans="1:8" x14ac:dyDescent="0.25">
      <c r="A230" s="766"/>
      <c r="B230" s="851">
        <f t="shared" si="21"/>
        <v>344.2</v>
      </c>
      <c r="C230" s="852"/>
      <c r="D230" s="766">
        <f t="shared" si="18"/>
        <v>344.2</v>
      </c>
      <c r="H230" s="766"/>
    </row>
    <row r="231" spans="1:8" x14ac:dyDescent="0.25">
      <c r="A231" s="766"/>
      <c r="B231" s="851">
        <f>Electric!A235</f>
        <v>345</v>
      </c>
      <c r="C231" s="770"/>
      <c r="D231" s="766">
        <f t="shared" si="18"/>
        <v>345</v>
      </c>
      <c r="H231" s="766"/>
    </row>
    <row r="232" spans="1:8" x14ac:dyDescent="0.25">
      <c r="A232" s="766"/>
      <c r="B232" s="851">
        <f t="shared" ref="B232:B245" si="22">B231</f>
        <v>345</v>
      </c>
      <c r="C232" s="663">
        <f>Electric!J236</f>
        <v>-3898.9239316249368</v>
      </c>
      <c r="D232" s="766">
        <f t="shared" si="18"/>
        <v>345</v>
      </c>
      <c r="H232" s="766"/>
    </row>
    <row r="233" spans="1:8" x14ac:dyDescent="0.25">
      <c r="A233" s="766"/>
      <c r="B233" s="851">
        <f t="shared" si="22"/>
        <v>345</v>
      </c>
      <c r="C233" s="663">
        <f>Electric!J237</f>
        <v>357.79661201121598</v>
      </c>
      <c r="D233" s="766">
        <f t="shared" si="18"/>
        <v>345</v>
      </c>
      <c r="H233" s="766"/>
    </row>
    <row r="234" spans="1:8" x14ac:dyDescent="0.25">
      <c r="A234" s="766"/>
      <c r="B234" s="851">
        <f t="shared" si="22"/>
        <v>345</v>
      </c>
      <c r="C234" s="663">
        <f>Electric!J238</f>
        <v>-44791.076476594681</v>
      </c>
      <c r="D234" s="766">
        <f t="shared" si="18"/>
        <v>345</v>
      </c>
      <c r="H234" s="766"/>
    </row>
    <row r="235" spans="1:8" x14ac:dyDescent="0.25">
      <c r="A235" s="766"/>
      <c r="B235" s="851">
        <f t="shared" si="22"/>
        <v>345</v>
      </c>
      <c r="C235" s="663">
        <f>Electric!J239</f>
        <v>752.21298410040617</v>
      </c>
      <c r="D235" s="766">
        <f t="shared" si="18"/>
        <v>345</v>
      </c>
      <c r="H235" s="766"/>
    </row>
    <row r="236" spans="1:8" x14ac:dyDescent="0.25">
      <c r="A236" s="766"/>
      <c r="B236" s="851">
        <f t="shared" si="22"/>
        <v>345</v>
      </c>
      <c r="C236" s="663">
        <f>Electric!J240</f>
        <v>-20777.892696359428</v>
      </c>
      <c r="D236" s="766">
        <f t="shared" si="18"/>
        <v>345</v>
      </c>
      <c r="H236" s="766"/>
    </row>
    <row r="237" spans="1:8" x14ac:dyDescent="0.25">
      <c r="A237" s="766"/>
      <c r="B237" s="851">
        <f t="shared" si="22"/>
        <v>345</v>
      </c>
      <c r="C237" s="511">
        <f>Electric!J241</f>
        <v>203.33849297160123</v>
      </c>
      <c r="D237" s="766">
        <f t="shared" si="18"/>
        <v>345</v>
      </c>
      <c r="H237" s="766"/>
    </row>
    <row r="238" spans="1:8" x14ac:dyDescent="0.25">
      <c r="A238" s="766"/>
      <c r="B238" s="851">
        <f t="shared" si="22"/>
        <v>345</v>
      </c>
      <c r="C238" s="511">
        <f>Electric!J242</f>
        <v>25564.390333449737</v>
      </c>
      <c r="D238" s="766">
        <f t="shared" si="18"/>
        <v>345</v>
      </c>
      <c r="H238" s="766"/>
    </row>
    <row r="239" spans="1:8" x14ac:dyDescent="0.25">
      <c r="A239" s="766"/>
      <c r="B239" s="851">
        <f t="shared" si="22"/>
        <v>345</v>
      </c>
      <c r="C239" s="511">
        <f>Electric!J243</f>
        <v>101937.31333626054</v>
      </c>
      <c r="D239" s="766">
        <f t="shared" si="18"/>
        <v>345</v>
      </c>
      <c r="H239" s="766"/>
    </row>
    <row r="240" spans="1:8" x14ac:dyDescent="0.25">
      <c r="A240" s="766"/>
      <c r="B240" s="851">
        <f t="shared" si="22"/>
        <v>345</v>
      </c>
      <c r="C240" s="663">
        <f>Electric!J244</f>
        <v>-104350.71275950002</v>
      </c>
      <c r="D240" s="766">
        <f t="shared" si="18"/>
        <v>345</v>
      </c>
      <c r="H240" s="766"/>
    </row>
    <row r="241" spans="1:8" x14ac:dyDescent="0.25">
      <c r="A241" s="766"/>
      <c r="B241" s="851">
        <f t="shared" si="22"/>
        <v>345</v>
      </c>
      <c r="C241" s="663">
        <f>Electric!J245</f>
        <v>-8186.8036194403967</v>
      </c>
      <c r="D241" s="766">
        <f t="shared" si="18"/>
        <v>345</v>
      </c>
      <c r="H241" s="766"/>
    </row>
    <row r="242" spans="1:8" x14ac:dyDescent="0.25">
      <c r="A242" s="766"/>
      <c r="B242" s="851">
        <f t="shared" si="22"/>
        <v>345</v>
      </c>
      <c r="C242" s="663">
        <f>Electric!J246</f>
        <v>21320.377326024747</v>
      </c>
      <c r="D242" s="766">
        <f t="shared" si="18"/>
        <v>345</v>
      </c>
      <c r="H242" s="766"/>
    </row>
    <row r="243" spans="1:8" x14ac:dyDescent="0.25">
      <c r="A243" s="766"/>
      <c r="B243" s="851">
        <f t="shared" si="22"/>
        <v>345</v>
      </c>
      <c r="C243" s="770"/>
      <c r="D243" s="766">
        <f t="shared" si="18"/>
        <v>345</v>
      </c>
      <c r="H243" s="766"/>
    </row>
    <row r="244" spans="1:8" x14ac:dyDescent="0.25">
      <c r="A244" s="766"/>
      <c r="B244" s="851">
        <f t="shared" si="22"/>
        <v>345</v>
      </c>
      <c r="C244" s="512"/>
      <c r="D244" s="766">
        <f t="shared" si="18"/>
        <v>345</v>
      </c>
      <c r="H244" s="766"/>
    </row>
    <row r="245" spans="1:8" x14ac:dyDescent="0.25">
      <c r="A245" s="766"/>
      <c r="B245" s="851">
        <f t="shared" si="22"/>
        <v>345</v>
      </c>
      <c r="C245" s="852"/>
      <c r="D245" s="766">
        <f t="shared" si="18"/>
        <v>345</v>
      </c>
      <c r="H245" s="766"/>
    </row>
    <row r="246" spans="1:8" x14ac:dyDescent="0.25">
      <c r="A246" s="766"/>
      <c r="B246" s="851">
        <f>Electric!A250</f>
        <v>345.01</v>
      </c>
      <c r="C246" s="770"/>
      <c r="D246" s="766">
        <f t="shared" si="18"/>
        <v>345.01</v>
      </c>
      <c r="H246" s="766"/>
    </row>
    <row r="247" spans="1:8" x14ac:dyDescent="0.25">
      <c r="A247" s="766"/>
      <c r="B247" s="851">
        <f t="shared" ref="B247:B252" si="23">B246</f>
        <v>345.01</v>
      </c>
      <c r="C247" s="511">
        <f>Electric!J251</f>
        <v>19738.696993094403</v>
      </c>
      <c r="D247" s="766">
        <f t="shared" si="18"/>
        <v>345.01</v>
      </c>
      <c r="H247" s="766"/>
    </row>
    <row r="248" spans="1:8" x14ac:dyDescent="0.25">
      <c r="A248" s="766"/>
      <c r="B248" s="851">
        <f t="shared" si="23"/>
        <v>345.01</v>
      </c>
      <c r="C248" s="663">
        <f>Electric!J252</f>
        <v>77665.017161900294</v>
      </c>
      <c r="D248" s="766">
        <f t="shared" si="18"/>
        <v>345.01</v>
      </c>
      <c r="H248" s="766"/>
    </row>
    <row r="249" spans="1:8" x14ac:dyDescent="0.25">
      <c r="A249" s="766"/>
      <c r="B249" s="851">
        <f t="shared" si="23"/>
        <v>345.01</v>
      </c>
      <c r="C249" s="663">
        <f>Electric!J253</f>
        <v>189980.13850513613</v>
      </c>
      <c r="D249" s="766">
        <f t="shared" si="18"/>
        <v>345.01</v>
      </c>
      <c r="H249" s="766"/>
    </row>
    <row r="250" spans="1:8" x14ac:dyDescent="0.25">
      <c r="A250" s="766"/>
      <c r="B250" s="851">
        <f t="shared" si="23"/>
        <v>345.01</v>
      </c>
      <c r="C250" s="770"/>
      <c r="D250" s="766">
        <f t="shared" si="18"/>
        <v>345.01</v>
      </c>
      <c r="H250" s="766"/>
    </row>
    <row r="251" spans="1:8" x14ac:dyDescent="0.25">
      <c r="A251" s="766"/>
      <c r="B251" s="851">
        <f t="shared" si="23"/>
        <v>345.01</v>
      </c>
      <c r="C251" s="512"/>
      <c r="D251" s="766">
        <f t="shared" si="18"/>
        <v>345.01</v>
      </c>
      <c r="H251" s="766"/>
    </row>
    <row r="252" spans="1:8" x14ac:dyDescent="0.25">
      <c r="A252" s="766"/>
      <c r="B252" s="851">
        <f t="shared" si="23"/>
        <v>345.01</v>
      </c>
      <c r="C252" s="852"/>
      <c r="D252" s="766">
        <f t="shared" si="18"/>
        <v>345.01</v>
      </c>
      <c r="H252" s="766"/>
    </row>
    <row r="253" spans="1:8" x14ac:dyDescent="0.25">
      <c r="A253" s="766"/>
      <c r="B253" s="851">
        <f>Electric!A257</f>
        <v>346</v>
      </c>
      <c r="C253" s="770"/>
      <c r="D253" s="766">
        <f t="shared" si="18"/>
        <v>346</v>
      </c>
      <c r="H253" s="766"/>
    </row>
    <row r="254" spans="1:8" x14ac:dyDescent="0.25">
      <c r="A254" s="766"/>
      <c r="B254" s="851">
        <f t="shared" ref="B254:B265" si="24">B253</f>
        <v>346</v>
      </c>
      <c r="C254" s="663">
        <f>Electric!J258</f>
        <v>28352.830045468709</v>
      </c>
      <c r="D254" s="766">
        <f t="shared" si="18"/>
        <v>346</v>
      </c>
      <c r="H254" s="766"/>
    </row>
    <row r="255" spans="1:8" x14ac:dyDescent="0.25">
      <c r="A255" s="766"/>
      <c r="B255" s="851">
        <f t="shared" si="24"/>
        <v>346</v>
      </c>
      <c r="C255" s="663">
        <f>Electric!J259</f>
        <v>-10004.021862172533</v>
      </c>
      <c r="D255" s="766">
        <f t="shared" si="18"/>
        <v>346</v>
      </c>
      <c r="H255" s="766"/>
    </row>
    <row r="256" spans="1:8" x14ac:dyDescent="0.25">
      <c r="A256" s="766"/>
      <c r="B256" s="851">
        <f t="shared" si="24"/>
        <v>346</v>
      </c>
      <c r="C256" s="663">
        <f>Electric!J260</f>
        <v>348.03248102512589</v>
      </c>
      <c r="D256" s="766">
        <f t="shared" si="18"/>
        <v>346</v>
      </c>
      <c r="H256" s="766"/>
    </row>
    <row r="257" spans="1:8" x14ac:dyDescent="0.25">
      <c r="A257" s="766"/>
      <c r="B257" s="851">
        <f t="shared" si="24"/>
        <v>346</v>
      </c>
      <c r="C257" s="663">
        <f>Electric!J261</f>
        <v>-14400.394512177947</v>
      </c>
      <c r="D257" s="766">
        <f t="shared" si="18"/>
        <v>346</v>
      </c>
      <c r="H257" s="766"/>
    </row>
    <row r="258" spans="1:8" x14ac:dyDescent="0.25">
      <c r="A258" s="766"/>
      <c r="B258" s="851">
        <f t="shared" si="24"/>
        <v>346</v>
      </c>
      <c r="C258" s="511">
        <f>Electric!J262</f>
        <v>-3105.1156728736414</v>
      </c>
      <c r="D258" s="766">
        <f t="shared" si="18"/>
        <v>346</v>
      </c>
      <c r="H258" s="766"/>
    </row>
    <row r="259" spans="1:8" x14ac:dyDescent="0.25">
      <c r="A259" s="766"/>
      <c r="B259" s="851">
        <f t="shared" si="24"/>
        <v>346</v>
      </c>
      <c r="C259" s="511">
        <f>Electric!J263</f>
        <v>-130.92841959472571</v>
      </c>
      <c r="D259" s="766">
        <f t="shared" si="18"/>
        <v>346</v>
      </c>
      <c r="H259" s="766"/>
    </row>
    <row r="260" spans="1:8" x14ac:dyDescent="0.25">
      <c r="A260" s="766"/>
      <c r="B260" s="851">
        <f t="shared" si="24"/>
        <v>346</v>
      </c>
      <c r="C260" s="663">
        <f>Electric!J264</f>
        <v>-7414.6382030843579</v>
      </c>
      <c r="D260" s="766">
        <f t="shared" si="18"/>
        <v>346</v>
      </c>
      <c r="H260" s="766"/>
    </row>
    <row r="261" spans="1:8" x14ac:dyDescent="0.25">
      <c r="A261" s="766"/>
      <c r="B261" s="851">
        <f t="shared" si="24"/>
        <v>346</v>
      </c>
      <c r="C261" s="663">
        <f>Electric!J265</f>
        <v>-1245.3268834391395</v>
      </c>
      <c r="D261" s="766">
        <f t="shared" ref="D261:D324" si="25">VLOOKUP(B261,$A$456:$A$537,1,FALSE)</f>
        <v>346</v>
      </c>
      <c r="H261" s="766"/>
    </row>
    <row r="262" spans="1:8" x14ac:dyDescent="0.25">
      <c r="A262" s="766"/>
      <c r="B262" s="851">
        <f t="shared" si="24"/>
        <v>346</v>
      </c>
      <c r="C262" s="663">
        <f>Electric!J266</f>
        <v>4031.4209850098541</v>
      </c>
      <c r="D262" s="766">
        <f t="shared" si="25"/>
        <v>346</v>
      </c>
      <c r="H262" s="766"/>
    </row>
    <row r="263" spans="1:8" x14ac:dyDescent="0.25">
      <c r="A263" s="766"/>
      <c r="B263" s="851">
        <f t="shared" si="24"/>
        <v>346</v>
      </c>
      <c r="C263" s="770"/>
      <c r="D263" s="766">
        <f t="shared" si="25"/>
        <v>346</v>
      </c>
      <c r="H263" s="766"/>
    </row>
    <row r="264" spans="1:8" x14ac:dyDescent="0.25">
      <c r="A264" s="766"/>
      <c r="B264" s="851">
        <f t="shared" si="24"/>
        <v>346</v>
      </c>
      <c r="C264" s="512"/>
      <c r="D264" s="766">
        <f t="shared" si="25"/>
        <v>346</v>
      </c>
      <c r="H264" s="766"/>
    </row>
    <row r="265" spans="1:8" x14ac:dyDescent="0.25">
      <c r="A265" s="766"/>
      <c r="B265" s="851">
        <f t="shared" si="24"/>
        <v>346</v>
      </c>
      <c r="C265" s="852"/>
      <c r="D265" s="766">
        <f t="shared" si="25"/>
        <v>346</v>
      </c>
      <c r="H265" s="766"/>
    </row>
    <row r="266" spans="1:8" x14ac:dyDescent="0.25">
      <c r="A266" s="766"/>
      <c r="B266" s="851">
        <f>Electric!A270</f>
        <v>346.01</v>
      </c>
      <c r="C266" s="770"/>
      <c r="D266" s="766">
        <f t="shared" si="25"/>
        <v>346.01</v>
      </c>
      <c r="H266" s="766"/>
    </row>
    <row r="267" spans="1:8" x14ac:dyDescent="0.25">
      <c r="A267" s="766"/>
      <c r="B267" s="851">
        <f t="shared" ref="B267:B272" si="26">B266</f>
        <v>346.01</v>
      </c>
      <c r="C267" s="663">
        <f>Electric!J271</f>
        <v>224.26028372808651</v>
      </c>
      <c r="D267" s="766">
        <f t="shared" si="25"/>
        <v>346.01</v>
      </c>
      <c r="H267" s="766"/>
    </row>
    <row r="268" spans="1:8" x14ac:dyDescent="0.25">
      <c r="A268" s="766"/>
      <c r="B268" s="851">
        <f t="shared" si="26"/>
        <v>346.01</v>
      </c>
      <c r="C268" s="663">
        <f>Electric!J272</f>
        <v>8007.4173987644135</v>
      </c>
      <c r="D268" s="766">
        <f t="shared" si="25"/>
        <v>346.01</v>
      </c>
      <c r="H268" s="766"/>
    </row>
    <row r="269" spans="1:8" x14ac:dyDescent="0.25">
      <c r="A269" s="766"/>
      <c r="B269" s="851">
        <f t="shared" si="26"/>
        <v>346.01</v>
      </c>
      <c r="C269" s="663">
        <f>Electric!J273</f>
        <v>9491.6835427672922</v>
      </c>
      <c r="D269" s="766">
        <f t="shared" si="25"/>
        <v>346.01</v>
      </c>
      <c r="H269" s="766"/>
    </row>
    <row r="270" spans="1:8" x14ac:dyDescent="0.25">
      <c r="A270" s="766"/>
      <c r="B270" s="851">
        <f t="shared" si="26"/>
        <v>346.01</v>
      </c>
      <c r="C270" s="770"/>
      <c r="D270" s="766">
        <f t="shared" si="25"/>
        <v>346.01</v>
      </c>
      <c r="H270" s="766"/>
    </row>
    <row r="271" spans="1:8" x14ac:dyDescent="0.25">
      <c r="A271" s="766"/>
      <c r="B271" s="851">
        <f t="shared" si="26"/>
        <v>346.01</v>
      </c>
      <c r="C271" s="512"/>
      <c r="D271" s="766">
        <f t="shared" si="25"/>
        <v>346.01</v>
      </c>
      <c r="H271" s="766"/>
    </row>
    <row r="272" spans="1:8" x14ac:dyDescent="0.25">
      <c r="A272" s="766"/>
      <c r="B272" s="851">
        <f t="shared" si="26"/>
        <v>346.01</v>
      </c>
      <c r="C272" s="852"/>
      <c r="D272" s="766">
        <f t="shared" si="25"/>
        <v>346.01</v>
      </c>
      <c r="H272" s="766"/>
    </row>
    <row r="273" spans="1:8" x14ac:dyDescent="0.25">
      <c r="A273" s="766"/>
      <c r="B273" s="851">
        <f>Electric!A277</f>
        <v>346.1</v>
      </c>
      <c r="C273" s="770"/>
      <c r="D273" s="766">
        <f t="shared" si="25"/>
        <v>346.1</v>
      </c>
      <c r="H273" s="766"/>
    </row>
    <row r="274" spans="1:8" x14ac:dyDescent="0.25">
      <c r="A274" s="766"/>
      <c r="B274" s="851">
        <f t="shared" ref="B274:B285" si="27">B273</f>
        <v>346.1</v>
      </c>
      <c r="C274" s="663">
        <f>Electric!J278</f>
        <v>17891.914624009838</v>
      </c>
      <c r="D274" s="766">
        <f t="shared" si="25"/>
        <v>346.1</v>
      </c>
      <c r="H274" s="766"/>
    </row>
    <row r="275" spans="1:8" x14ac:dyDescent="0.25">
      <c r="A275" s="766"/>
      <c r="B275" s="851">
        <f t="shared" si="27"/>
        <v>346.1</v>
      </c>
      <c r="C275" s="511">
        <f>Electric!J279</f>
        <v>3165.5044136532156</v>
      </c>
      <c r="D275" s="766">
        <f t="shared" si="25"/>
        <v>346.1</v>
      </c>
      <c r="H275" s="766"/>
    </row>
    <row r="276" spans="1:8" x14ac:dyDescent="0.25">
      <c r="A276" s="766"/>
      <c r="B276" s="851">
        <f t="shared" si="27"/>
        <v>346.1</v>
      </c>
      <c r="C276" s="663">
        <f>Electric!J280</f>
        <v>38400.206728267796</v>
      </c>
      <c r="D276" s="766">
        <f t="shared" si="25"/>
        <v>346.1</v>
      </c>
      <c r="H276" s="766"/>
    </row>
    <row r="277" spans="1:8" x14ac:dyDescent="0.25">
      <c r="A277" s="766"/>
      <c r="B277" s="851">
        <f t="shared" si="27"/>
        <v>346.1</v>
      </c>
      <c r="C277" s="663">
        <f>Electric!J281</f>
        <v>23339.624598481758</v>
      </c>
      <c r="D277" s="766">
        <f t="shared" si="25"/>
        <v>346.1</v>
      </c>
      <c r="H277" s="766"/>
    </row>
    <row r="278" spans="1:8" x14ac:dyDescent="0.25">
      <c r="A278" s="766"/>
      <c r="B278" s="851">
        <f t="shared" si="27"/>
        <v>346.1</v>
      </c>
      <c r="C278" s="663">
        <f>Electric!J282</f>
        <v>25183.478213011782</v>
      </c>
      <c r="D278" s="766">
        <f t="shared" si="25"/>
        <v>346.1</v>
      </c>
      <c r="H278" s="766"/>
    </row>
    <row r="279" spans="1:8" x14ac:dyDescent="0.25">
      <c r="A279" s="766"/>
      <c r="B279" s="851">
        <f t="shared" si="27"/>
        <v>346.1</v>
      </c>
      <c r="C279" s="663">
        <f>Electric!J283</f>
        <v>1851.2742752556173</v>
      </c>
      <c r="D279" s="766">
        <f t="shared" si="25"/>
        <v>346.1</v>
      </c>
      <c r="H279" s="766"/>
    </row>
    <row r="280" spans="1:8" x14ac:dyDescent="0.25">
      <c r="A280" s="766"/>
      <c r="B280" s="851">
        <f t="shared" si="27"/>
        <v>346.1</v>
      </c>
      <c r="C280" s="663">
        <f>Electric!J284</f>
        <v>54636.939820386753</v>
      </c>
      <c r="D280" s="766">
        <f t="shared" si="25"/>
        <v>346.1</v>
      </c>
      <c r="H280" s="766"/>
    </row>
    <row r="281" spans="1:8" x14ac:dyDescent="0.25">
      <c r="A281" s="766"/>
      <c r="B281" s="851">
        <f t="shared" si="27"/>
        <v>346.1</v>
      </c>
      <c r="C281" s="663">
        <f>Electric!J285</f>
        <v>25896.644404042439</v>
      </c>
      <c r="D281" s="766">
        <f t="shared" si="25"/>
        <v>346.1</v>
      </c>
      <c r="H281" s="766"/>
    </row>
    <row r="282" spans="1:8" x14ac:dyDescent="0.25">
      <c r="A282" s="766"/>
      <c r="B282" s="851">
        <f t="shared" si="27"/>
        <v>346.1</v>
      </c>
      <c r="C282" s="663">
        <f>Electric!J286</f>
        <v>10969.960691301958</v>
      </c>
      <c r="D282" s="766">
        <f t="shared" si="25"/>
        <v>346.1</v>
      </c>
      <c r="H282" s="766"/>
    </row>
    <row r="283" spans="1:8" x14ac:dyDescent="0.25">
      <c r="A283" s="766"/>
      <c r="B283" s="851">
        <f t="shared" si="27"/>
        <v>346.1</v>
      </c>
      <c r="C283" s="770"/>
      <c r="D283" s="766">
        <f t="shared" si="25"/>
        <v>346.1</v>
      </c>
      <c r="H283" s="766"/>
    </row>
    <row r="284" spans="1:8" x14ac:dyDescent="0.25">
      <c r="A284" s="766"/>
      <c r="B284" s="851">
        <f t="shared" si="27"/>
        <v>346.1</v>
      </c>
      <c r="C284" s="512"/>
      <c r="D284" s="766">
        <f t="shared" si="25"/>
        <v>346.1</v>
      </c>
      <c r="H284" s="766"/>
    </row>
    <row r="285" spans="1:8" x14ac:dyDescent="0.25">
      <c r="A285" s="766"/>
      <c r="B285" s="851">
        <f t="shared" si="27"/>
        <v>346.1</v>
      </c>
      <c r="C285" s="853"/>
      <c r="D285" s="766">
        <f t="shared" si="25"/>
        <v>346.1</v>
      </c>
      <c r="H285" s="766"/>
    </row>
    <row r="286" spans="1:8" x14ac:dyDescent="0.25">
      <c r="A286" s="766"/>
      <c r="B286" s="851">
        <f>Electric!A290</f>
        <v>346.11</v>
      </c>
      <c r="C286" s="770"/>
      <c r="D286" s="766">
        <f t="shared" si="25"/>
        <v>346.11</v>
      </c>
      <c r="H286" s="766"/>
    </row>
    <row r="287" spans="1:8" x14ac:dyDescent="0.25">
      <c r="A287" s="766"/>
      <c r="B287" s="851">
        <f t="shared" ref="B287:B292" si="28">B286</f>
        <v>346.11</v>
      </c>
      <c r="C287" s="663">
        <f>Electric!J291</f>
        <v>3542.4631428116445</v>
      </c>
      <c r="D287" s="766">
        <f t="shared" si="25"/>
        <v>346.11</v>
      </c>
      <c r="H287" s="766"/>
    </row>
    <row r="288" spans="1:8" x14ac:dyDescent="0.25">
      <c r="A288" s="766"/>
      <c r="B288" s="851">
        <f t="shared" si="28"/>
        <v>346.11</v>
      </c>
      <c r="C288" s="663">
        <f>Electric!J292</f>
        <v>17997.194475987693</v>
      </c>
      <c r="D288" s="766">
        <f t="shared" si="25"/>
        <v>346.11</v>
      </c>
      <c r="H288" s="766"/>
    </row>
    <row r="289" spans="1:8" x14ac:dyDescent="0.25">
      <c r="A289" s="766"/>
      <c r="B289" s="851">
        <f t="shared" si="28"/>
        <v>346.11</v>
      </c>
      <c r="C289" s="663">
        <f>Electric!J293</f>
        <v>11256.396764001447</v>
      </c>
      <c r="D289" s="766">
        <f t="shared" si="25"/>
        <v>346.11</v>
      </c>
      <c r="H289" s="766"/>
    </row>
    <row r="290" spans="1:8" x14ac:dyDescent="0.25">
      <c r="A290" s="766"/>
      <c r="B290" s="851">
        <f t="shared" si="28"/>
        <v>346.11</v>
      </c>
      <c r="C290" s="770"/>
      <c r="D290" s="766">
        <f t="shared" si="25"/>
        <v>346.11</v>
      </c>
      <c r="H290" s="766"/>
    </row>
    <row r="291" spans="1:8" x14ac:dyDescent="0.25">
      <c r="A291" s="766"/>
      <c r="B291" s="851">
        <f t="shared" si="28"/>
        <v>346.11</v>
      </c>
      <c r="C291" s="512"/>
      <c r="D291" s="766">
        <f t="shared" si="25"/>
        <v>346.11</v>
      </c>
      <c r="H291" s="766"/>
    </row>
    <row r="292" spans="1:8" x14ac:dyDescent="0.25">
      <c r="A292" s="766"/>
      <c r="B292" s="851">
        <f t="shared" si="28"/>
        <v>346.11</v>
      </c>
      <c r="C292" s="512"/>
      <c r="D292" s="766">
        <f t="shared" si="25"/>
        <v>346.11</v>
      </c>
      <c r="H292" s="766"/>
    </row>
    <row r="293" spans="1:8" x14ac:dyDescent="0.25">
      <c r="A293" s="766"/>
      <c r="B293" s="851">
        <f>Electric!A297</f>
        <v>348</v>
      </c>
      <c r="C293" s="512">
        <f>Electric!J297</f>
        <v>-148.38747493819392</v>
      </c>
      <c r="D293" s="766">
        <f t="shared" si="25"/>
        <v>348</v>
      </c>
      <c r="H293" s="766"/>
    </row>
    <row r="294" spans="1:8" x14ac:dyDescent="0.25">
      <c r="A294" s="766"/>
      <c r="B294" s="851">
        <f t="shared" ref="B294:B300" si="29">B293</f>
        <v>348</v>
      </c>
      <c r="C294" s="852"/>
      <c r="D294" s="766">
        <f t="shared" si="25"/>
        <v>348</v>
      </c>
      <c r="H294" s="766"/>
    </row>
    <row r="295" spans="1:8" x14ac:dyDescent="0.25">
      <c r="A295" s="766"/>
      <c r="B295" s="851">
        <f t="shared" si="29"/>
        <v>348</v>
      </c>
      <c r="C295" s="852"/>
      <c r="D295" s="766">
        <f t="shared" si="25"/>
        <v>348</v>
      </c>
      <c r="H295" s="766"/>
    </row>
    <row r="296" spans="1:8" x14ac:dyDescent="0.25">
      <c r="A296" s="766"/>
      <c r="B296" s="851">
        <f t="shared" si="29"/>
        <v>348</v>
      </c>
      <c r="C296" s="136"/>
      <c r="D296" s="766">
        <f t="shared" si="25"/>
        <v>348</v>
      </c>
      <c r="H296" s="766"/>
    </row>
    <row r="297" spans="1:8" x14ac:dyDescent="0.25">
      <c r="A297" s="766"/>
      <c r="B297" s="851">
        <f t="shared" si="29"/>
        <v>348</v>
      </c>
      <c r="C297" s="512"/>
      <c r="D297" s="766">
        <f t="shared" si="25"/>
        <v>348</v>
      </c>
      <c r="H297" s="766"/>
    </row>
    <row r="298" spans="1:8" x14ac:dyDescent="0.25">
      <c r="A298" s="766"/>
      <c r="B298" s="851">
        <f t="shared" si="29"/>
        <v>348</v>
      </c>
      <c r="C298" s="770"/>
      <c r="D298" s="766">
        <f t="shared" si="25"/>
        <v>348</v>
      </c>
      <c r="H298" s="766"/>
    </row>
    <row r="299" spans="1:8" x14ac:dyDescent="0.25">
      <c r="A299" s="766"/>
      <c r="B299" s="851">
        <f t="shared" si="29"/>
        <v>348</v>
      </c>
      <c r="C299" s="770"/>
      <c r="D299" s="766">
        <f t="shared" si="25"/>
        <v>348</v>
      </c>
      <c r="H299" s="766"/>
    </row>
    <row r="300" spans="1:8" x14ac:dyDescent="0.25">
      <c r="A300" s="766"/>
      <c r="B300" s="851">
        <f t="shared" si="29"/>
        <v>348</v>
      </c>
      <c r="C300" s="770"/>
      <c r="D300" s="766">
        <f t="shared" si="25"/>
        <v>348</v>
      </c>
      <c r="H300" s="766"/>
    </row>
    <row r="301" spans="1:8" x14ac:dyDescent="0.25">
      <c r="A301" s="766"/>
      <c r="B301" s="851">
        <f>Electric!A305</f>
        <v>350.1</v>
      </c>
      <c r="C301" s="663">
        <f>Electric!J305</f>
        <v>-104269.17448390319</v>
      </c>
      <c r="D301" s="766">
        <f t="shared" si="25"/>
        <v>350.1</v>
      </c>
      <c r="H301" s="766"/>
    </row>
    <row r="302" spans="1:8" x14ac:dyDescent="0.25">
      <c r="A302" s="766"/>
      <c r="B302" s="851">
        <f>Electric!A306</f>
        <v>350.16</v>
      </c>
      <c r="C302" s="663">
        <f>Electric!J306</f>
        <v>-25221.32083375474</v>
      </c>
      <c r="D302" s="766">
        <f t="shared" si="25"/>
        <v>350.16</v>
      </c>
      <c r="H302" s="766"/>
    </row>
    <row r="303" spans="1:8" x14ac:dyDescent="0.25">
      <c r="A303" s="766"/>
      <c r="B303" s="851">
        <f>Electric!A307</f>
        <v>350.17</v>
      </c>
      <c r="C303" s="663">
        <f>Electric!J307</f>
        <v>-241348.90317506128</v>
      </c>
      <c r="D303" s="766">
        <f t="shared" si="25"/>
        <v>350.17</v>
      </c>
      <c r="H303" s="766"/>
    </row>
    <row r="304" spans="1:8" x14ac:dyDescent="0.25">
      <c r="A304" s="766"/>
      <c r="B304" s="851">
        <f>Electric!A308</f>
        <v>350.99</v>
      </c>
      <c r="C304" s="511">
        <f>Electric!J308</f>
        <v>-306.88361641163556</v>
      </c>
      <c r="D304" s="766">
        <f t="shared" si="25"/>
        <v>350.99</v>
      </c>
      <c r="H304" s="766"/>
    </row>
    <row r="305" spans="1:8" x14ac:dyDescent="0.25">
      <c r="A305" s="766"/>
      <c r="B305" s="851">
        <f>B304</f>
        <v>350.99</v>
      </c>
      <c r="C305" s="511">
        <f>Electric!J309</f>
        <v>-1002.6915575354544</v>
      </c>
      <c r="D305" s="766">
        <f t="shared" si="25"/>
        <v>350.99</v>
      </c>
      <c r="H305" s="766"/>
    </row>
    <row r="306" spans="1:8" x14ac:dyDescent="0.25">
      <c r="A306" s="766"/>
      <c r="B306" s="851">
        <f>Electric!A310</f>
        <v>352</v>
      </c>
      <c r="C306" s="511">
        <f>Electric!J310</f>
        <v>-6731.3930625487337</v>
      </c>
      <c r="D306" s="766">
        <f t="shared" si="25"/>
        <v>352</v>
      </c>
      <c r="H306" s="766"/>
    </row>
    <row r="307" spans="1:8" x14ac:dyDescent="0.25">
      <c r="A307" s="766"/>
      <c r="B307" s="851">
        <f>Electric!A311</f>
        <v>352.6</v>
      </c>
      <c r="C307" s="511">
        <f>Electric!J311</f>
        <v>-6181.1597725581378</v>
      </c>
      <c r="D307" s="766">
        <f t="shared" si="25"/>
        <v>352.6</v>
      </c>
      <c r="H307" s="766"/>
    </row>
    <row r="308" spans="1:8" x14ac:dyDescent="0.25">
      <c r="A308" s="766"/>
      <c r="B308" s="851">
        <f>Electric!A312</f>
        <v>352.7</v>
      </c>
      <c r="C308" s="511">
        <f>Electric!J312</f>
        <v>-11207.975984349323</v>
      </c>
      <c r="D308" s="766">
        <f t="shared" si="25"/>
        <v>352.7</v>
      </c>
      <c r="H308" s="766"/>
    </row>
    <row r="309" spans="1:8" x14ac:dyDescent="0.25">
      <c r="A309" s="766"/>
      <c r="B309" s="851">
        <f>Electric!A313</f>
        <v>352.9</v>
      </c>
      <c r="C309" s="511">
        <f>Electric!J313</f>
        <v>-361.82940104088493</v>
      </c>
      <c r="D309" s="766">
        <f t="shared" si="25"/>
        <v>352.9</v>
      </c>
      <c r="H309" s="766"/>
    </row>
    <row r="310" spans="1:8" x14ac:dyDescent="0.25">
      <c r="A310" s="766"/>
      <c r="B310" s="851">
        <f>B309</f>
        <v>352.9</v>
      </c>
      <c r="C310" s="511">
        <f>Electric!J314</f>
        <v>-1979.3552766532339</v>
      </c>
      <c r="D310" s="766">
        <f t="shared" si="25"/>
        <v>352.9</v>
      </c>
      <c r="H310" s="766"/>
    </row>
    <row r="311" spans="1:8" x14ac:dyDescent="0.25">
      <c r="A311" s="766"/>
      <c r="B311" s="851">
        <f>B310</f>
        <v>352.9</v>
      </c>
      <c r="C311" s="511">
        <f>Electric!J315</f>
        <v>-46034.594381681025</v>
      </c>
      <c r="D311" s="766">
        <f t="shared" si="25"/>
        <v>352.9</v>
      </c>
      <c r="H311" s="766"/>
    </row>
    <row r="312" spans="1:8" x14ac:dyDescent="0.25">
      <c r="A312" s="766"/>
      <c r="B312" s="851">
        <f>Electric!A316</f>
        <v>353</v>
      </c>
      <c r="C312" s="511">
        <f>Electric!J316</f>
        <v>497336.3201717725</v>
      </c>
      <c r="D312" s="766">
        <f t="shared" si="25"/>
        <v>353</v>
      </c>
      <c r="H312" s="766"/>
    </row>
    <row r="313" spans="1:8" x14ac:dyDescent="0.25">
      <c r="A313" s="766"/>
      <c r="B313" s="851">
        <f>Electric!A317</f>
        <v>353.6</v>
      </c>
      <c r="C313" s="511">
        <f>Electric!J317</f>
        <v>4075.1784611460625</v>
      </c>
      <c r="D313" s="766">
        <f t="shared" si="25"/>
        <v>353.6</v>
      </c>
      <c r="H313" s="766"/>
    </row>
    <row r="314" spans="1:8" x14ac:dyDescent="0.25">
      <c r="A314" s="766"/>
      <c r="B314" s="851">
        <f>Electric!A318</f>
        <v>353.7</v>
      </c>
      <c r="C314" s="511">
        <f>Electric!J318</f>
        <v>1.035879860215736</v>
      </c>
      <c r="D314" s="766">
        <f t="shared" si="25"/>
        <v>353.7</v>
      </c>
      <c r="H314" s="766"/>
    </row>
    <row r="315" spans="1:8" x14ac:dyDescent="0.25">
      <c r="A315" s="766"/>
      <c r="B315" s="851">
        <f>B314</f>
        <v>353.7</v>
      </c>
      <c r="C315" s="511">
        <f>Electric!J319</f>
        <v>1019682.6193379182</v>
      </c>
      <c r="D315" s="766">
        <f t="shared" si="25"/>
        <v>353.7</v>
      </c>
      <c r="H315" s="766"/>
    </row>
    <row r="316" spans="1:8" x14ac:dyDescent="0.25">
      <c r="A316" s="766"/>
      <c r="B316" s="851">
        <f>B315</f>
        <v>353.7</v>
      </c>
      <c r="C316" s="511">
        <f>Electric!J320</f>
        <v>7730.4261810614553</v>
      </c>
      <c r="D316" s="766">
        <f t="shared" si="25"/>
        <v>353.7</v>
      </c>
      <c r="H316" s="766"/>
    </row>
    <row r="317" spans="1:8" x14ac:dyDescent="0.25">
      <c r="A317" s="766"/>
      <c r="B317" s="851">
        <f>Electric!A321</f>
        <v>353.8</v>
      </c>
      <c r="C317" s="511">
        <f>Electric!J321</f>
        <v>1994.6483839987477</v>
      </c>
      <c r="D317" s="766">
        <f t="shared" si="25"/>
        <v>353.8</v>
      </c>
      <c r="H317" s="766"/>
    </row>
    <row r="318" spans="1:8" x14ac:dyDescent="0.25">
      <c r="A318" s="766"/>
      <c r="B318" s="851">
        <f>Electric!A322</f>
        <v>353.9</v>
      </c>
      <c r="C318" s="511">
        <f>Electric!J322</f>
        <v>32778.491898254084</v>
      </c>
      <c r="D318" s="766">
        <f t="shared" si="25"/>
        <v>353.9</v>
      </c>
      <c r="H318" s="766"/>
    </row>
    <row r="319" spans="1:8" x14ac:dyDescent="0.25">
      <c r="A319" s="766"/>
      <c r="B319" s="851">
        <f t="shared" ref="B319:B327" si="30">B318</f>
        <v>353.9</v>
      </c>
      <c r="C319" s="511">
        <f>Electric!J323</f>
        <v>2187.1463727382152</v>
      </c>
      <c r="D319" s="766">
        <f t="shared" si="25"/>
        <v>353.9</v>
      </c>
      <c r="H319" s="766"/>
    </row>
    <row r="320" spans="1:8" x14ac:dyDescent="0.25">
      <c r="A320" s="766"/>
      <c r="B320" s="851">
        <f t="shared" si="30"/>
        <v>353.9</v>
      </c>
      <c r="C320" s="511">
        <f>Electric!J324</f>
        <v>12058.222437844801</v>
      </c>
      <c r="D320" s="766">
        <f t="shared" si="25"/>
        <v>353.9</v>
      </c>
      <c r="H320" s="766"/>
    </row>
    <row r="321" spans="1:8" x14ac:dyDescent="0.25">
      <c r="A321" s="766"/>
      <c r="B321" s="851">
        <f t="shared" si="30"/>
        <v>353.9</v>
      </c>
      <c r="C321" s="511">
        <f>Electric!J325</f>
        <v>43516.488111340092</v>
      </c>
      <c r="D321" s="766">
        <f t="shared" si="25"/>
        <v>353.9</v>
      </c>
      <c r="H321" s="766"/>
    </row>
    <row r="322" spans="1:8" x14ac:dyDescent="0.25">
      <c r="A322" s="766"/>
      <c r="B322" s="851">
        <f t="shared" si="30"/>
        <v>353.9</v>
      </c>
      <c r="C322" s="511">
        <f>Electric!J326</f>
        <v>-11714.04358839104</v>
      </c>
      <c r="D322" s="766">
        <f t="shared" si="25"/>
        <v>353.9</v>
      </c>
      <c r="H322" s="766"/>
    </row>
    <row r="323" spans="1:8" x14ac:dyDescent="0.25">
      <c r="A323" s="766"/>
      <c r="B323" s="851">
        <f t="shared" si="30"/>
        <v>353.9</v>
      </c>
      <c r="C323" s="511">
        <f>Electric!J327</f>
        <v>-3059.767174654582</v>
      </c>
      <c r="D323" s="766">
        <f t="shared" si="25"/>
        <v>353.9</v>
      </c>
      <c r="H323" s="766"/>
    </row>
    <row r="324" spans="1:8" x14ac:dyDescent="0.25">
      <c r="A324" s="766"/>
      <c r="B324" s="851">
        <f t="shared" si="30"/>
        <v>353.9</v>
      </c>
      <c r="C324" s="511">
        <f>Electric!J328</f>
        <v>-3943.4980201735598</v>
      </c>
      <c r="D324" s="766">
        <f t="shared" si="25"/>
        <v>353.9</v>
      </c>
      <c r="H324" s="766"/>
    </row>
    <row r="325" spans="1:8" x14ac:dyDescent="0.25">
      <c r="A325" s="766"/>
      <c r="B325" s="851">
        <f t="shared" si="30"/>
        <v>353.9</v>
      </c>
      <c r="C325" s="511">
        <f>Electric!J329</f>
        <v>-12794.552909290571</v>
      </c>
      <c r="D325" s="766">
        <f t="shared" ref="D325:D388" si="31">VLOOKUP(B325,$A$456:$A$537,1,FALSE)</f>
        <v>353.9</v>
      </c>
      <c r="H325" s="766"/>
    </row>
    <row r="326" spans="1:8" x14ac:dyDescent="0.25">
      <c r="A326" s="766"/>
      <c r="B326" s="851">
        <f t="shared" si="30"/>
        <v>353.9</v>
      </c>
      <c r="C326" s="511">
        <f>Electric!J330</f>
        <v>-97369.566688846942</v>
      </c>
      <c r="D326" s="766">
        <f t="shared" si="31"/>
        <v>353.9</v>
      </c>
      <c r="H326" s="766"/>
    </row>
    <row r="327" spans="1:8" x14ac:dyDescent="0.25">
      <c r="A327" s="766"/>
      <c r="B327" s="851">
        <f t="shared" si="30"/>
        <v>353.9</v>
      </c>
      <c r="C327" s="511">
        <f>Electric!J331</f>
        <v>-516852.26591709617</v>
      </c>
      <c r="D327" s="766">
        <f t="shared" si="31"/>
        <v>353.9</v>
      </c>
      <c r="H327" s="766"/>
    </row>
    <row r="328" spans="1:8" x14ac:dyDescent="0.25">
      <c r="A328" s="766"/>
      <c r="B328" s="851">
        <f>Electric!A332</f>
        <v>354</v>
      </c>
      <c r="C328" s="511">
        <f>Electric!J332</f>
        <v>-376228.67133202893</v>
      </c>
      <c r="D328" s="766">
        <f t="shared" si="31"/>
        <v>354</v>
      </c>
      <c r="H328" s="766"/>
    </row>
    <row r="329" spans="1:8" x14ac:dyDescent="0.25">
      <c r="A329" s="766"/>
      <c r="B329" s="851">
        <f>Electric!A333</f>
        <v>354.7</v>
      </c>
      <c r="C329" s="511">
        <f>Electric!J333</f>
        <v>-29930.507984673619</v>
      </c>
      <c r="D329" s="766">
        <f t="shared" si="31"/>
        <v>354.7</v>
      </c>
      <c r="H329" s="766"/>
    </row>
    <row r="330" spans="1:8" x14ac:dyDescent="0.25">
      <c r="A330" s="766"/>
      <c r="B330" s="851">
        <f>Electric!A334</f>
        <v>354.9</v>
      </c>
      <c r="C330" s="511">
        <f>Electric!J334</f>
        <v>-466.30846410565334</v>
      </c>
      <c r="D330" s="766">
        <f t="shared" si="31"/>
        <v>354.9</v>
      </c>
      <c r="H330" s="766"/>
    </row>
    <row r="331" spans="1:8" x14ac:dyDescent="0.25">
      <c r="A331" s="766"/>
      <c r="B331" s="851">
        <f>B330</f>
        <v>354.9</v>
      </c>
      <c r="C331" s="511">
        <f>Electric!J335</f>
        <v>-1078.0896828151911</v>
      </c>
      <c r="D331" s="766">
        <f t="shared" si="31"/>
        <v>354.9</v>
      </c>
      <c r="H331" s="766"/>
    </row>
    <row r="332" spans="1:8" x14ac:dyDescent="0.25">
      <c r="A332" s="766"/>
      <c r="B332" s="851">
        <f>Electric!A336</f>
        <v>355</v>
      </c>
      <c r="C332" s="663">
        <f>Electric!J336</f>
        <v>14599.951564100571</v>
      </c>
      <c r="D332" s="766">
        <f t="shared" si="31"/>
        <v>355</v>
      </c>
      <c r="H332" s="766"/>
    </row>
    <row r="333" spans="1:8" x14ac:dyDescent="0.25">
      <c r="A333" s="766"/>
      <c r="B333" s="851">
        <f>Electric!A337</f>
        <v>355.6</v>
      </c>
      <c r="C333" s="663">
        <f>Electric!J337</f>
        <v>97322.770639168099</v>
      </c>
      <c r="D333" s="766">
        <f t="shared" si="31"/>
        <v>355.6</v>
      </c>
      <c r="H333" s="766"/>
    </row>
    <row r="334" spans="1:8" x14ac:dyDescent="0.25">
      <c r="A334" s="766"/>
      <c r="B334" s="851">
        <f>Electric!A338</f>
        <v>355.7</v>
      </c>
      <c r="C334" s="663">
        <f>Electric!J338</f>
        <v>500966.98203808069</v>
      </c>
      <c r="D334" s="766">
        <f t="shared" si="31"/>
        <v>355.7</v>
      </c>
      <c r="H334" s="766"/>
    </row>
    <row r="335" spans="1:8" x14ac:dyDescent="0.25">
      <c r="A335" s="766"/>
      <c r="B335" s="851">
        <f>Electric!A339</f>
        <v>355.9</v>
      </c>
      <c r="C335" s="511">
        <f>Electric!J339</f>
        <v>1631.7124182415864</v>
      </c>
      <c r="D335" s="766">
        <f t="shared" si="31"/>
        <v>355.9</v>
      </c>
      <c r="H335" s="766"/>
    </row>
    <row r="336" spans="1:8" x14ac:dyDescent="0.25">
      <c r="A336" s="766"/>
      <c r="B336" s="851">
        <f>B335</f>
        <v>355.9</v>
      </c>
      <c r="C336" s="511">
        <f>Electric!J340</f>
        <v>-342.78640158774942</v>
      </c>
      <c r="D336" s="766">
        <f t="shared" si="31"/>
        <v>355.9</v>
      </c>
      <c r="H336" s="766"/>
    </row>
    <row r="337" spans="1:8" x14ac:dyDescent="0.25">
      <c r="A337" s="766"/>
      <c r="B337" s="851">
        <f>B336</f>
        <v>355.9</v>
      </c>
      <c r="C337" s="511">
        <f>Electric!J341</f>
        <v>-48965.699509770988</v>
      </c>
      <c r="D337" s="766">
        <f t="shared" si="31"/>
        <v>355.9</v>
      </c>
      <c r="H337" s="766"/>
    </row>
    <row r="338" spans="1:8" x14ac:dyDescent="0.25">
      <c r="A338" s="766"/>
      <c r="B338" s="851">
        <f>Electric!A342</f>
        <v>356</v>
      </c>
      <c r="C338" s="663">
        <f>Electric!J342</f>
        <v>-1047114.7890041033</v>
      </c>
      <c r="D338" s="766">
        <f t="shared" si="31"/>
        <v>356</v>
      </c>
      <c r="H338" s="766"/>
    </row>
    <row r="339" spans="1:8" x14ac:dyDescent="0.25">
      <c r="A339" s="766"/>
      <c r="B339" s="851">
        <f>Electric!A343</f>
        <v>356.6</v>
      </c>
      <c r="C339" s="663">
        <f>Electric!J343</f>
        <v>-193857.22014118067</v>
      </c>
      <c r="D339" s="766">
        <f t="shared" si="31"/>
        <v>356.6</v>
      </c>
      <c r="H339" s="766"/>
    </row>
    <row r="340" spans="1:8" x14ac:dyDescent="0.25">
      <c r="A340" s="766"/>
      <c r="B340" s="851">
        <f>Electric!A344</f>
        <v>356.7</v>
      </c>
      <c r="C340" s="663">
        <f>Electric!J344</f>
        <v>-2012761.421869518</v>
      </c>
      <c r="D340" s="766">
        <f t="shared" si="31"/>
        <v>356.7</v>
      </c>
      <c r="H340" s="766"/>
    </row>
    <row r="341" spans="1:8" x14ac:dyDescent="0.25">
      <c r="A341" s="766"/>
      <c r="B341" s="851">
        <f>Electric!A345</f>
        <v>356.9</v>
      </c>
      <c r="C341" s="511">
        <f>Electric!J345</f>
        <v>-87.321419574797346</v>
      </c>
      <c r="D341" s="766">
        <f t="shared" si="31"/>
        <v>356.9</v>
      </c>
      <c r="H341" s="766"/>
    </row>
    <row r="342" spans="1:8" x14ac:dyDescent="0.25">
      <c r="A342" s="766"/>
      <c r="B342" s="851">
        <f>B341</f>
        <v>356.9</v>
      </c>
      <c r="C342" s="511">
        <f>Electric!J346</f>
        <v>-5873.0081201288704</v>
      </c>
      <c r="D342" s="766">
        <f t="shared" si="31"/>
        <v>356.9</v>
      </c>
      <c r="H342" s="766"/>
    </row>
    <row r="343" spans="1:8" x14ac:dyDescent="0.25">
      <c r="A343" s="766"/>
      <c r="B343" s="851">
        <f>B342</f>
        <v>356.9</v>
      </c>
      <c r="C343" s="511">
        <f>Electric!J347</f>
        <v>-24703.01461394634</v>
      </c>
      <c r="D343" s="766">
        <f t="shared" si="31"/>
        <v>356.9</v>
      </c>
      <c r="H343" s="766"/>
    </row>
    <row r="344" spans="1:8" x14ac:dyDescent="0.25">
      <c r="A344" s="766"/>
      <c r="B344" s="851">
        <f>B343</f>
        <v>356.9</v>
      </c>
      <c r="C344" s="511">
        <f>Electric!J348</f>
        <v>-75140.330602172209</v>
      </c>
      <c r="D344" s="766">
        <f t="shared" si="31"/>
        <v>356.9</v>
      </c>
      <c r="H344" s="766"/>
    </row>
    <row r="345" spans="1:8" x14ac:dyDescent="0.25">
      <c r="A345" s="766"/>
      <c r="B345" s="851">
        <f>Electric!A349</f>
        <v>357.7</v>
      </c>
      <c r="C345" s="511">
        <f>Electric!J349</f>
        <v>2001.0145056348956</v>
      </c>
      <c r="D345" s="766">
        <f t="shared" si="31"/>
        <v>357.7</v>
      </c>
      <c r="H345" s="766"/>
    </row>
    <row r="346" spans="1:8" x14ac:dyDescent="0.25">
      <c r="A346" s="766"/>
      <c r="B346" s="851">
        <f>Electric!A350</f>
        <v>357.9</v>
      </c>
      <c r="C346" s="511">
        <f>Electric!J350</f>
        <v>-448.90653264440448</v>
      </c>
      <c r="D346" s="766">
        <f t="shared" si="31"/>
        <v>357.9</v>
      </c>
      <c r="H346" s="766"/>
    </row>
    <row r="347" spans="1:8" x14ac:dyDescent="0.25">
      <c r="A347" s="766"/>
      <c r="B347" s="851">
        <f>Electric!A351</f>
        <v>358.7</v>
      </c>
      <c r="C347" s="511">
        <f>Electric!J351</f>
        <v>-81857.467899134033</v>
      </c>
      <c r="D347" s="766">
        <f t="shared" si="31"/>
        <v>358.7</v>
      </c>
      <c r="H347" s="766"/>
    </row>
    <row r="348" spans="1:8" x14ac:dyDescent="0.25">
      <c r="A348" s="766"/>
      <c r="B348" s="851">
        <f>Electric!A352</f>
        <v>358.9</v>
      </c>
      <c r="C348" s="511">
        <f>Electric!J352</f>
        <v>-12880.93034659484</v>
      </c>
      <c r="D348" s="766">
        <f t="shared" si="31"/>
        <v>358.9</v>
      </c>
      <c r="H348" s="766"/>
    </row>
    <row r="349" spans="1:8" x14ac:dyDescent="0.25">
      <c r="A349" s="766"/>
      <c r="B349" s="851">
        <f>B348</f>
        <v>358.9</v>
      </c>
      <c r="C349" s="511">
        <f>Electric!J353</f>
        <v>-26418.854025267781</v>
      </c>
      <c r="D349" s="766">
        <f t="shared" si="31"/>
        <v>358.9</v>
      </c>
      <c r="H349" s="766"/>
    </row>
    <row r="350" spans="1:8" x14ac:dyDescent="0.25">
      <c r="A350" s="766"/>
      <c r="B350" s="851">
        <f>B349</f>
        <v>358.9</v>
      </c>
      <c r="C350" s="511">
        <f>Electric!J354</f>
        <v>-101104.94611411738</v>
      </c>
      <c r="D350" s="766">
        <f t="shared" si="31"/>
        <v>358.9</v>
      </c>
      <c r="H350" s="766"/>
    </row>
    <row r="351" spans="1:8" x14ac:dyDescent="0.25">
      <c r="A351" s="766"/>
      <c r="B351" s="851">
        <f>Electric!A355</f>
        <v>359</v>
      </c>
      <c r="C351" s="511">
        <f>Electric!J355</f>
        <v>-418.67325494084434</v>
      </c>
      <c r="D351" s="766">
        <f t="shared" si="31"/>
        <v>359</v>
      </c>
      <c r="H351" s="766"/>
    </row>
    <row r="352" spans="1:8" x14ac:dyDescent="0.25">
      <c r="A352" s="766"/>
      <c r="B352" s="851">
        <f>Electric!A356</f>
        <v>359.7</v>
      </c>
      <c r="C352" s="511">
        <f>Electric!J356</f>
        <v>-8135.5821247418207</v>
      </c>
      <c r="D352" s="766">
        <f t="shared" si="31"/>
        <v>359.7</v>
      </c>
      <c r="H352" s="766"/>
    </row>
    <row r="353" spans="1:8" x14ac:dyDescent="0.25">
      <c r="A353" s="766"/>
      <c r="B353" s="851">
        <f>Electric!A357</f>
        <v>359.99</v>
      </c>
      <c r="C353" s="511">
        <f>Electric!J357</f>
        <v>-132.40249981154588</v>
      </c>
      <c r="D353" s="766">
        <f t="shared" si="31"/>
        <v>359.99</v>
      </c>
      <c r="H353" s="766"/>
    </row>
    <row r="354" spans="1:8" x14ac:dyDescent="0.25">
      <c r="A354" s="766"/>
      <c r="B354" s="851">
        <f t="shared" ref="B354:B359" si="32">B353</f>
        <v>359.99</v>
      </c>
      <c r="C354" s="770"/>
      <c r="D354" s="766">
        <f t="shared" si="31"/>
        <v>359.99</v>
      </c>
      <c r="H354" s="766"/>
    </row>
    <row r="355" spans="1:8" x14ac:dyDescent="0.25">
      <c r="A355" s="766"/>
      <c r="B355" s="851">
        <f t="shared" si="32"/>
        <v>359.99</v>
      </c>
      <c r="C355" s="136"/>
      <c r="D355" s="766">
        <f t="shared" si="31"/>
        <v>359.99</v>
      </c>
      <c r="H355" s="766"/>
    </row>
    <row r="356" spans="1:8" x14ac:dyDescent="0.25">
      <c r="A356" s="766"/>
      <c r="B356" s="851">
        <f t="shared" si="32"/>
        <v>359.99</v>
      </c>
      <c r="C356" s="852"/>
      <c r="D356" s="766">
        <f t="shared" si="31"/>
        <v>359.99</v>
      </c>
      <c r="H356" s="766"/>
    </row>
    <row r="357" spans="1:8" x14ac:dyDescent="0.25">
      <c r="A357" s="766"/>
      <c r="B357" s="851">
        <f t="shared" si="32"/>
        <v>359.99</v>
      </c>
      <c r="C357" s="770"/>
      <c r="D357" s="766">
        <f t="shared" si="31"/>
        <v>359.99</v>
      </c>
      <c r="H357" s="766"/>
    </row>
    <row r="358" spans="1:8" x14ac:dyDescent="0.25">
      <c r="A358" s="766"/>
      <c r="B358" s="851">
        <f t="shared" si="32"/>
        <v>359.99</v>
      </c>
      <c r="C358" s="770"/>
      <c r="D358" s="766">
        <f t="shared" si="31"/>
        <v>359.99</v>
      </c>
      <c r="H358" s="766"/>
    </row>
    <row r="359" spans="1:8" x14ac:dyDescent="0.25">
      <c r="A359" s="766"/>
      <c r="B359" s="851">
        <f t="shared" si="32"/>
        <v>359.99</v>
      </c>
      <c r="C359" s="770"/>
      <c r="D359" s="766">
        <f t="shared" si="31"/>
        <v>359.99</v>
      </c>
      <c r="H359" s="766"/>
    </row>
    <row r="360" spans="1:8" x14ac:dyDescent="0.25">
      <c r="A360" s="766"/>
      <c r="B360" s="851">
        <f>Electric!A364</f>
        <v>360.1</v>
      </c>
      <c r="C360" s="663">
        <f>Electric!J364</f>
        <v>-68134.48222417623</v>
      </c>
      <c r="D360" s="766">
        <f t="shared" si="31"/>
        <v>360.1</v>
      </c>
      <c r="H360" s="766"/>
    </row>
    <row r="361" spans="1:8" x14ac:dyDescent="0.25">
      <c r="A361" s="766"/>
      <c r="B361" s="851">
        <f>Electric!A365</f>
        <v>361</v>
      </c>
      <c r="C361" s="663">
        <f>Electric!J365</f>
        <v>-3949.1560938487528</v>
      </c>
      <c r="D361" s="766">
        <f t="shared" si="31"/>
        <v>361</v>
      </c>
      <c r="H361" s="766"/>
    </row>
    <row r="362" spans="1:8" x14ac:dyDescent="0.25">
      <c r="A362" s="766"/>
      <c r="B362" s="851">
        <f>Electric!A366</f>
        <v>362</v>
      </c>
      <c r="C362" s="663">
        <f>Electric!J366</f>
        <v>291869.76550004072</v>
      </c>
      <c r="D362" s="766">
        <f t="shared" si="31"/>
        <v>362</v>
      </c>
      <c r="H362" s="766"/>
    </row>
    <row r="363" spans="1:8" x14ac:dyDescent="0.25">
      <c r="A363" s="766"/>
      <c r="B363" s="851">
        <f>Electric!A367</f>
        <v>363</v>
      </c>
      <c r="C363" s="663">
        <f>Electric!J367</f>
        <v>-36.896062033920316</v>
      </c>
      <c r="D363" s="766">
        <f t="shared" si="31"/>
        <v>363</v>
      </c>
      <c r="H363" s="766"/>
    </row>
    <row r="364" spans="1:8" x14ac:dyDescent="0.25">
      <c r="A364" s="766"/>
      <c r="B364" s="851">
        <f>Electric!A368</f>
        <v>364</v>
      </c>
      <c r="C364" s="511">
        <f>Electric!J368</f>
        <v>108179.55863010138</v>
      </c>
      <c r="D364" s="766">
        <f t="shared" si="31"/>
        <v>364</v>
      </c>
      <c r="H364" s="766"/>
    </row>
    <row r="365" spans="1:8" x14ac:dyDescent="0.25">
      <c r="A365" s="766"/>
      <c r="B365" s="851">
        <f>B364</f>
        <v>364</v>
      </c>
      <c r="C365" s="511">
        <f>Electric!J369</f>
        <v>-2902.1532080967499</v>
      </c>
      <c r="D365" s="766">
        <f t="shared" si="31"/>
        <v>364</v>
      </c>
      <c r="H365" s="766"/>
    </row>
    <row r="366" spans="1:8" x14ac:dyDescent="0.25">
      <c r="A366" s="766"/>
      <c r="B366" s="851">
        <f>Electric!A370</f>
        <v>365</v>
      </c>
      <c r="C366" s="511">
        <f>Electric!J370</f>
        <v>3568378.2864241432</v>
      </c>
      <c r="D366" s="766">
        <f t="shared" si="31"/>
        <v>365</v>
      </c>
      <c r="H366" s="766"/>
    </row>
    <row r="367" spans="1:8" x14ac:dyDescent="0.25">
      <c r="A367" s="766"/>
      <c r="B367" s="851">
        <f>B366</f>
        <v>365</v>
      </c>
      <c r="C367" s="511">
        <f>Electric!J371</f>
        <v>-880.86975223129684</v>
      </c>
      <c r="D367" s="766">
        <f t="shared" si="31"/>
        <v>365</v>
      </c>
      <c r="H367" s="766"/>
    </row>
    <row r="368" spans="1:8" x14ac:dyDescent="0.25">
      <c r="A368" s="766"/>
      <c r="B368" s="851">
        <f>Electric!A372</f>
        <v>366</v>
      </c>
      <c r="C368" s="511">
        <f>Electric!J372</f>
        <v>-3214903.3131331429</v>
      </c>
      <c r="D368" s="766">
        <f t="shared" si="31"/>
        <v>366</v>
      </c>
      <c r="H368" s="766"/>
    </row>
    <row r="369" spans="1:8" x14ac:dyDescent="0.25">
      <c r="A369" s="766"/>
      <c r="B369" s="851">
        <f>Electric!A373</f>
        <v>367</v>
      </c>
      <c r="C369" s="511">
        <f>Electric!J373</f>
        <v>3295365.3371191584</v>
      </c>
      <c r="D369" s="766">
        <f t="shared" si="31"/>
        <v>367</v>
      </c>
      <c r="H369" s="766"/>
    </row>
    <row r="370" spans="1:8" x14ac:dyDescent="0.25">
      <c r="A370" s="766"/>
      <c r="B370" s="851">
        <f>B369</f>
        <v>367</v>
      </c>
      <c r="C370" s="511">
        <f>Electric!J374</f>
        <v>-57840.11395521753</v>
      </c>
      <c r="D370" s="766">
        <f t="shared" si="31"/>
        <v>367</v>
      </c>
      <c r="H370" s="766"/>
    </row>
    <row r="371" spans="1:8" x14ac:dyDescent="0.25">
      <c r="A371" s="766"/>
      <c r="B371" s="851">
        <f>Electric!A375</f>
        <v>368</v>
      </c>
      <c r="C371" s="511">
        <f>Electric!J375</f>
        <v>3679609.4510006905</v>
      </c>
      <c r="D371" s="766">
        <f t="shared" si="31"/>
        <v>368</v>
      </c>
      <c r="H371" s="766"/>
    </row>
    <row r="372" spans="1:8" x14ac:dyDescent="0.25">
      <c r="A372" s="766"/>
      <c r="B372" s="851">
        <f>Electric!A376</f>
        <v>369</v>
      </c>
      <c r="C372" s="511">
        <f>Electric!J376</f>
        <v>1476059.6907607075</v>
      </c>
      <c r="D372" s="766">
        <f t="shared" si="31"/>
        <v>369</v>
      </c>
      <c r="H372" s="766"/>
    </row>
    <row r="373" spans="1:8" x14ac:dyDescent="0.25">
      <c r="A373" s="766"/>
      <c r="B373" s="851">
        <f>Electric!A377</f>
        <v>370</v>
      </c>
      <c r="C373" s="511">
        <f>Electric!J377</f>
        <v>8188796.7877595201</v>
      </c>
      <c r="D373" s="766">
        <f t="shared" si="31"/>
        <v>370</v>
      </c>
      <c r="H373" s="766"/>
    </row>
    <row r="374" spans="1:8" x14ac:dyDescent="0.25">
      <c r="A374" s="766"/>
      <c r="B374" s="851">
        <f>Electric!A378</f>
        <v>373</v>
      </c>
      <c r="C374" s="511">
        <f>Electric!J378</f>
        <v>737269.94454232114</v>
      </c>
      <c r="D374" s="766">
        <f t="shared" si="31"/>
        <v>373</v>
      </c>
      <c r="H374" s="766"/>
    </row>
    <row r="375" spans="1:8" x14ac:dyDescent="0.25">
      <c r="A375" s="766"/>
      <c r="B375" s="851">
        <f t="shared" ref="B375:B380" si="33">B374</f>
        <v>373</v>
      </c>
      <c r="C375" s="770"/>
      <c r="D375" s="766">
        <f t="shared" si="31"/>
        <v>373</v>
      </c>
      <c r="H375" s="766"/>
    </row>
    <row r="376" spans="1:8" x14ac:dyDescent="0.25">
      <c r="A376" s="766"/>
      <c r="B376" s="851">
        <f t="shared" si="33"/>
        <v>373</v>
      </c>
      <c r="C376" s="136"/>
      <c r="D376" s="766">
        <f t="shared" si="31"/>
        <v>373</v>
      </c>
      <c r="H376" s="766"/>
    </row>
    <row r="377" spans="1:8" x14ac:dyDescent="0.25">
      <c r="A377" s="766"/>
      <c r="B377" s="851">
        <f t="shared" si="33"/>
        <v>373</v>
      </c>
      <c r="C377" s="852"/>
      <c r="D377" s="766">
        <f t="shared" si="31"/>
        <v>373</v>
      </c>
      <c r="H377" s="766"/>
    </row>
    <row r="378" spans="1:8" x14ac:dyDescent="0.25">
      <c r="A378" s="766"/>
      <c r="B378" s="851">
        <f t="shared" si="33"/>
        <v>373</v>
      </c>
      <c r="C378" s="770"/>
      <c r="D378" s="766">
        <f t="shared" si="31"/>
        <v>373</v>
      </c>
      <c r="H378" s="766"/>
    </row>
    <row r="379" spans="1:8" x14ac:dyDescent="0.25">
      <c r="A379" s="766"/>
      <c r="B379" s="851">
        <f t="shared" si="33"/>
        <v>373</v>
      </c>
      <c r="C379" s="770"/>
      <c r="D379" s="766">
        <f t="shared" si="31"/>
        <v>373</v>
      </c>
      <c r="H379" s="766"/>
    </row>
    <row r="380" spans="1:8" x14ac:dyDescent="0.25">
      <c r="A380" s="766"/>
      <c r="B380" s="851">
        <f t="shared" si="33"/>
        <v>373</v>
      </c>
      <c r="C380" s="770"/>
      <c r="D380" s="766">
        <f t="shared" si="31"/>
        <v>373</v>
      </c>
      <c r="H380" s="766"/>
    </row>
    <row r="381" spans="1:8" x14ac:dyDescent="0.25">
      <c r="A381" s="766"/>
      <c r="B381" s="851">
        <f>Electric!A385</f>
        <v>390</v>
      </c>
      <c r="C381" s="770"/>
      <c r="D381" s="766">
        <f t="shared" si="31"/>
        <v>390</v>
      </c>
      <c r="H381" s="766"/>
    </row>
    <row r="382" spans="1:8" x14ac:dyDescent="0.25">
      <c r="A382" s="766"/>
      <c r="B382" s="851">
        <f>B381</f>
        <v>390</v>
      </c>
      <c r="C382" s="663"/>
      <c r="D382" s="766">
        <f t="shared" si="31"/>
        <v>390</v>
      </c>
      <c r="H382" s="766"/>
    </row>
    <row r="383" spans="1:8" x14ac:dyDescent="0.25">
      <c r="A383" s="766"/>
      <c r="B383" s="851">
        <f>B382</f>
        <v>390</v>
      </c>
      <c r="C383" s="663"/>
      <c r="D383" s="766">
        <f t="shared" si="31"/>
        <v>390</v>
      </c>
      <c r="H383" s="766"/>
    </row>
    <row r="384" spans="1:8" x14ac:dyDescent="0.25">
      <c r="A384" s="766"/>
      <c r="B384" s="851">
        <f>B383</f>
        <v>390</v>
      </c>
      <c r="C384" s="770"/>
      <c r="D384" s="766">
        <f t="shared" si="31"/>
        <v>390</v>
      </c>
      <c r="H384" s="766"/>
    </row>
    <row r="385" spans="1:8" x14ac:dyDescent="0.25">
      <c r="A385" s="766"/>
      <c r="B385" s="851">
        <f>B384</f>
        <v>390</v>
      </c>
      <c r="C385" s="512">
        <f>Electric!J389</f>
        <v>-2574557.4224999999</v>
      </c>
      <c r="D385" s="766">
        <f t="shared" si="31"/>
        <v>390</v>
      </c>
      <c r="H385" s="766"/>
    </row>
    <row r="386" spans="1:8" x14ac:dyDescent="0.25">
      <c r="A386" s="766"/>
      <c r="B386" s="851">
        <f>B385</f>
        <v>390</v>
      </c>
      <c r="C386" s="852"/>
      <c r="D386" s="766">
        <f t="shared" si="31"/>
        <v>390</v>
      </c>
      <c r="H386" s="766"/>
    </row>
    <row r="387" spans="1:8" x14ac:dyDescent="0.25">
      <c r="A387" s="766"/>
      <c r="B387" s="851">
        <f>Electric!A391</f>
        <v>391.1</v>
      </c>
      <c r="C387" s="393"/>
      <c r="D387" s="766">
        <f t="shared" si="31"/>
        <v>391.1</v>
      </c>
      <c r="H387" s="766"/>
    </row>
    <row r="388" spans="1:8" x14ac:dyDescent="0.25">
      <c r="A388" s="766"/>
      <c r="B388" s="851">
        <f>B387</f>
        <v>391.1</v>
      </c>
      <c r="C388" s="511">
        <f>Electric!J392</f>
        <v>-103.41553371516056</v>
      </c>
      <c r="D388" s="766">
        <f t="shared" si="31"/>
        <v>391.1</v>
      </c>
      <c r="H388" s="766"/>
    </row>
    <row r="389" spans="1:8" x14ac:dyDescent="0.25">
      <c r="A389" s="766"/>
      <c r="B389" s="851">
        <f>B388</f>
        <v>391.1</v>
      </c>
      <c r="C389" s="511">
        <f>Electric!J393</f>
        <v>-1815.4604518420701</v>
      </c>
      <c r="D389" s="766">
        <f t="shared" ref="D389:D450" si="34">VLOOKUP(B389,$A$456:$A$537,1,FALSE)</f>
        <v>391.1</v>
      </c>
      <c r="H389" s="766"/>
    </row>
    <row r="390" spans="1:8" x14ac:dyDescent="0.25">
      <c r="A390" s="766"/>
      <c r="B390" s="851">
        <f>B389</f>
        <v>391.1</v>
      </c>
      <c r="C390" s="853"/>
      <c r="D390" s="766">
        <f t="shared" si="34"/>
        <v>391.1</v>
      </c>
      <c r="H390" s="766"/>
    </row>
    <row r="391" spans="1:8" x14ac:dyDescent="0.25">
      <c r="A391" s="766"/>
      <c r="B391" s="851">
        <f>B390</f>
        <v>391.1</v>
      </c>
      <c r="C391" s="512"/>
      <c r="D391" s="766">
        <f t="shared" si="34"/>
        <v>391.1</v>
      </c>
      <c r="H391" s="766"/>
    </row>
    <row r="392" spans="1:8" x14ac:dyDescent="0.25">
      <c r="A392" s="766"/>
      <c r="B392" s="851">
        <f>B391</f>
        <v>391.1</v>
      </c>
      <c r="C392" s="852"/>
      <c r="D392" s="766">
        <f t="shared" si="34"/>
        <v>391.1</v>
      </c>
      <c r="H392" s="766"/>
    </row>
    <row r="393" spans="1:8" x14ac:dyDescent="0.25">
      <c r="A393" s="766"/>
      <c r="B393" s="851">
        <f>Electric!A397</f>
        <v>391.2</v>
      </c>
      <c r="C393" s="663">
        <f>Electric!J397</f>
        <v>23.685212330892682</v>
      </c>
      <c r="D393" s="766">
        <f t="shared" si="34"/>
        <v>391.2</v>
      </c>
      <c r="H393" s="766"/>
    </row>
    <row r="394" spans="1:8" x14ac:dyDescent="0.25">
      <c r="A394" s="766"/>
      <c r="B394" s="851">
        <f>B393</f>
        <v>391.2</v>
      </c>
      <c r="C394" s="663">
        <f>Electric!J398</f>
        <v>4888.2655417402166</v>
      </c>
      <c r="D394" s="766">
        <f t="shared" si="34"/>
        <v>391.2</v>
      </c>
      <c r="H394" s="766"/>
    </row>
    <row r="395" spans="1:8" x14ac:dyDescent="0.25">
      <c r="A395" s="766"/>
      <c r="B395" s="851">
        <f>B394</f>
        <v>391.2</v>
      </c>
      <c r="C395" s="663">
        <f>Electric!J399</f>
        <v>0</v>
      </c>
      <c r="D395" s="766">
        <f t="shared" si="34"/>
        <v>391.2</v>
      </c>
      <c r="H395" s="766"/>
    </row>
    <row r="396" spans="1:8" x14ac:dyDescent="0.25">
      <c r="A396" s="766"/>
      <c r="B396" s="851">
        <f>B395</f>
        <v>391.2</v>
      </c>
      <c r="C396" s="512"/>
      <c r="D396" s="766">
        <f t="shared" si="34"/>
        <v>391.2</v>
      </c>
      <c r="H396" s="766"/>
    </row>
    <row r="397" spans="1:8" x14ac:dyDescent="0.25">
      <c r="A397" s="766"/>
      <c r="B397" s="851">
        <f>B396</f>
        <v>391.2</v>
      </c>
      <c r="C397" s="852"/>
      <c r="D397" s="766">
        <f t="shared" si="34"/>
        <v>391.2</v>
      </c>
      <c r="H397" s="766"/>
    </row>
    <row r="398" spans="1:8" x14ac:dyDescent="0.25">
      <c r="A398" s="766"/>
      <c r="B398" s="851">
        <f>Electric!A402</f>
        <v>392</v>
      </c>
      <c r="C398" s="511">
        <f>Electric!J405+Electric!J443+Electric!L497</f>
        <v>-199310.66132790654</v>
      </c>
      <c r="D398" s="766">
        <f t="shared" si="34"/>
        <v>392</v>
      </c>
      <c r="F398" s="848"/>
      <c r="H398" s="766"/>
    </row>
    <row r="399" spans="1:8" x14ac:dyDescent="0.25">
      <c r="A399" s="766"/>
      <c r="B399" s="851">
        <f>B398</f>
        <v>392</v>
      </c>
      <c r="C399" s="511"/>
      <c r="D399" s="766">
        <f t="shared" si="34"/>
        <v>392</v>
      </c>
      <c r="F399" s="43"/>
      <c r="H399" s="766"/>
    </row>
    <row r="400" spans="1:8" x14ac:dyDescent="0.25">
      <c r="A400" s="766"/>
      <c r="B400" s="851">
        <f>B399</f>
        <v>392</v>
      </c>
      <c r="C400" s="511"/>
      <c r="D400" s="766">
        <f t="shared" si="34"/>
        <v>392</v>
      </c>
      <c r="F400" s="43"/>
      <c r="H400" s="766"/>
    </row>
    <row r="401" spans="1:8" x14ac:dyDescent="0.25">
      <c r="A401" s="766"/>
      <c r="B401" s="851">
        <f>B400</f>
        <v>392</v>
      </c>
      <c r="C401" s="512"/>
      <c r="D401" s="766">
        <f t="shared" si="34"/>
        <v>392</v>
      </c>
      <c r="H401" s="766"/>
    </row>
    <row r="402" spans="1:8" x14ac:dyDescent="0.25">
      <c r="A402" s="766"/>
      <c r="B402" s="851">
        <f>B401</f>
        <v>392</v>
      </c>
      <c r="C402" s="852"/>
      <c r="D402" s="766">
        <f t="shared" si="34"/>
        <v>392</v>
      </c>
      <c r="H402" s="766"/>
    </row>
    <row r="403" spans="1:8" x14ac:dyDescent="0.25">
      <c r="A403" s="766"/>
      <c r="B403" s="851">
        <f>Electric!A407</f>
        <v>393</v>
      </c>
      <c r="C403" s="770"/>
      <c r="D403" s="766">
        <f t="shared" si="34"/>
        <v>393</v>
      </c>
      <c r="H403" s="766"/>
    </row>
    <row r="404" spans="1:8" x14ac:dyDescent="0.25">
      <c r="A404" s="766"/>
      <c r="B404" s="851">
        <f>B403</f>
        <v>393</v>
      </c>
      <c r="C404" s="511">
        <f>Electric!J408</f>
        <v>-21930.945181112009</v>
      </c>
      <c r="D404" s="766">
        <f t="shared" si="34"/>
        <v>393</v>
      </c>
      <c r="H404" s="766"/>
    </row>
    <row r="405" spans="1:8" x14ac:dyDescent="0.25">
      <c r="A405" s="766"/>
      <c r="B405" s="851">
        <f>B404</f>
        <v>393</v>
      </c>
      <c r="C405" s="511">
        <f>Electric!J409</f>
        <v>3.0526707387989518</v>
      </c>
      <c r="D405" s="766">
        <f t="shared" si="34"/>
        <v>393</v>
      </c>
      <c r="H405" s="766"/>
    </row>
    <row r="406" spans="1:8" x14ac:dyDescent="0.25">
      <c r="A406" s="766"/>
      <c r="B406" s="851">
        <f>B405</f>
        <v>393</v>
      </c>
      <c r="C406" s="770"/>
      <c r="D406" s="766">
        <f t="shared" si="34"/>
        <v>393</v>
      </c>
      <c r="H406" s="766"/>
    </row>
    <row r="407" spans="1:8" x14ac:dyDescent="0.25">
      <c r="A407" s="766"/>
      <c r="B407" s="851">
        <f>B406</f>
        <v>393</v>
      </c>
      <c r="C407" s="512"/>
      <c r="D407" s="766">
        <f t="shared" si="34"/>
        <v>393</v>
      </c>
      <c r="H407" s="766"/>
    </row>
    <row r="408" spans="1:8" x14ac:dyDescent="0.25">
      <c r="A408" s="766"/>
      <c r="B408" s="851">
        <f>B407</f>
        <v>393</v>
      </c>
      <c r="C408" s="852"/>
      <c r="D408" s="766">
        <f t="shared" si="34"/>
        <v>393</v>
      </c>
      <c r="H408" s="766"/>
    </row>
    <row r="409" spans="1:8" x14ac:dyDescent="0.25">
      <c r="A409" s="766"/>
      <c r="B409" s="851">
        <f>Electric!A413</f>
        <v>394</v>
      </c>
      <c r="C409" s="770"/>
      <c r="D409" s="766">
        <f t="shared" si="34"/>
        <v>394</v>
      </c>
      <c r="H409" s="766"/>
    </row>
    <row r="410" spans="1:8" x14ac:dyDescent="0.25">
      <c r="A410" s="766"/>
      <c r="B410" s="851">
        <f>B409</f>
        <v>394</v>
      </c>
      <c r="C410" s="511">
        <f>Electric!J414</f>
        <v>-58009.691825854963</v>
      </c>
      <c r="D410" s="766">
        <f t="shared" si="34"/>
        <v>394</v>
      </c>
      <c r="H410" s="766"/>
    </row>
    <row r="411" spans="1:8" x14ac:dyDescent="0.25">
      <c r="A411" s="766"/>
      <c r="B411" s="851">
        <f>B410</f>
        <v>394</v>
      </c>
      <c r="C411" s="511">
        <f>Electric!J415</f>
        <v>-318.30919541214826</v>
      </c>
      <c r="D411" s="766">
        <f t="shared" si="34"/>
        <v>394</v>
      </c>
      <c r="H411" s="766"/>
    </row>
    <row r="412" spans="1:8" x14ac:dyDescent="0.25">
      <c r="A412" s="766"/>
      <c r="B412" s="851">
        <f>B411</f>
        <v>394</v>
      </c>
      <c r="C412" s="770"/>
      <c r="D412" s="766">
        <f t="shared" si="34"/>
        <v>394</v>
      </c>
      <c r="H412" s="766"/>
    </row>
    <row r="413" spans="1:8" x14ac:dyDescent="0.25">
      <c r="A413" s="766"/>
      <c r="B413" s="851">
        <f>B412</f>
        <v>394</v>
      </c>
      <c r="C413" s="512"/>
      <c r="D413" s="766">
        <f t="shared" si="34"/>
        <v>394</v>
      </c>
      <c r="H413" s="766"/>
    </row>
    <row r="414" spans="1:8" x14ac:dyDescent="0.25">
      <c r="A414" s="766"/>
      <c r="B414" s="851">
        <f>B413</f>
        <v>394</v>
      </c>
      <c r="C414" s="852"/>
      <c r="D414" s="766">
        <f t="shared" si="34"/>
        <v>394</v>
      </c>
      <c r="H414" s="766"/>
    </row>
    <row r="415" spans="1:8" x14ac:dyDescent="0.25">
      <c r="A415" s="766"/>
      <c r="B415" s="851">
        <f>Electric!A419</f>
        <v>395</v>
      </c>
      <c r="C415" s="770"/>
      <c r="D415" s="766">
        <f t="shared" si="34"/>
        <v>395</v>
      </c>
      <c r="H415" s="766"/>
    </row>
    <row r="416" spans="1:8" x14ac:dyDescent="0.25">
      <c r="A416" s="766"/>
      <c r="B416" s="851">
        <f>B415</f>
        <v>395</v>
      </c>
      <c r="C416" s="511">
        <f>Electric!J420</f>
        <v>-59.448370015757973</v>
      </c>
      <c r="D416" s="766">
        <f t="shared" si="34"/>
        <v>395</v>
      </c>
      <c r="H416" s="766"/>
    </row>
    <row r="417" spans="1:8" x14ac:dyDescent="0.25">
      <c r="A417" s="766"/>
      <c r="B417" s="851">
        <f>B416</f>
        <v>395</v>
      </c>
      <c r="C417" s="511">
        <f>Electric!J421</f>
        <v>-290813.28295183647</v>
      </c>
      <c r="D417" s="766">
        <f t="shared" si="34"/>
        <v>395</v>
      </c>
      <c r="H417" s="766"/>
    </row>
    <row r="418" spans="1:8" x14ac:dyDescent="0.25">
      <c r="A418" s="766"/>
      <c r="B418" s="851">
        <f>B417</f>
        <v>395</v>
      </c>
      <c r="C418" s="770"/>
      <c r="D418" s="766">
        <f t="shared" si="34"/>
        <v>395</v>
      </c>
      <c r="H418" s="766"/>
    </row>
    <row r="419" spans="1:8" x14ac:dyDescent="0.25">
      <c r="A419" s="766"/>
      <c r="B419" s="851">
        <f>B418</f>
        <v>395</v>
      </c>
      <c r="C419" s="512"/>
      <c r="D419" s="766">
        <f t="shared" si="34"/>
        <v>395</v>
      </c>
      <c r="H419" s="766"/>
    </row>
    <row r="420" spans="1:8" x14ac:dyDescent="0.25">
      <c r="A420" s="766"/>
      <c r="B420" s="851">
        <f>B419</f>
        <v>395</v>
      </c>
      <c r="C420" s="852"/>
      <c r="D420" s="766">
        <f t="shared" si="34"/>
        <v>395</v>
      </c>
      <c r="H420" s="766"/>
    </row>
    <row r="421" spans="1:8" x14ac:dyDescent="0.25">
      <c r="A421" s="766"/>
      <c r="B421" s="851">
        <f>Electric!A425</f>
        <v>396</v>
      </c>
      <c r="C421" s="663">
        <f>Electric!J425+Electric!J444+Electric!L499</f>
        <v>20775.585522173205</v>
      </c>
      <c r="D421" s="766">
        <f t="shared" si="34"/>
        <v>396</v>
      </c>
      <c r="H421" s="766"/>
    </row>
    <row r="422" spans="1:8" x14ac:dyDescent="0.25">
      <c r="A422" s="766"/>
      <c r="B422" s="851">
        <f>B421</f>
        <v>396</v>
      </c>
      <c r="C422" s="852"/>
      <c r="D422" s="766">
        <f t="shared" si="34"/>
        <v>396</v>
      </c>
      <c r="H422" s="766"/>
    </row>
    <row r="423" spans="1:8" x14ac:dyDescent="0.25">
      <c r="A423" s="766"/>
      <c r="B423" s="851">
        <f>Electric!A427</f>
        <v>397</v>
      </c>
      <c r="C423" s="770"/>
      <c r="D423" s="766">
        <f t="shared" si="34"/>
        <v>397</v>
      </c>
      <c r="H423" s="766"/>
    </row>
    <row r="424" spans="1:8" x14ac:dyDescent="0.25">
      <c r="A424" s="766"/>
      <c r="B424" s="851">
        <f>B423</f>
        <v>397</v>
      </c>
      <c r="C424" s="511">
        <f>Electric!J428</f>
        <v>-1202251.6120167116</v>
      </c>
      <c r="D424" s="766">
        <f t="shared" si="34"/>
        <v>397</v>
      </c>
      <c r="H424" s="766"/>
    </row>
    <row r="425" spans="1:8" x14ac:dyDescent="0.25">
      <c r="A425" s="766"/>
      <c r="B425" s="851">
        <f>B424</f>
        <v>397</v>
      </c>
      <c r="C425" s="511">
        <f>Electric!J429</f>
        <v>1491.6462453138083</v>
      </c>
      <c r="D425" s="766">
        <f t="shared" si="34"/>
        <v>397</v>
      </c>
      <c r="H425" s="766"/>
    </row>
    <row r="426" spans="1:8" x14ac:dyDescent="0.25">
      <c r="A426" s="766"/>
      <c r="B426" s="851">
        <f>B425</f>
        <v>397</v>
      </c>
      <c r="C426" s="770"/>
      <c r="D426" s="766">
        <f t="shared" si="34"/>
        <v>397</v>
      </c>
      <c r="H426" s="766"/>
    </row>
    <row r="427" spans="1:8" x14ac:dyDescent="0.25">
      <c r="A427" s="766"/>
      <c r="B427" s="851">
        <f>B426</f>
        <v>397</v>
      </c>
      <c r="C427" s="512"/>
      <c r="D427" s="766">
        <f t="shared" si="34"/>
        <v>397</v>
      </c>
      <c r="H427" s="766"/>
    </row>
    <row r="428" spans="1:8" x14ac:dyDescent="0.25">
      <c r="A428" s="766"/>
      <c r="B428" s="851">
        <f>B427</f>
        <v>397</v>
      </c>
      <c r="C428" s="852"/>
      <c r="D428" s="766">
        <f t="shared" si="34"/>
        <v>397</v>
      </c>
      <c r="H428" s="766"/>
    </row>
    <row r="429" spans="1:8" x14ac:dyDescent="0.25">
      <c r="A429" s="766"/>
      <c r="B429" s="851">
        <f>Electric!A433</f>
        <v>398</v>
      </c>
      <c r="C429" s="770"/>
      <c r="D429" s="766">
        <f t="shared" si="34"/>
        <v>398</v>
      </c>
      <c r="H429" s="766"/>
    </row>
    <row r="430" spans="1:8" x14ac:dyDescent="0.25">
      <c r="A430" s="766"/>
      <c r="B430" s="851">
        <f t="shared" ref="B430:B440" si="35">B429</f>
        <v>398</v>
      </c>
      <c r="C430" s="511">
        <f>Electric!J434</f>
        <v>-5.3167726986612251</v>
      </c>
      <c r="D430" s="766">
        <f t="shared" si="34"/>
        <v>398</v>
      </c>
      <c r="H430" s="766"/>
    </row>
    <row r="431" spans="1:8" x14ac:dyDescent="0.25">
      <c r="A431" s="766"/>
      <c r="B431" s="851">
        <f t="shared" si="35"/>
        <v>398</v>
      </c>
      <c r="C431" s="511">
        <f>Electric!J435</f>
        <v>-7215.0622447051919</v>
      </c>
      <c r="D431" s="766">
        <f t="shared" si="34"/>
        <v>398</v>
      </c>
      <c r="H431" s="766"/>
    </row>
    <row r="432" spans="1:8" x14ac:dyDescent="0.25">
      <c r="A432" s="766"/>
      <c r="B432" s="851">
        <f t="shared" si="35"/>
        <v>398</v>
      </c>
      <c r="C432" s="770"/>
      <c r="D432" s="766">
        <f t="shared" si="34"/>
        <v>398</v>
      </c>
      <c r="H432" s="766"/>
    </row>
    <row r="433" spans="1:8" x14ac:dyDescent="0.25">
      <c r="A433" s="766"/>
      <c r="B433" s="851">
        <f t="shared" si="35"/>
        <v>398</v>
      </c>
      <c r="C433" s="512"/>
      <c r="D433" s="766">
        <f t="shared" si="34"/>
        <v>398</v>
      </c>
      <c r="H433" s="766"/>
    </row>
    <row r="434" spans="1:8" x14ac:dyDescent="0.25">
      <c r="A434" s="766"/>
      <c r="B434" s="851">
        <f t="shared" si="35"/>
        <v>398</v>
      </c>
      <c r="C434" s="512"/>
      <c r="D434" s="766">
        <f t="shared" si="34"/>
        <v>398</v>
      </c>
      <c r="H434" s="766"/>
    </row>
    <row r="435" spans="1:8" x14ac:dyDescent="0.25">
      <c r="A435" s="766"/>
      <c r="B435" s="851">
        <f t="shared" si="35"/>
        <v>398</v>
      </c>
      <c r="C435" s="136"/>
      <c r="D435" s="766">
        <f t="shared" si="34"/>
        <v>398</v>
      </c>
      <c r="H435" s="766"/>
    </row>
    <row r="436" spans="1:8" x14ac:dyDescent="0.25">
      <c r="A436" s="766"/>
      <c r="B436" s="851">
        <f t="shared" si="35"/>
        <v>398</v>
      </c>
      <c r="C436" s="136"/>
      <c r="D436" s="766">
        <f t="shared" si="34"/>
        <v>398</v>
      </c>
      <c r="H436" s="766"/>
    </row>
    <row r="437" spans="1:8" x14ac:dyDescent="0.25">
      <c r="A437" s="766"/>
      <c r="B437" s="851">
        <f t="shared" si="35"/>
        <v>398</v>
      </c>
      <c r="C437" s="136"/>
      <c r="D437" s="766">
        <f t="shared" si="34"/>
        <v>398</v>
      </c>
      <c r="H437" s="766"/>
    </row>
    <row r="438" spans="1:8" x14ac:dyDescent="0.25">
      <c r="A438" s="766"/>
      <c r="B438" s="851">
        <f t="shared" si="35"/>
        <v>398</v>
      </c>
      <c r="C438" s="663"/>
      <c r="D438" s="766">
        <f t="shared" si="34"/>
        <v>398</v>
      </c>
      <c r="H438" s="766"/>
    </row>
    <row r="439" spans="1:8" x14ac:dyDescent="0.25">
      <c r="A439" s="766"/>
      <c r="B439" s="851">
        <f t="shared" si="35"/>
        <v>398</v>
      </c>
      <c r="C439" s="770"/>
      <c r="D439" s="766">
        <f t="shared" si="34"/>
        <v>398</v>
      </c>
      <c r="H439" s="766"/>
    </row>
    <row r="440" spans="1:8" x14ac:dyDescent="0.25">
      <c r="A440" s="766"/>
      <c r="B440" s="851">
        <f t="shared" si="35"/>
        <v>398</v>
      </c>
      <c r="C440" s="770"/>
      <c r="D440" s="766">
        <f t="shared" si="34"/>
        <v>398</v>
      </c>
      <c r="H440" s="766"/>
    </row>
    <row r="441" spans="1:8" x14ac:dyDescent="0.25">
      <c r="A441" s="766"/>
      <c r="B441" s="851">
        <f>Electric!A450</f>
        <v>391.1</v>
      </c>
      <c r="C441" s="512">
        <f>Electric!J450</f>
        <v>382728.72400000005</v>
      </c>
      <c r="D441" s="766">
        <f t="shared" si="34"/>
        <v>391.1</v>
      </c>
      <c r="H441" s="766"/>
    </row>
    <row r="442" spans="1:8" x14ac:dyDescent="0.25">
      <c r="A442" s="766"/>
      <c r="B442" s="851">
        <f>Electric!A451</f>
        <v>391.2</v>
      </c>
      <c r="C442" s="512">
        <f>Electric!J451</f>
        <v>-4066.6340000010996</v>
      </c>
      <c r="D442" s="766">
        <f t="shared" si="34"/>
        <v>391.2</v>
      </c>
      <c r="H442" s="766"/>
    </row>
    <row r="443" spans="1:8" x14ac:dyDescent="0.25">
      <c r="A443" s="766"/>
      <c r="B443" s="851">
        <f>Electric!A452</f>
        <v>393</v>
      </c>
      <c r="C443" s="512">
        <f>Electric!J452</f>
        <v>76885.784</v>
      </c>
      <c r="D443" s="766">
        <f t="shared" si="34"/>
        <v>393</v>
      </c>
      <c r="H443" s="766"/>
    </row>
    <row r="444" spans="1:8" x14ac:dyDescent="0.25">
      <c r="A444" s="766"/>
      <c r="B444" s="851">
        <f>Electric!A453</f>
        <v>394</v>
      </c>
      <c r="C444" s="512">
        <f>Electric!J453</f>
        <v>159759.88400000019</v>
      </c>
      <c r="D444" s="766">
        <f t="shared" si="34"/>
        <v>394</v>
      </c>
      <c r="H444" s="766"/>
    </row>
    <row r="445" spans="1:8" x14ac:dyDescent="0.25">
      <c r="A445" s="766"/>
      <c r="B445" s="851">
        <f>Electric!A454</f>
        <v>395</v>
      </c>
      <c r="C445" s="512">
        <f>Electric!J454</f>
        <v>630783.6</v>
      </c>
      <c r="D445" s="766">
        <f t="shared" si="34"/>
        <v>395</v>
      </c>
      <c r="H445" s="766"/>
    </row>
    <row r="446" spans="1:8" x14ac:dyDescent="0.25">
      <c r="A446" s="766"/>
      <c r="B446" s="851">
        <f>Electric!A455</f>
        <v>397</v>
      </c>
      <c r="C446" s="512">
        <f>Electric!J455</f>
        <v>1529213.7739999942</v>
      </c>
      <c r="D446" s="766">
        <f t="shared" si="34"/>
        <v>397</v>
      </c>
      <c r="H446" s="766"/>
    </row>
    <row r="447" spans="1:8" x14ac:dyDescent="0.25">
      <c r="A447" s="766"/>
      <c r="B447" s="851">
        <f>Electric!A456</f>
        <v>398</v>
      </c>
      <c r="C447" s="512">
        <f>Electric!J456</f>
        <v>25671.46</v>
      </c>
      <c r="D447" s="766">
        <f t="shared" si="34"/>
        <v>398</v>
      </c>
      <c r="H447" s="766"/>
    </row>
    <row r="448" spans="1:8" x14ac:dyDescent="0.25">
      <c r="A448" s="766"/>
      <c r="B448" s="851">
        <f>B447</f>
        <v>398</v>
      </c>
      <c r="C448" s="770">
        <f>Electric!J457</f>
        <v>0</v>
      </c>
      <c r="D448" s="766">
        <f t="shared" si="34"/>
        <v>398</v>
      </c>
      <c r="H448" s="766"/>
    </row>
    <row r="449" spans="1:8" x14ac:dyDescent="0.25">
      <c r="A449" s="766"/>
      <c r="B449" s="851">
        <f>B448</f>
        <v>398</v>
      </c>
      <c r="C449" s="136"/>
      <c r="D449" s="766">
        <f t="shared" si="34"/>
        <v>398</v>
      </c>
      <c r="H449" s="766"/>
    </row>
    <row r="450" spans="1:8" x14ac:dyDescent="0.25">
      <c r="A450" s="766"/>
      <c r="B450" s="851">
        <f>B449</f>
        <v>398</v>
      </c>
      <c r="C450" s="770"/>
      <c r="D450" s="766">
        <f t="shared" si="34"/>
        <v>398</v>
      </c>
      <c r="H450" s="766"/>
    </row>
    <row r="451" spans="1:8" x14ac:dyDescent="0.25">
      <c r="A451" s="766"/>
      <c r="B451" s="851">
        <f>B450</f>
        <v>398</v>
      </c>
      <c r="C451" s="136">
        <f>SUM(C5:C450)</f>
        <v>56499480.611790583</v>
      </c>
      <c r="D451" s="766"/>
      <c r="H451" s="766"/>
    </row>
    <row r="452" spans="1:8" x14ac:dyDescent="0.25">
      <c r="A452" s="766"/>
      <c r="B452" s="766"/>
      <c r="C452" s="687">
        <f>C451-Electric!J460-Electric!L497-Electric!L499</f>
        <v>1.7113052308559418E-8</v>
      </c>
      <c r="D452" s="850" t="s">
        <v>1015</v>
      </c>
      <c r="H452" s="766"/>
    </row>
    <row r="453" spans="1:8" x14ac:dyDescent="0.25">
      <c r="A453" s="766"/>
      <c r="B453" s="766"/>
      <c r="C453" s="766"/>
      <c r="D453" s="766"/>
      <c r="H453" s="766"/>
    </row>
    <row r="454" spans="1:8" x14ac:dyDescent="0.25">
      <c r="A454" s="766"/>
      <c r="B454" s="766"/>
      <c r="C454" s="766"/>
      <c r="D454" s="766"/>
      <c r="G454" s="845" t="s">
        <v>1014</v>
      </c>
      <c r="H454" s="187" t="s">
        <v>1013</v>
      </c>
    </row>
    <row r="455" spans="1:8" x14ac:dyDescent="0.25">
      <c r="A455" s="766"/>
      <c r="B455" s="766"/>
      <c r="C455" s="187" t="s">
        <v>1012</v>
      </c>
      <c r="D455" s="187" t="s">
        <v>916</v>
      </c>
      <c r="E455" s="187" t="s">
        <v>917</v>
      </c>
      <c r="F455" s="187" t="s">
        <v>449</v>
      </c>
      <c r="G455" s="187" t="s">
        <v>762</v>
      </c>
      <c r="H455" s="187"/>
    </row>
    <row r="456" spans="1:8" x14ac:dyDescent="0.25">
      <c r="A456" s="846">
        <v>311</v>
      </c>
      <c r="B456" s="766" t="s">
        <v>898</v>
      </c>
      <c r="C456" s="230">
        <f t="shared" ref="C456:C487" si="36">SUMIF($B$5:$B$450,A456,$C$5:$C$450)</f>
        <v>4572828.8371977266</v>
      </c>
      <c r="D456" s="230"/>
      <c r="E456" s="230">
        <f>'403.1 Depr'!J14+'403.1 Depr'!J61</f>
        <v>-1347658.8191064608</v>
      </c>
      <c r="F456" s="43">
        <f>'Elec Accretion'!J14+'Elec Accretion'!J62</f>
        <v>-782235.15200323774</v>
      </c>
      <c r="G456" s="43">
        <f t="shared" ref="G456:G487" si="37">SUM(C456:F456)</f>
        <v>2442934.8660880281</v>
      </c>
      <c r="H456" s="849">
        <f t="shared" ref="H456:H487" si="38">-G456/2</f>
        <v>-1221467.433044014</v>
      </c>
    </row>
    <row r="457" spans="1:8" x14ac:dyDescent="0.25">
      <c r="A457" s="846">
        <v>312</v>
      </c>
      <c r="B457" s="766" t="s">
        <v>899</v>
      </c>
      <c r="C457" s="775">
        <f t="shared" si="36"/>
        <v>14904949.898247031</v>
      </c>
      <c r="D457" s="775"/>
      <c r="E457" s="775"/>
      <c r="G457" s="43">
        <f t="shared" si="37"/>
        <v>14904949.898247031</v>
      </c>
      <c r="H457" s="849">
        <f t="shared" si="38"/>
        <v>-7452474.9491235157</v>
      </c>
    </row>
    <row r="458" spans="1:8" x14ac:dyDescent="0.25">
      <c r="A458" s="846">
        <v>314</v>
      </c>
      <c r="B458" s="766" t="s">
        <v>900</v>
      </c>
      <c r="C458" s="775">
        <f t="shared" si="36"/>
        <v>5882318.1710066283</v>
      </c>
      <c r="D458" s="775"/>
      <c r="E458" s="775"/>
      <c r="G458" s="43">
        <f t="shared" si="37"/>
        <v>5882318.1710066283</v>
      </c>
      <c r="H458" s="849">
        <f t="shared" si="38"/>
        <v>-2941159.0855033142</v>
      </c>
    </row>
    <row r="459" spans="1:8" x14ac:dyDescent="0.25">
      <c r="A459" s="846">
        <v>315</v>
      </c>
      <c r="B459" s="766" t="s">
        <v>901</v>
      </c>
      <c r="C459" s="775">
        <f t="shared" si="36"/>
        <v>1148310.7310165614</v>
      </c>
      <c r="D459" s="775"/>
      <c r="E459" s="775"/>
      <c r="G459" s="43">
        <f t="shared" si="37"/>
        <v>1148310.7310165614</v>
      </c>
      <c r="H459" s="849">
        <f t="shared" si="38"/>
        <v>-574155.36550828069</v>
      </c>
    </row>
    <row r="460" spans="1:8" x14ac:dyDescent="0.25">
      <c r="A460" s="846">
        <v>316</v>
      </c>
      <c r="B460" s="766" t="s">
        <v>902</v>
      </c>
      <c r="C460" s="775">
        <f t="shared" si="36"/>
        <v>565426.94158013363</v>
      </c>
      <c r="D460" s="775"/>
      <c r="E460" s="775"/>
      <c r="G460" s="43">
        <f t="shared" si="37"/>
        <v>565426.94158013363</v>
      </c>
      <c r="H460" s="849">
        <f t="shared" si="38"/>
        <v>-282713.47079006681</v>
      </c>
    </row>
    <row r="461" spans="1:8" x14ac:dyDescent="0.25">
      <c r="A461" s="846">
        <v>330.1</v>
      </c>
      <c r="B461" s="766" t="s">
        <v>903</v>
      </c>
      <c r="C461" s="775">
        <f t="shared" si="36"/>
        <v>-142.43929240767397</v>
      </c>
      <c r="D461" s="775"/>
      <c r="E461" s="775"/>
      <c r="G461" s="43">
        <f t="shared" si="37"/>
        <v>-142.43929240767397</v>
      </c>
      <c r="H461" s="847">
        <f t="shared" si="38"/>
        <v>71.219646203836987</v>
      </c>
    </row>
    <row r="462" spans="1:8" x14ac:dyDescent="0.25">
      <c r="A462" s="846">
        <v>331</v>
      </c>
      <c r="B462" s="766" t="s">
        <v>904</v>
      </c>
      <c r="C462" s="775">
        <f t="shared" si="36"/>
        <v>597858.37984730187</v>
      </c>
      <c r="D462" s="775"/>
      <c r="E462" s="775"/>
      <c r="G462" s="43">
        <f t="shared" si="37"/>
        <v>597858.37984730187</v>
      </c>
      <c r="H462" s="847">
        <f t="shared" si="38"/>
        <v>-298929.18992365093</v>
      </c>
    </row>
    <row r="463" spans="1:8" x14ac:dyDescent="0.25">
      <c r="A463" s="846">
        <v>332</v>
      </c>
      <c r="B463" s="766" t="s">
        <v>905</v>
      </c>
      <c r="C463" s="775">
        <f t="shared" si="36"/>
        <v>2689429.1419671644</v>
      </c>
      <c r="D463" s="775"/>
      <c r="E463" s="775"/>
      <c r="G463" s="43">
        <f t="shared" si="37"/>
        <v>2689429.1419671644</v>
      </c>
      <c r="H463" s="847">
        <f t="shared" si="38"/>
        <v>-1344714.5709835822</v>
      </c>
    </row>
    <row r="464" spans="1:8" x14ac:dyDescent="0.25">
      <c r="A464" s="846">
        <v>333</v>
      </c>
      <c r="B464" s="766" t="s">
        <v>906</v>
      </c>
      <c r="C464" s="775">
        <f t="shared" si="36"/>
        <v>227180.62929024003</v>
      </c>
      <c r="D464" s="775"/>
      <c r="E464" s="775"/>
      <c r="G464" s="43">
        <f t="shared" si="37"/>
        <v>227180.62929024003</v>
      </c>
      <c r="H464" s="847">
        <f t="shared" si="38"/>
        <v>-113590.31464512002</v>
      </c>
    </row>
    <row r="465" spans="1:8" x14ac:dyDescent="0.25">
      <c r="A465" s="846">
        <v>334</v>
      </c>
      <c r="B465" s="766" t="s">
        <v>907</v>
      </c>
      <c r="C465" s="775">
        <f t="shared" si="36"/>
        <v>143504.79000858753</v>
      </c>
      <c r="D465" s="775"/>
      <c r="E465" s="775"/>
      <c r="G465" s="43">
        <f t="shared" si="37"/>
        <v>143504.79000858753</v>
      </c>
      <c r="H465" s="847">
        <f t="shared" si="38"/>
        <v>-71752.395004293765</v>
      </c>
    </row>
    <row r="466" spans="1:8" x14ac:dyDescent="0.25">
      <c r="A466" s="846">
        <v>335</v>
      </c>
      <c r="B466" s="766" t="s">
        <v>908</v>
      </c>
      <c r="C466" s="775">
        <f t="shared" si="36"/>
        <v>61842.961839753159</v>
      </c>
      <c r="D466" s="775"/>
      <c r="E466" s="775"/>
      <c r="G466" s="43">
        <f t="shared" si="37"/>
        <v>61842.961839753159</v>
      </c>
      <c r="H466" s="847">
        <f t="shared" si="38"/>
        <v>-30921.48091987658</v>
      </c>
    </row>
    <row r="467" spans="1:8" x14ac:dyDescent="0.25">
      <c r="A467" s="846">
        <v>335.1</v>
      </c>
      <c r="B467" s="766" t="s">
        <v>908</v>
      </c>
      <c r="C467" s="775">
        <f t="shared" si="36"/>
        <v>9030.5110978723096</v>
      </c>
      <c r="D467" s="775"/>
      <c r="E467" s="775"/>
      <c r="G467" s="43">
        <f t="shared" si="37"/>
        <v>9030.5110978723096</v>
      </c>
      <c r="H467" s="847">
        <f t="shared" si="38"/>
        <v>-4515.2555489361548</v>
      </c>
    </row>
    <row r="468" spans="1:8" x14ac:dyDescent="0.25">
      <c r="A468" s="846">
        <v>336</v>
      </c>
      <c r="B468" s="766" t="s">
        <v>909</v>
      </c>
      <c r="C468" s="775">
        <f t="shared" si="36"/>
        <v>5061.42054327406</v>
      </c>
      <c r="D468" s="775"/>
      <c r="E468" s="775"/>
      <c r="G468" s="43">
        <f t="shared" si="37"/>
        <v>5061.42054327406</v>
      </c>
      <c r="H468" s="847">
        <f t="shared" si="38"/>
        <v>-2530.71027163703</v>
      </c>
    </row>
    <row r="469" spans="1:8" x14ac:dyDescent="0.25">
      <c r="A469" s="846">
        <v>340.1</v>
      </c>
      <c r="B469" s="766" t="s">
        <v>910</v>
      </c>
      <c r="C469" s="775">
        <f t="shared" si="36"/>
        <v>-5888.6516811757992</v>
      </c>
      <c r="D469" s="775"/>
      <c r="E469" s="775"/>
      <c r="G469" s="43">
        <f t="shared" si="37"/>
        <v>-5888.6516811757992</v>
      </c>
      <c r="H469" s="847">
        <f t="shared" si="38"/>
        <v>2944.3258405878996</v>
      </c>
    </row>
    <row r="470" spans="1:8" x14ac:dyDescent="0.25">
      <c r="A470" s="846">
        <v>341</v>
      </c>
      <c r="B470" s="766" t="s">
        <v>911</v>
      </c>
      <c r="C470" s="775">
        <f t="shared" si="36"/>
        <v>-437077.45511014177</v>
      </c>
      <c r="D470" s="775"/>
      <c r="E470" s="775">
        <f>'403.1 Depr'!J24+'403.1 Depr'!J67</f>
        <v>-15763.356449525261</v>
      </c>
      <c r="F470" s="43">
        <f>'Elec Accretion'!J24+'Elec Accretion'!J68</f>
        <v>11728.852283926721</v>
      </c>
      <c r="G470" s="43">
        <f t="shared" si="37"/>
        <v>-441111.95927574032</v>
      </c>
      <c r="H470" s="847">
        <f t="shared" si="38"/>
        <v>220555.97963787016</v>
      </c>
    </row>
    <row r="471" spans="1:8" x14ac:dyDescent="0.25">
      <c r="A471" s="846">
        <v>341.01</v>
      </c>
      <c r="B471" s="766" t="s">
        <v>911</v>
      </c>
      <c r="C471" s="775">
        <f t="shared" si="36"/>
        <v>-299553.87366950669</v>
      </c>
      <c r="D471" s="775"/>
      <c r="E471" s="775">
        <f>'403.1 Depr'!J32</f>
        <v>369578.87044396042</v>
      </c>
      <c r="F471" s="848">
        <f>'Elec Accretion'!J32</f>
        <v>268475.72294708597</v>
      </c>
      <c r="G471" s="43">
        <f t="shared" si="37"/>
        <v>338500.7197215397</v>
      </c>
      <c r="H471" s="847">
        <f t="shared" si="38"/>
        <v>-169250.35986076985</v>
      </c>
    </row>
    <row r="472" spans="1:8" x14ac:dyDescent="0.25">
      <c r="A472" s="846">
        <v>342</v>
      </c>
      <c r="B472" s="367" t="s">
        <v>812</v>
      </c>
      <c r="C472" s="775">
        <f t="shared" si="36"/>
        <v>-157014.85946108293</v>
      </c>
      <c r="D472" s="775"/>
      <c r="E472" s="775"/>
      <c r="G472" s="43">
        <f t="shared" si="37"/>
        <v>-157014.85946108293</v>
      </c>
      <c r="H472" s="847">
        <f t="shared" si="38"/>
        <v>78507.429730541466</v>
      </c>
    </row>
    <row r="473" spans="1:8" x14ac:dyDescent="0.25">
      <c r="A473" s="846">
        <v>344</v>
      </c>
      <c r="B473" s="766" t="s">
        <v>912</v>
      </c>
      <c r="C473" s="775">
        <f t="shared" si="36"/>
        <v>-615164.33506864612</v>
      </c>
      <c r="D473" s="775"/>
      <c r="E473" s="775"/>
      <c r="G473" s="43">
        <f t="shared" si="37"/>
        <v>-615164.33506864612</v>
      </c>
      <c r="H473" s="847">
        <f t="shared" si="38"/>
        <v>307582.16753432306</v>
      </c>
    </row>
    <row r="474" spans="1:8" x14ac:dyDescent="0.25">
      <c r="A474" s="846">
        <v>344.01</v>
      </c>
      <c r="B474" s="766" t="s">
        <v>913</v>
      </c>
      <c r="C474" s="775">
        <f t="shared" si="36"/>
        <v>3639126.8328789482</v>
      </c>
      <c r="D474" s="775"/>
      <c r="E474" s="775"/>
      <c r="G474" s="43">
        <f t="shared" si="37"/>
        <v>3639126.8328789482</v>
      </c>
      <c r="H474" s="847">
        <f t="shared" si="38"/>
        <v>-1819563.4164394741</v>
      </c>
    </row>
    <row r="475" spans="1:8" x14ac:dyDescent="0.25">
      <c r="A475" s="846">
        <v>344.2</v>
      </c>
      <c r="B475" s="766" t="s">
        <v>913</v>
      </c>
      <c r="C475" s="775">
        <f t="shared" si="36"/>
        <v>9495593.5366884172</v>
      </c>
      <c r="D475" s="775"/>
      <c r="E475" s="775"/>
      <c r="G475" s="43">
        <f t="shared" si="37"/>
        <v>9495593.5366884172</v>
      </c>
      <c r="H475" s="847">
        <f t="shared" si="38"/>
        <v>-4747796.7683442086</v>
      </c>
    </row>
    <row r="476" spans="1:8" x14ac:dyDescent="0.25">
      <c r="A476" s="846">
        <v>345</v>
      </c>
      <c r="B476" s="766" t="s">
        <v>913</v>
      </c>
      <c r="C476" s="775">
        <f t="shared" si="36"/>
        <v>-31869.980398701213</v>
      </c>
      <c r="D476" s="775"/>
      <c r="E476" s="775"/>
      <c r="G476" s="43">
        <f t="shared" si="37"/>
        <v>-31869.980398701213</v>
      </c>
      <c r="H476" s="847">
        <f t="shared" si="38"/>
        <v>15934.990199350606</v>
      </c>
    </row>
    <row r="477" spans="1:8" x14ac:dyDescent="0.25">
      <c r="A477" s="846">
        <v>345.01</v>
      </c>
      <c r="B477" s="766" t="s">
        <v>914</v>
      </c>
      <c r="C477" s="775">
        <f t="shared" si="36"/>
        <v>287383.85266013083</v>
      </c>
      <c r="D477" s="775"/>
      <c r="E477" s="775"/>
      <c r="G477" s="43">
        <f t="shared" si="37"/>
        <v>287383.85266013083</v>
      </c>
      <c r="H477" s="847">
        <f t="shared" si="38"/>
        <v>-143691.92633006541</v>
      </c>
    </row>
    <row r="478" spans="1:8" x14ac:dyDescent="0.25">
      <c r="A478" s="846">
        <v>346</v>
      </c>
      <c r="B478" s="766" t="s">
        <v>914</v>
      </c>
      <c r="C478" s="775">
        <f t="shared" si="36"/>
        <v>-3568.1420418386551</v>
      </c>
      <c r="D478" s="775"/>
      <c r="E478" s="775"/>
      <c r="G478" s="43">
        <f t="shared" si="37"/>
        <v>-3568.1420418386551</v>
      </c>
      <c r="H478" s="847">
        <f t="shared" si="38"/>
        <v>1784.0710209193276</v>
      </c>
    </row>
    <row r="479" spans="1:8" x14ac:dyDescent="0.25">
      <c r="A479" s="846">
        <v>346.01</v>
      </c>
      <c r="B479" s="766" t="s">
        <v>915</v>
      </c>
      <c r="C479" s="775">
        <f t="shared" si="36"/>
        <v>17723.361225259792</v>
      </c>
      <c r="D479" s="775"/>
      <c r="E479" s="775"/>
      <c r="G479" s="43">
        <f t="shared" si="37"/>
        <v>17723.361225259792</v>
      </c>
      <c r="H479" s="847">
        <f t="shared" si="38"/>
        <v>-8861.6806126298961</v>
      </c>
    </row>
    <row r="480" spans="1:8" x14ac:dyDescent="0.25">
      <c r="A480" s="846">
        <v>346.1</v>
      </c>
      <c r="B480" s="766" t="s">
        <v>915</v>
      </c>
      <c r="C480" s="775">
        <f t="shared" si="36"/>
        <v>201335.54776841117</v>
      </c>
      <c r="D480" s="775"/>
      <c r="E480" s="775"/>
      <c r="G480" s="43">
        <f t="shared" si="37"/>
        <v>201335.54776841117</v>
      </c>
      <c r="H480" s="847">
        <f t="shared" si="38"/>
        <v>-100667.77388420558</v>
      </c>
    </row>
    <row r="481" spans="1:10" x14ac:dyDescent="0.25">
      <c r="A481" s="846">
        <v>346.11</v>
      </c>
      <c r="B481" s="766" t="s">
        <v>915</v>
      </c>
      <c r="C481" s="775">
        <f t="shared" si="36"/>
        <v>32796.054382800787</v>
      </c>
      <c r="D481" s="775"/>
      <c r="E481" s="775"/>
      <c r="G481" s="43">
        <f t="shared" si="37"/>
        <v>32796.054382800787</v>
      </c>
      <c r="H481" s="847">
        <f t="shared" si="38"/>
        <v>-16398.027191400393</v>
      </c>
    </row>
    <row r="482" spans="1:10" x14ac:dyDescent="0.25">
      <c r="A482" s="846">
        <v>348</v>
      </c>
      <c r="B482" s="766" t="s">
        <v>915</v>
      </c>
      <c r="C482" s="775">
        <f t="shared" si="36"/>
        <v>-148.38747493819392</v>
      </c>
      <c r="D482" s="775"/>
      <c r="E482" s="775"/>
      <c r="G482" s="43">
        <f t="shared" si="37"/>
        <v>-148.38747493819392</v>
      </c>
      <c r="H482" s="847">
        <f t="shared" si="38"/>
        <v>74.193737469096959</v>
      </c>
      <c r="I482" s="43">
        <f>SUM(H456:H482)</f>
        <v>-20717699.796581779</v>
      </c>
      <c r="J482" s="43">
        <f>SUM(G456:G482)</f>
        <v>41435399.593163557</v>
      </c>
    </row>
    <row r="483" spans="1:10" x14ac:dyDescent="0.25">
      <c r="A483" s="846">
        <v>350.1</v>
      </c>
      <c r="B483" s="766" t="s">
        <v>1011</v>
      </c>
      <c r="C483" s="775">
        <f t="shared" si="36"/>
        <v>-104269.17448390319</v>
      </c>
      <c r="D483" s="775"/>
      <c r="E483" s="775"/>
      <c r="G483" s="43">
        <f t="shared" si="37"/>
        <v>-104269.17448390319</v>
      </c>
      <c r="H483" s="43">
        <f t="shared" si="38"/>
        <v>52134.587241951594</v>
      </c>
    </row>
    <row r="484" spans="1:10" x14ac:dyDescent="0.25">
      <c r="A484" s="846">
        <v>350.16</v>
      </c>
      <c r="B484" s="766" t="s">
        <v>1010</v>
      </c>
      <c r="C484" s="775">
        <f t="shared" si="36"/>
        <v>-25221.32083375474</v>
      </c>
      <c r="D484" s="775"/>
      <c r="E484" s="775"/>
      <c r="G484" s="43">
        <f t="shared" si="37"/>
        <v>-25221.32083375474</v>
      </c>
      <c r="H484" s="43">
        <f t="shared" si="38"/>
        <v>12610.66041687737</v>
      </c>
    </row>
    <row r="485" spans="1:10" x14ac:dyDescent="0.25">
      <c r="A485" s="846">
        <v>350.17</v>
      </c>
      <c r="B485" s="766" t="s">
        <v>1010</v>
      </c>
      <c r="C485" s="775">
        <f t="shared" si="36"/>
        <v>-241348.90317506128</v>
      </c>
      <c r="D485" s="775"/>
      <c r="E485" s="775"/>
      <c r="G485" s="43">
        <f t="shared" si="37"/>
        <v>-241348.90317506128</v>
      </c>
      <c r="H485" s="43">
        <f t="shared" si="38"/>
        <v>120674.45158753064</v>
      </c>
    </row>
    <row r="486" spans="1:10" x14ac:dyDescent="0.25">
      <c r="A486" s="846">
        <v>350.99</v>
      </c>
      <c r="B486" s="766" t="s">
        <v>1010</v>
      </c>
      <c r="C486" s="775">
        <f t="shared" si="36"/>
        <v>-1309.57517394709</v>
      </c>
      <c r="D486" s="775"/>
      <c r="E486" s="775"/>
      <c r="G486" s="43">
        <f t="shared" si="37"/>
        <v>-1309.57517394709</v>
      </c>
      <c r="H486" s="43">
        <f t="shared" si="38"/>
        <v>654.78758697354499</v>
      </c>
    </row>
    <row r="487" spans="1:10" x14ac:dyDescent="0.25">
      <c r="A487" s="846">
        <v>352</v>
      </c>
      <c r="B487" s="766" t="s">
        <v>1010</v>
      </c>
      <c r="C487" s="775">
        <f t="shared" si="36"/>
        <v>-6731.3930625487337</v>
      </c>
      <c r="D487" s="775"/>
      <c r="E487" s="775"/>
      <c r="G487" s="43">
        <f t="shared" si="37"/>
        <v>-6731.3930625487337</v>
      </c>
      <c r="H487" s="43">
        <f t="shared" si="38"/>
        <v>3365.6965312743669</v>
      </c>
    </row>
    <row r="488" spans="1:10" x14ac:dyDescent="0.25">
      <c r="A488" s="846">
        <v>352.6</v>
      </c>
      <c r="B488" s="766" t="s">
        <v>1009</v>
      </c>
      <c r="C488" s="775">
        <f t="shared" ref="C488:C519" si="39">SUMIF($B$5:$B$450,A488,$C$5:$C$450)</f>
        <v>-6181.1597725581378</v>
      </c>
      <c r="D488" s="775"/>
      <c r="E488" s="775"/>
      <c r="G488" s="43">
        <f t="shared" ref="G488:G519" si="40">SUM(C488:F488)</f>
        <v>-6181.1597725581378</v>
      </c>
      <c r="H488" s="43">
        <f t="shared" ref="H488:H519" si="41">-G488/2</f>
        <v>3090.5798862790689</v>
      </c>
    </row>
    <row r="489" spans="1:10" x14ac:dyDescent="0.25">
      <c r="A489" s="846">
        <v>352.7</v>
      </c>
      <c r="B489" s="766" t="s">
        <v>1009</v>
      </c>
      <c r="C489" s="775">
        <f t="shared" si="39"/>
        <v>-11207.975984349323</v>
      </c>
      <c r="D489" s="775"/>
      <c r="E489" s="775"/>
      <c r="G489" s="43">
        <f t="shared" si="40"/>
        <v>-11207.975984349323</v>
      </c>
      <c r="H489" s="43">
        <f t="shared" si="41"/>
        <v>5603.9879921746615</v>
      </c>
    </row>
    <row r="490" spans="1:10" x14ac:dyDescent="0.25">
      <c r="A490" s="846">
        <v>352.9</v>
      </c>
      <c r="B490" s="766" t="s">
        <v>1009</v>
      </c>
      <c r="C490" s="775">
        <f t="shared" si="39"/>
        <v>-48375.779059375142</v>
      </c>
      <c r="D490" s="775"/>
      <c r="E490" s="775"/>
      <c r="G490" s="43">
        <f t="shared" si="40"/>
        <v>-48375.779059375142</v>
      </c>
      <c r="H490" s="43">
        <f t="shared" si="41"/>
        <v>24187.889529687571</v>
      </c>
    </row>
    <row r="491" spans="1:10" x14ac:dyDescent="0.25">
      <c r="A491" s="846">
        <v>353</v>
      </c>
      <c r="B491" s="766" t="s">
        <v>1009</v>
      </c>
      <c r="C491" s="775">
        <f t="shared" si="39"/>
        <v>497336.3201717725</v>
      </c>
      <c r="D491" s="775"/>
      <c r="E491" s="775"/>
      <c r="G491" s="43">
        <f t="shared" si="40"/>
        <v>497336.3201717725</v>
      </c>
      <c r="H491" s="43">
        <f t="shared" si="41"/>
        <v>-248668.16008588625</v>
      </c>
    </row>
    <row r="492" spans="1:10" x14ac:dyDescent="0.25">
      <c r="A492" s="846">
        <v>353.6</v>
      </c>
      <c r="B492" s="766" t="s">
        <v>1008</v>
      </c>
      <c r="C492" s="775">
        <f t="shared" si="39"/>
        <v>4075.1784611460625</v>
      </c>
      <c r="D492" s="775"/>
      <c r="E492" s="775"/>
      <c r="G492" s="43">
        <f t="shared" si="40"/>
        <v>4075.1784611460625</v>
      </c>
      <c r="H492" s="43">
        <f t="shared" si="41"/>
        <v>-2037.5892305730313</v>
      </c>
    </row>
    <row r="493" spans="1:10" x14ac:dyDescent="0.25">
      <c r="A493" s="846">
        <v>353.7</v>
      </c>
      <c r="B493" s="766" t="s">
        <v>1008</v>
      </c>
      <c r="C493" s="775">
        <f t="shared" si="39"/>
        <v>1027414.0813988398</v>
      </c>
      <c r="D493" s="775"/>
      <c r="E493" s="775"/>
      <c r="G493" s="43">
        <f t="shared" si="40"/>
        <v>1027414.0813988398</v>
      </c>
      <c r="H493" s="43">
        <f t="shared" si="41"/>
        <v>-513707.04069941991</v>
      </c>
    </row>
    <row r="494" spans="1:10" x14ac:dyDescent="0.25">
      <c r="A494" s="846">
        <v>353.8</v>
      </c>
      <c r="B494" s="766" t="s">
        <v>1008</v>
      </c>
      <c r="C494" s="775">
        <f t="shared" si="39"/>
        <v>1994.6483839987477</v>
      </c>
      <c r="D494" s="775"/>
      <c r="E494" s="775"/>
      <c r="G494" s="43">
        <f t="shared" si="40"/>
        <v>1994.6483839987477</v>
      </c>
      <c r="H494" s="43">
        <f t="shared" si="41"/>
        <v>-997.32419199937385</v>
      </c>
    </row>
    <row r="495" spans="1:10" x14ac:dyDescent="0.25">
      <c r="A495" s="846">
        <v>353.9</v>
      </c>
      <c r="B495" s="766" t="s">
        <v>1008</v>
      </c>
      <c r="C495" s="775">
        <f t="shared" si="39"/>
        <v>-555193.34547827567</v>
      </c>
      <c r="D495" s="775"/>
      <c r="E495" s="775"/>
      <c r="G495" s="43">
        <f t="shared" si="40"/>
        <v>-555193.34547827567</v>
      </c>
      <c r="H495" s="43">
        <f t="shared" si="41"/>
        <v>277596.67273913784</v>
      </c>
    </row>
    <row r="496" spans="1:10" x14ac:dyDescent="0.25">
      <c r="A496" s="846">
        <v>354</v>
      </c>
      <c r="B496" s="766" t="s">
        <v>1008</v>
      </c>
      <c r="C496" s="775">
        <f t="shared" si="39"/>
        <v>-376228.67133202893</v>
      </c>
      <c r="D496" s="775"/>
      <c r="E496" s="775"/>
      <c r="G496" s="43">
        <f t="shared" si="40"/>
        <v>-376228.67133202893</v>
      </c>
      <c r="H496" s="43">
        <f t="shared" si="41"/>
        <v>188114.33566601446</v>
      </c>
    </row>
    <row r="497" spans="1:8" x14ac:dyDescent="0.25">
      <c r="A497" s="846">
        <v>354.7</v>
      </c>
      <c r="B497" s="766" t="s">
        <v>1007</v>
      </c>
      <c r="C497" s="775">
        <f t="shared" si="39"/>
        <v>-29930.507984673619</v>
      </c>
      <c r="D497" s="775"/>
      <c r="E497" s="775"/>
      <c r="G497" s="43">
        <f t="shared" si="40"/>
        <v>-29930.507984673619</v>
      </c>
      <c r="H497" s="43">
        <f t="shared" si="41"/>
        <v>14965.253992336809</v>
      </c>
    </row>
    <row r="498" spans="1:8" x14ac:dyDescent="0.25">
      <c r="A498" s="846">
        <v>354.9</v>
      </c>
      <c r="B498" s="766" t="s">
        <v>1007</v>
      </c>
      <c r="C498" s="775">
        <f t="shared" si="39"/>
        <v>-1544.3981469208443</v>
      </c>
      <c r="D498" s="775"/>
      <c r="G498" s="43">
        <f t="shared" si="40"/>
        <v>-1544.3981469208443</v>
      </c>
      <c r="H498" s="43">
        <f t="shared" si="41"/>
        <v>772.19907346042214</v>
      </c>
    </row>
    <row r="499" spans="1:8" x14ac:dyDescent="0.25">
      <c r="A499" s="846">
        <v>355</v>
      </c>
      <c r="B499" s="766" t="s">
        <v>1007</v>
      </c>
      <c r="C499" s="775">
        <f t="shared" si="39"/>
        <v>14599.951564100571</v>
      </c>
      <c r="D499" s="775"/>
      <c r="E499" s="775">
        <f>'403.1 Depr'!J39</f>
        <v>623.54537964277552</v>
      </c>
      <c r="F499" s="43">
        <f>'Elec Accretion'!J39</f>
        <v>1084.1756509962433</v>
      </c>
      <c r="G499" s="43">
        <f t="shared" si="40"/>
        <v>16307.67259473959</v>
      </c>
      <c r="H499" s="43">
        <f t="shared" si="41"/>
        <v>-8153.8362973697949</v>
      </c>
    </row>
    <row r="500" spans="1:8" x14ac:dyDescent="0.25">
      <c r="A500" s="846">
        <v>355.6</v>
      </c>
      <c r="B500" s="766" t="s">
        <v>1006</v>
      </c>
      <c r="C500" s="775">
        <f t="shared" si="39"/>
        <v>97322.770639168099</v>
      </c>
      <c r="D500" s="775"/>
      <c r="E500" s="775"/>
      <c r="G500" s="43">
        <f t="shared" si="40"/>
        <v>97322.770639168099</v>
      </c>
      <c r="H500" s="43">
        <f t="shared" si="41"/>
        <v>-48661.385319584049</v>
      </c>
    </row>
    <row r="501" spans="1:8" x14ac:dyDescent="0.25">
      <c r="A501" s="846">
        <v>355.7</v>
      </c>
      <c r="B501" s="766" t="s">
        <v>1006</v>
      </c>
      <c r="C501" s="775">
        <f t="shared" si="39"/>
        <v>500966.98203808069</v>
      </c>
      <c r="D501" s="775"/>
      <c r="E501" s="775"/>
      <c r="G501" s="43">
        <f t="shared" si="40"/>
        <v>500966.98203808069</v>
      </c>
      <c r="H501" s="43">
        <f t="shared" si="41"/>
        <v>-250483.49101904035</v>
      </c>
    </row>
    <row r="502" spans="1:8" x14ac:dyDescent="0.25">
      <c r="A502" s="846">
        <v>355.9</v>
      </c>
      <c r="B502" s="766" t="s">
        <v>1006</v>
      </c>
      <c r="C502" s="775">
        <f t="shared" si="39"/>
        <v>-47676.773493117151</v>
      </c>
      <c r="D502" s="775"/>
      <c r="E502" s="775"/>
      <c r="G502" s="43">
        <f t="shared" si="40"/>
        <v>-47676.773493117151</v>
      </c>
      <c r="H502" s="43">
        <f t="shared" si="41"/>
        <v>23838.386746558575</v>
      </c>
    </row>
    <row r="503" spans="1:8" x14ac:dyDescent="0.25">
      <c r="A503" s="846">
        <v>356</v>
      </c>
      <c r="B503" s="766" t="s">
        <v>1006</v>
      </c>
      <c r="C503" s="775">
        <f t="shared" si="39"/>
        <v>-1047114.7890041033</v>
      </c>
      <c r="D503" s="775"/>
      <c r="E503" s="775"/>
      <c r="G503" s="43">
        <f t="shared" si="40"/>
        <v>-1047114.7890041033</v>
      </c>
      <c r="H503" s="43">
        <f t="shared" si="41"/>
        <v>523557.39450205164</v>
      </c>
    </row>
    <row r="504" spans="1:8" x14ac:dyDescent="0.25">
      <c r="A504" s="846">
        <v>356.6</v>
      </c>
      <c r="B504" s="766" t="s">
        <v>1005</v>
      </c>
      <c r="C504" s="775">
        <f t="shared" si="39"/>
        <v>-193857.22014118067</v>
      </c>
      <c r="D504" s="775"/>
      <c r="E504" s="775"/>
      <c r="G504" s="43">
        <f t="shared" si="40"/>
        <v>-193857.22014118067</v>
      </c>
      <c r="H504" s="43">
        <f t="shared" si="41"/>
        <v>96928.610070590337</v>
      </c>
    </row>
    <row r="505" spans="1:8" x14ac:dyDescent="0.25">
      <c r="A505" s="846">
        <v>356.7</v>
      </c>
      <c r="B505" s="766" t="s">
        <v>1005</v>
      </c>
      <c r="C505" s="775">
        <f t="shared" si="39"/>
        <v>-2012761.421869518</v>
      </c>
      <c r="D505" s="775"/>
      <c r="E505" s="775"/>
      <c r="G505" s="43">
        <f t="shared" si="40"/>
        <v>-2012761.421869518</v>
      </c>
      <c r="H505" s="43">
        <f t="shared" si="41"/>
        <v>1006380.710934759</v>
      </c>
    </row>
    <row r="506" spans="1:8" x14ac:dyDescent="0.25">
      <c r="A506" s="846">
        <v>356.9</v>
      </c>
      <c r="B506" s="766" t="s">
        <v>1005</v>
      </c>
      <c r="C506" s="775">
        <f t="shared" si="39"/>
        <v>-105803.67475582221</v>
      </c>
      <c r="D506" s="775"/>
      <c r="E506" s="775"/>
      <c r="G506" s="43">
        <f t="shared" si="40"/>
        <v>-105803.67475582221</v>
      </c>
      <c r="H506" s="43">
        <f t="shared" si="41"/>
        <v>52901.837377911106</v>
      </c>
    </row>
    <row r="507" spans="1:8" x14ac:dyDescent="0.25">
      <c r="A507" s="846">
        <v>357.7</v>
      </c>
      <c r="B507" s="766" t="s">
        <v>1004</v>
      </c>
      <c r="C507" s="775">
        <f t="shared" si="39"/>
        <v>2001.0145056348956</v>
      </c>
      <c r="D507" s="775"/>
      <c r="E507" s="775"/>
      <c r="G507" s="43">
        <f t="shared" si="40"/>
        <v>2001.0145056348956</v>
      </c>
      <c r="H507" s="43">
        <f t="shared" si="41"/>
        <v>-1000.5072528174478</v>
      </c>
    </row>
    <row r="508" spans="1:8" x14ac:dyDescent="0.25">
      <c r="A508" s="846">
        <v>357.9</v>
      </c>
      <c r="B508" s="766" t="s">
        <v>1004</v>
      </c>
      <c r="C508" s="775">
        <f t="shared" si="39"/>
        <v>-448.90653264440448</v>
      </c>
      <c r="D508" s="775"/>
      <c r="E508" s="775"/>
      <c r="G508" s="43">
        <f t="shared" si="40"/>
        <v>-448.90653264440448</v>
      </c>
      <c r="H508" s="43">
        <f t="shared" si="41"/>
        <v>224.45326632220224</v>
      </c>
    </row>
    <row r="509" spans="1:8" x14ac:dyDescent="0.25">
      <c r="A509" s="846">
        <v>358.7</v>
      </c>
      <c r="B509" s="766" t="s">
        <v>1003</v>
      </c>
      <c r="C509" s="775">
        <f t="shared" si="39"/>
        <v>-81857.467899134033</v>
      </c>
      <c r="D509" s="775"/>
      <c r="E509" s="775"/>
      <c r="G509" s="43">
        <f t="shared" si="40"/>
        <v>-81857.467899134033</v>
      </c>
      <c r="H509" s="43">
        <f t="shared" si="41"/>
        <v>40928.733949567017</v>
      </c>
    </row>
    <row r="510" spans="1:8" x14ac:dyDescent="0.25">
      <c r="A510" s="846">
        <v>358.9</v>
      </c>
      <c r="B510" s="766" t="s">
        <v>1003</v>
      </c>
      <c r="C510" s="775">
        <f t="shared" si="39"/>
        <v>-140404.73048597999</v>
      </c>
      <c r="D510" s="775"/>
      <c r="E510" s="775"/>
      <c r="G510" s="43">
        <f t="shared" si="40"/>
        <v>-140404.73048597999</v>
      </c>
      <c r="H510" s="43">
        <f t="shared" si="41"/>
        <v>70202.365242989996</v>
      </c>
    </row>
    <row r="511" spans="1:8" x14ac:dyDescent="0.25">
      <c r="A511" s="846">
        <v>359</v>
      </c>
      <c r="B511" s="766" t="s">
        <v>1002</v>
      </c>
      <c r="C511" s="775">
        <f t="shared" si="39"/>
        <v>-418.67325494084434</v>
      </c>
      <c r="D511" s="775"/>
      <c r="E511" s="775"/>
      <c r="G511" s="43">
        <f t="shared" si="40"/>
        <v>-418.67325494084434</v>
      </c>
      <c r="H511" s="43">
        <f t="shared" si="41"/>
        <v>209.33662747042217</v>
      </c>
    </row>
    <row r="512" spans="1:8" x14ac:dyDescent="0.25">
      <c r="A512" s="846">
        <v>359.7</v>
      </c>
      <c r="B512" s="766" t="s">
        <v>1002</v>
      </c>
      <c r="C512" s="775">
        <f t="shared" si="39"/>
        <v>-8135.5821247418207</v>
      </c>
      <c r="D512" s="775"/>
      <c r="E512" s="775"/>
      <c r="G512" s="43">
        <f t="shared" si="40"/>
        <v>-8135.5821247418207</v>
      </c>
      <c r="H512" s="43">
        <f t="shared" si="41"/>
        <v>4067.7910623709104</v>
      </c>
    </row>
    <row r="513" spans="1:8" x14ac:dyDescent="0.25">
      <c r="A513" s="846">
        <v>359.99</v>
      </c>
      <c r="B513" s="766" t="s">
        <v>1002</v>
      </c>
      <c r="C513" s="775">
        <f t="shared" si="39"/>
        <v>-132.40249981154588</v>
      </c>
      <c r="D513" s="775"/>
      <c r="E513" s="775"/>
      <c r="G513" s="43">
        <f t="shared" si="40"/>
        <v>-132.40249981154588</v>
      </c>
      <c r="H513" s="43">
        <f t="shared" si="41"/>
        <v>66.20124990577294</v>
      </c>
    </row>
    <row r="514" spans="1:8" x14ac:dyDescent="0.25">
      <c r="A514" s="846">
        <v>360.1</v>
      </c>
      <c r="B514" s="766" t="s">
        <v>1001</v>
      </c>
      <c r="C514" s="775">
        <f t="shared" si="39"/>
        <v>-68134.48222417623</v>
      </c>
      <c r="D514" s="775"/>
      <c r="E514" s="775"/>
      <c r="G514" s="43">
        <f t="shared" si="40"/>
        <v>-68134.48222417623</v>
      </c>
      <c r="H514" s="43">
        <f t="shared" si="41"/>
        <v>34067.241112088115</v>
      </c>
    </row>
    <row r="515" spans="1:8" x14ac:dyDescent="0.25">
      <c r="A515" s="846">
        <v>361</v>
      </c>
      <c r="B515" s="766" t="s">
        <v>1000</v>
      </c>
      <c r="C515" s="775">
        <f t="shared" si="39"/>
        <v>-3949.1560938487528</v>
      </c>
      <c r="D515" s="775"/>
      <c r="E515" s="775"/>
      <c r="G515" s="43">
        <f t="shared" si="40"/>
        <v>-3949.1560938487528</v>
      </c>
      <c r="H515" s="43">
        <f t="shared" si="41"/>
        <v>1974.5780469243764</v>
      </c>
    </row>
    <row r="516" spans="1:8" x14ac:dyDescent="0.25">
      <c r="A516" s="846">
        <v>362</v>
      </c>
      <c r="B516" s="766" t="s">
        <v>999</v>
      </c>
      <c r="C516" s="775">
        <f t="shared" si="39"/>
        <v>291869.76550004072</v>
      </c>
      <c r="D516" s="775"/>
      <c r="E516" s="775"/>
      <c r="G516" s="43">
        <f t="shared" si="40"/>
        <v>291869.76550004072</v>
      </c>
      <c r="H516" s="43">
        <f t="shared" si="41"/>
        <v>-145934.88275002036</v>
      </c>
    </row>
    <row r="517" spans="1:8" x14ac:dyDescent="0.25">
      <c r="A517" s="846">
        <v>363</v>
      </c>
      <c r="B517" s="766" t="s">
        <v>998</v>
      </c>
      <c r="C517" s="775">
        <f t="shared" si="39"/>
        <v>-36.896062033920316</v>
      </c>
      <c r="D517" s="775"/>
      <c r="G517" s="43">
        <f t="shared" si="40"/>
        <v>-36.896062033920316</v>
      </c>
      <c r="H517" s="43">
        <f t="shared" si="41"/>
        <v>18.448031016960158</v>
      </c>
    </row>
    <row r="518" spans="1:8" x14ac:dyDescent="0.25">
      <c r="A518" s="846">
        <v>364</v>
      </c>
      <c r="B518" s="766" t="s">
        <v>997</v>
      </c>
      <c r="C518" s="775">
        <f t="shared" si="39"/>
        <v>105277.40542200464</v>
      </c>
      <c r="D518" s="775"/>
      <c r="E518" s="775">
        <f>'403.1 Depr'!J46</f>
        <v>568.57313351167977</v>
      </c>
      <c r="F518" s="43">
        <f>'Elec Accretion'!J46</f>
        <v>306.6144689927205</v>
      </c>
      <c r="G518" s="43">
        <f t="shared" si="40"/>
        <v>106152.59302450903</v>
      </c>
      <c r="H518" s="43">
        <f t="shared" si="41"/>
        <v>-53076.296512254514</v>
      </c>
    </row>
    <row r="519" spans="1:8" x14ac:dyDescent="0.25">
      <c r="A519" s="846">
        <v>365</v>
      </c>
      <c r="B519" s="766" t="s">
        <v>996</v>
      </c>
      <c r="C519" s="775">
        <f t="shared" si="39"/>
        <v>3567497.4166719117</v>
      </c>
      <c r="D519" s="775"/>
      <c r="E519" s="775"/>
      <c r="G519" s="43">
        <f t="shared" si="40"/>
        <v>3567497.4166719117</v>
      </c>
      <c r="H519" s="43">
        <f t="shared" si="41"/>
        <v>-1783748.7083359559</v>
      </c>
    </row>
    <row r="520" spans="1:8" x14ac:dyDescent="0.25">
      <c r="A520" s="846">
        <v>366</v>
      </c>
      <c r="B520" s="766" t="s">
        <v>995</v>
      </c>
      <c r="C520" s="775">
        <f t="shared" ref="C520:C525" si="42">SUMIF($B$5:$B$450,A520,$C$5:$C$450)</f>
        <v>-3214903.3131331429</v>
      </c>
      <c r="D520" s="775"/>
      <c r="E520" s="775"/>
      <c r="G520" s="43">
        <f t="shared" ref="G520:G537" si="43">SUM(C520:F520)</f>
        <v>-3214903.3131331429</v>
      </c>
      <c r="H520" s="43">
        <f t="shared" ref="H520:H537" si="44">-G520/2</f>
        <v>1607451.6565665714</v>
      </c>
    </row>
    <row r="521" spans="1:8" x14ac:dyDescent="0.25">
      <c r="A521" s="846">
        <v>367</v>
      </c>
      <c r="B521" s="766" t="s">
        <v>994</v>
      </c>
      <c r="C521" s="775">
        <f t="shared" si="42"/>
        <v>3237525.2231639409</v>
      </c>
      <c r="D521" s="775"/>
      <c r="E521" s="775"/>
      <c r="G521" s="43">
        <f t="shared" si="43"/>
        <v>3237525.2231639409</v>
      </c>
      <c r="H521" s="43">
        <f t="shared" si="44"/>
        <v>-1618762.6115819705</v>
      </c>
    </row>
    <row r="522" spans="1:8" x14ac:dyDescent="0.25">
      <c r="A522" s="846">
        <v>368</v>
      </c>
      <c r="B522" s="766" t="s">
        <v>993</v>
      </c>
      <c r="C522" s="775">
        <f t="shared" si="42"/>
        <v>3679609.4510006905</v>
      </c>
      <c r="D522" s="775"/>
      <c r="E522" s="775"/>
      <c r="G522" s="43">
        <f t="shared" si="43"/>
        <v>3679609.4510006905</v>
      </c>
      <c r="H522" s="43">
        <f t="shared" si="44"/>
        <v>-1839804.7255003452</v>
      </c>
    </row>
    <row r="523" spans="1:8" x14ac:dyDescent="0.25">
      <c r="A523" s="846">
        <v>369</v>
      </c>
      <c r="B523" s="766" t="s">
        <v>992</v>
      </c>
      <c r="C523" s="775">
        <f t="shared" si="42"/>
        <v>1476059.6907607075</v>
      </c>
      <c r="D523" s="775"/>
      <c r="E523" s="775"/>
      <c r="G523" s="43">
        <f t="shared" si="43"/>
        <v>1476059.6907607075</v>
      </c>
      <c r="H523" s="43">
        <f t="shared" si="44"/>
        <v>-738029.84538035374</v>
      </c>
    </row>
    <row r="524" spans="1:8" x14ac:dyDescent="0.25">
      <c r="A524" s="846">
        <v>370</v>
      </c>
      <c r="B524" s="766" t="s">
        <v>991</v>
      </c>
      <c r="C524" s="775">
        <f t="shared" si="42"/>
        <v>8188796.7877595201</v>
      </c>
      <c r="D524" s="775"/>
      <c r="E524" s="775"/>
      <c r="G524" s="43">
        <f t="shared" si="43"/>
        <v>8188796.7877595201</v>
      </c>
      <c r="H524" s="43">
        <f t="shared" si="44"/>
        <v>-4094398.3938797601</v>
      </c>
    </row>
    <row r="525" spans="1:8" x14ac:dyDescent="0.25">
      <c r="A525" s="846">
        <v>373</v>
      </c>
      <c r="B525" s="766" t="s">
        <v>990</v>
      </c>
      <c r="C525" s="775">
        <f t="shared" si="42"/>
        <v>737269.94454232114</v>
      </c>
      <c r="D525" s="775"/>
      <c r="E525" s="775"/>
      <c r="G525" s="43">
        <f t="shared" si="43"/>
        <v>737269.94454232114</v>
      </c>
      <c r="H525" s="43">
        <f t="shared" si="44"/>
        <v>-368634.97227116057</v>
      </c>
    </row>
    <row r="526" spans="1:8" x14ac:dyDescent="0.25">
      <c r="A526" s="36">
        <v>389.1</v>
      </c>
      <c r="B526" s="228" t="s">
        <v>728</v>
      </c>
      <c r="C526" s="766"/>
      <c r="D526" s="775">
        <f ca="1">Common!N7</f>
        <v>-33570.087973685935</v>
      </c>
      <c r="G526" s="43">
        <f t="shared" ca="1" si="43"/>
        <v>-33570.087973685935</v>
      </c>
      <c r="H526" s="43">
        <f t="shared" ca="1" si="44"/>
        <v>16785.043986842968</v>
      </c>
    </row>
    <row r="527" spans="1:8" x14ac:dyDescent="0.25">
      <c r="A527" s="846">
        <v>390</v>
      </c>
      <c r="B527" s="766" t="s">
        <v>989</v>
      </c>
      <c r="C527" s="775">
        <f t="shared" ref="C527:C536" si="45">SUMIF($B$5:$B$450,A527,$C$5:$C$450)</f>
        <v>-2574557.4224999999</v>
      </c>
      <c r="D527" s="775">
        <f ca="1">Common!N13</f>
        <v>-1746149.4523099868</v>
      </c>
      <c r="E527" s="775">
        <f ca="1">'403.1 Depr'!J73</f>
        <v>-105787.14347799998</v>
      </c>
      <c r="F527" s="43">
        <f>'Elec Accretion'!J74</f>
        <v>-9932.9660800000001</v>
      </c>
      <c r="G527" s="43">
        <f t="shared" ca="1" si="43"/>
        <v>-4436426.9843679862</v>
      </c>
      <c r="H527" s="43">
        <f t="shared" ca="1" si="44"/>
        <v>2218213.4921839931</v>
      </c>
    </row>
    <row r="528" spans="1:8" x14ac:dyDescent="0.25">
      <c r="A528" s="846">
        <v>391.1</v>
      </c>
      <c r="B528" s="766" t="s">
        <v>988</v>
      </c>
      <c r="C528" s="775">
        <f t="shared" si="45"/>
        <v>380809.84801444283</v>
      </c>
      <c r="D528" s="775">
        <f ca="1">Common!N17+Common!N52</f>
        <v>-18273.117988503305</v>
      </c>
      <c r="E528" s="775"/>
      <c r="G528" s="43">
        <f t="shared" ca="1" si="43"/>
        <v>362536.73002593953</v>
      </c>
      <c r="H528" s="43">
        <f t="shared" ca="1" si="44"/>
        <v>-181268.36501296976</v>
      </c>
    </row>
    <row r="529" spans="1:8" x14ac:dyDescent="0.25">
      <c r="A529" s="846">
        <v>391.2</v>
      </c>
      <c r="B529" s="766" t="s">
        <v>988</v>
      </c>
      <c r="C529" s="775">
        <f t="shared" si="45"/>
        <v>845.31675407000967</v>
      </c>
      <c r="D529" s="775">
        <f ca="1">Common!N20+Common!N53</f>
        <v>-100455.05749662667</v>
      </c>
      <c r="E529" s="775"/>
      <c r="G529" s="43">
        <f t="shared" ca="1" si="43"/>
        <v>-99609.740742556663</v>
      </c>
      <c r="H529" s="43">
        <f t="shared" ca="1" si="44"/>
        <v>49804.870371278332</v>
      </c>
    </row>
    <row r="530" spans="1:8" x14ac:dyDescent="0.25">
      <c r="A530" s="846">
        <v>392</v>
      </c>
      <c r="B530" s="766" t="s">
        <v>987</v>
      </c>
      <c r="C530" s="775">
        <f t="shared" si="45"/>
        <v>-199310.66132790654</v>
      </c>
      <c r="D530" s="775">
        <f ca="1">Common!N24+Common!N46+Common!N89</f>
        <v>-123410.72361542865</v>
      </c>
      <c r="E530" s="775"/>
      <c r="G530" s="43">
        <f t="shared" ca="1" si="43"/>
        <v>-322721.3849433352</v>
      </c>
      <c r="H530" s="43">
        <f t="shared" ca="1" si="44"/>
        <v>161360.6924716676</v>
      </c>
    </row>
    <row r="531" spans="1:8" x14ac:dyDescent="0.25">
      <c r="A531" s="846">
        <v>393</v>
      </c>
      <c r="B531" s="766" t="s">
        <v>986</v>
      </c>
      <c r="C531" s="775">
        <f t="shared" si="45"/>
        <v>54957.891489626789</v>
      </c>
      <c r="D531" s="775">
        <f ca="1">Common!N28+Common!N54</f>
        <v>-249.8805845778802</v>
      </c>
      <c r="E531" s="775"/>
      <c r="G531" s="43">
        <f t="shared" ca="1" si="43"/>
        <v>54708.010905048912</v>
      </c>
      <c r="H531" s="43">
        <f t="shared" ca="1" si="44"/>
        <v>-27354.005452524456</v>
      </c>
    </row>
    <row r="532" spans="1:8" x14ac:dyDescent="0.25">
      <c r="A532" s="846">
        <v>394</v>
      </c>
      <c r="B532" s="766" t="s">
        <v>985</v>
      </c>
      <c r="C532" s="775">
        <f t="shared" si="45"/>
        <v>101431.88297873308</v>
      </c>
      <c r="D532" s="775">
        <f ca="1">Common!N32+Common!N55</f>
        <v>2626.5623904241347</v>
      </c>
      <c r="E532" s="775"/>
      <c r="G532" s="43">
        <f t="shared" ca="1" si="43"/>
        <v>104058.44536915721</v>
      </c>
      <c r="H532" s="43">
        <f t="shared" ca="1" si="44"/>
        <v>-52029.222684578606</v>
      </c>
    </row>
    <row r="533" spans="1:8" x14ac:dyDescent="0.25">
      <c r="A533" s="846">
        <v>395</v>
      </c>
      <c r="B533" s="766" t="s">
        <v>984</v>
      </c>
      <c r="C533" s="775">
        <f t="shared" si="45"/>
        <v>339910.86867814773</v>
      </c>
      <c r="D533" s="775">
        <v>0</v>
      </c>
      <c r="E533" s="775"/>
      <c r="G533" s="43">
        <f t="shared" si="43"/>
        <v>339910.86867814773</v>
      </c>
      <c r="H533" s="43">
        <f t="shared" si="44"/>
        <v>-169955.43433907386</v>
      </c>
    </row>
    <row r="534" spans="1:8" x14ac:dyDescent="0.25">
      <c r="A534" s="846">
        <v>396</v>
      </c>
      <c r="B534" s="766" t="s">
        <v>983</v>
      </c>
      <c r="C534" s="775">
        <f t="shared" si="45"/>
        <v>20775.585522173205</v>
      </c>
      <c r="D534" s="775">
        <f ca="1">Common!N34+Common!N47+Common!N91</f>
        <v>-5024.636129523069</v>
      </c>
      <c r="E534" s="775"/>
      <c r="G534" s="43">
        <f t="shared" ca="1" si="43"/>
        <v>15750.949392650136</v>
      </c>
      <c r="H534" s="43">
        <f t="shared" ca="1" si="44"/>
        <v>-7875.4746963250682</v>
      </c>
    </row>
    <row r="535" spans="1:8" x14ac:dyDescent="0.25">
      <c r="A535" s="846">
        <v>397</v>
      </c>
      <c r="B535" s="766" t="s">
        <v>982</v>
      </c>
      <c r="C535" s="775">
        <f t="shared" si="45"/>
        <v>328453.80822859635</v>
      </c>
      <c r="D535" s="775">
        <f ca="1">Common!N39+Common!N56</f>
        <v>-64032.351821372751</v>
      </c>
      <c r="E535" s="775"/>
      <c r="G535" s="43">
        <f t="shared" ca="1" si="43"/>
        <v>264421.4564072236</v>
      </c>
      <c r="H535" s="43">
        <f t="shared" ca="1" si="44"/>
        <v>-132210.7282036118</v>
      </c>
    </row>
    <row r="536" spans="1:8" x14ac:dyDescent="0.25">
      <c r="A536" s="846">
        <v>398</v>
      </c>
      <c r="B536" s="766" t="s">
        <v>981</v>
      </c>
      <c r="C536" s="775">
        <f t="shared" si="45"/>
        <v>18451.080982596148</v>
      </c>
      <c r="D536" s="775">
        <f ca="1">Common!N43+Common!N57</f>
        <v>-14565.277262757665</v>
      </c>
      <c r="E536" s="775"/>
      <c r="G536" s="43">
        <f t="shared" ca="1" si="43"/>
        <v>3885.8037198384827</v>
      </c>
      <c r="H536" s="43">
        <f t="shared" ca="1" si="44"/>
        <v>-1942.9018599192414</v>
      </c>
    </row>
    <row r="537" spans="1:8" x14ac:dyDescent="0.25">
      <c r="A537" s="766"/>
      <c r="B537" s="766"/>
      <c r="C537" s="766"/>
      <c r="D537" s="766"/>
      <c r="G537" s="43">
        <f t="shared" si="43"/>
        <v>0</v>
      </c>
      <c r="H537" s="43">
        <f t="shared" si="44"/>
        <v>0</v>
      </c>
    </row>
    <row r="538" spans="1:8" x14ac:dyDescent="0.25">
      <c r="A538" s="766"/>
      <c r="B538" s="766"/>
      <c r="C538" s="775"/>
      <c r="D538" s="775"/>
      <c r="E538" s="775"/>
    </row>
    <row r="539" spans="1:8" x14ac:dyDescent="0.25">
      <c r="A539" s="766"/>
      <c r="B539" s="766"/>
      <c r="C539" s="230">
        <f t="shared" ref="C539:H539" si="46">SUM(C456:C538)</f>
        <v>56499480.611790568</v>
      </c>
      <c r="D539" s="230">
        <f t="shared" ca="1" si="46"/>
        <v>-2103104.0227920385</v>
      </c>
      <c r="E539" s="230">
        <f t="shared" ca="1" si="46"/>
        <v>-1098438.3300768712</v>
      </c>
      <c r="F539" s="230">
        <f t="shared" si="46"/>
        <v>-510572.75273223605</v>
      </c>
      <c r="G539" s="230">
        <f t="shared" ca="1" si="46"/>
        <v>52787365.506189413</v>
      </c>
      <c r="H539" s="230">
        <f t="shared" ca="1" si="46"/>
        <v>-26393682.753094707</v>
      </c>
    </row>
    <row r="540" spans="1:8" x14ac:dyDescent="0.25">
      <c r="A540" s="766"/>
      <c r="B540" s="766"/>
      <c r="C540" s="687">
        <f>'Lead E'!E12-C539+Electric!L497+Electric!L499</f>
        <v>4.9942173063755035E-8</v>
      </c>
      <c r="D540" s="687">
        <f ca="1">Common!N60-D539+Common!N89+Common!N91</f>
        <v>3.4015101846307516E-10</v>
      </c>
      <c r="E540" s="687">
        <f ca="1">'403.1 Depr'!J80-E539</f>
        <v>0</v>
      </c>
      <c r="F540" s="687">
        <f>'Elec Accretion'!J81-F539</f>
        <v>0</v>
      </c>
      <c r="G540" s="687">
        <f ca="1">'Lead E'!E33-G539</f>
        <v>1.0430812835693359E-7</v>
      </c>
      <c r="H540" s="687">
        <f ca="1">'Lead E'!E39-H539</f>
        <v>-5.2154064178466797E-8</v>
      </c>
    </row>
    <row r="541" spans="1:8" x14ac:dyDescent="0.25">
      <c r="A541" s="398">
        <v>389.1</v>
      </c>
      <c r="B541" s="766"/>
      <c r="C541" s="766"/>
      <c r="D541" s="766"/>
      <c r="H541" s="766"/>
    </row>
    <row r="542" spans="1:8" x14ac:dyDescent="0.25">
      <c r="A542" s="187">
        <v>390</v>
      </c>
      <c r="B542" s="228" t="s">
        <v>728</v>
      </c>
      <c r="C542" s="766"/>
      <c r="D542" s="766"/>
      <c r="H542" s="766"/>
    </row>
    <row r="543" spans="1:8" x14ac:dyDescent="0.25">
      <c r="A543" s="187">
        <v>391.1</v>
      </c>
      <c r="B543" s="228" t="s">
        <v>424</v>
      </c>
      <c r="C543" s="766"/>
      <c r="D543" s="766"/>
      <c r="H543" s="766"/>
    </row>
    <row r="544" spans="1:8" x14ac:dyDescent="0.25">
      <c r="A544" s="227">
        <v>391.1</v>
      </c>
      <c r="B544" s="766" t="s">
        <v>429</v>
      </c>
      <c r="C544" s="766"/>
      <c r="D544" s="766"/>
      <c r="H544" s="766"/>
    </row>
    <row r="545" spans="1:8" x14ac:dyDescent="0.25">
      <c r="A545" s="187">
        <v>391.2</v>
      </c>
      <c r="B545" s="228" t="s">
        <v>429</v>
      </c>
      <c r="C545" s="766"/>
      <c r="D545" s="766"/>
      <c r="H545" s="766"/>
    </row>
    <row r="546" spans="1:8" x14ac:dyDescent="0.25">
      <c r="A546" s="227">
        <v>391.2</v>
      </c>
      <c r="B546" s="228" t="s">
        <v>430</v>
      </c>
      <c r="C546" s="766"/>
      <c r="D546" s="766"/>
      <c r="H546" s="766"/>
    </row>
    <row r="547" spans="1:8" x14ac:dyDescent="0.25">
      <c r="A547" s="187">
        <v>392</v>
      </c>
      <c r="B547" s="228" t="s">
        <v>430</v>
      </c>
      <c r="C547" s="766"/>
      <c r="D547" s="766"/>
      <c r="H547" s="766"/>
    </row>
    <row r="548" spans="1:8" x14ac:dyDescent="0.25">
      <c r="A548" s="187">
        <v>393</v>
      </c>
      <c r="B548" s="766" t="s">
        <v>431</v>
      </c>
      <c r="C548" s="766"/>
      <c r="D548" s="766"/>
      <c r="H548" s="766"/>
    </row>
    <row r="549" spans="1:8" x14ac:dyDescent="0.25">
      <c r="A549" s="227">
        <v>393</v>
      </c>
      <c r="B549" s="766" t="s">
        <v>432</v>
      </c>
      <c r="C549" s="766"/>
      <c r="D549" s="766"/>
      <c r="H549" s="766"/>
    </row>
    <row r="550" spans="1:8" x14ac:dyDescent="0.25">
      <c r="A550" s="187">
        <v>394</v>
      </c>
      <c r="B550" s="228" t="s">
        <v>432</v>
      </c>
      <c r="C550" s="766"/>
      <c r="D550" s="766"/>
      <c r="H550" s="766"/>
    </row>
    <row r="551" spans="1:8" x14ac:dyDescent="0.25">
      <c r="A551" s="227">
        <v>394</v>
      </c>
      <c r="B551" s="766" t="s">
        <v>433</v>
      </c>
      <c r="C551" s="766"/>
      <c r="D551" s="766"/>
      <c r="H551" s="766"/>
    </row>
    <row r="552" spans="1:8" x14ac:dyDescent="0.25">
      <c r="A552" s="187">
        <v>396</v>
      </c>
      <c r="B552" s="228" t="s">
        <v>433</v>
      </c>
      <c r="C552" s="766"/>
      <c r="D552" s="766"/>
      <c r="H552" s="766"/>
    </row>
    <row r="553" spans="1:8" x14ac:dyDescent="0.25">
      <c r="A553" s="187">
        <v>397</v>
      </c>
      <c r="B553" s="766" t="s">
        <v>434</v>
      </c>
      <c r="C553" s="766"/>
      <c r="D553" s="766"/>
      <c r="H553" s="766"/>
    </row>
    <row r="554" spans="1:8" x14ac:dyDescent="0.25">
      <c r="A554" s="227">
        <v>397</v>
      </c>
      <c r="B554" s="766" t="s">
        <v>435</v>
      </c>
      <c r="C554" s="766"/>
      <c r="D554" s="766"/>
      <c r="H554" s="766"/>
    </row>
    <row r="555" spans="1:8" x14ac:dyDescent="0.25">
      <c r="A555" s="187">
        <v>398</v>
      </c>
      <c r="B555" s="228" t="s">
        <v>440</v>
      </c>
      <c r="C555" s="766"/>
      <c r="D555" s="766"/>
      <c r="H555" s="766"/>
    </row>
    <row r="556" spans="1:8" x14ac:dyDescent="0.25">
      <c r="A556" s="227">
        <v>398</v>
      </c>
      <c r="B556" s="766" t="s">
        <v>438</v>
      </c>
      <c r="C556" s="766"/>
      <c r="D556" s="766"/>
      <c r="H556" s="766"/>
    </row>
    <row r="557" spans="1:8" x14ac:dyDescent="0.25">
      <c r="A557" s="766"/>
      <c r="B557" s="228" t="s">
        <v>438</v>
      </c>
      <c r="C557" s="766"/>
      <c r="D557" s="766"/>
      <c r="H557" s="7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workbookViewId="0">
      <selection activeCell="A42" sqref="A42"/>
    </sheetView>
  </sheetViews>
  <sheetFormatPr defaultRowHeight="13.2" x14ac:dyDescent="0.25"/>
  <cols>
    <col min="1" max="1" width="60.33203125" customWidth="1"/>
    <col min="2" max="2" width="17.6640625" style="41" customWidth="1"/>
    <col min="3" max="3" width="1.88671875" customWidth="1"/>
    <col min="4" max="4" width="17.6640625" style="41" customWidth="1"/>
    <col min="5" max="5" width="18.109375" customWidth="1"/>
  </cols>
  <sheetData>
    <row r="2" spans="1:5" ht="30" customHeight="1" thickBot="1" x14ac:dyDescent="0.3">
      <c r="B2" s="89" t="s">
        <v>372</v>
      </c>
      <c r="C2" s="90"/>
      <c r="D2" s="89" t="s">
        <v>371</v>
      </c>
    </row>
    <row r="4" spans="1:5" x14ac:dyDescent="0.25">
      <c r="A4" s="65" t="s">
        <v>374</v>
      </c>
      <c r="E4" s="43"/>
    </row>
    <row r="5" spans="1:5" x14ac:dyDescent="0.25">
      <c r="A5" s="79" t="s">
        <v>375</v>
      </c>
      <c r="B5" s="47">
        <v>6849066.0999999996</v>
      </c>
      <c r="D5" s="47">
        <v>6800126.1399999997</v>
      </c>
      <c r="E5" s="43"/>
    </row>
    <row r="6" spans="1:5" x14ac:dyDescent="0.25">
      <c r="A6" t="s">
        <v>363</v>
      </c>
    </row>
    <row r="7" spans="1:5" x14ac:dyDescent="0.25">
      <c r="A7" t="s">
        <v>373</v>
      </c>
      <c r="D7" s="47">
        <v>50982.25</v>
      </c>
    </row>
    <row r="8" spans="1:5" x14ac:dyDescent="0.25">
      <c r="A8" t="s">
        <v>390</v>
      </c>
      <c r="D8" s="47">
        <v>-3123.1</v>
      </c>
    </row>
    <row r="9" spans="1:5" x14ac:dyDescent="0.25">
      <c r="A9" t="s">
        <v>391</v>
      </c>
      <c r="D9" s="47">
        <v>811.56</v>
      </c>
    </row>
    <row r="10" spans="1:5" x14ac:dyDescent="0.25">
      <c r="A10" s="19" t="s">
        <v>395</v>
      </c>
      <c r="D10" s="47">
        <v>269.25</v>
      </c>
    </row>
    <row r="11" spans="1:5" ht="13.8" thickBot="1" x14ac:dyDescent="0.3">
      <c r="A11" s="92"/>
      <c r="B11" s="68">
        <f>SUM(B5:B10)</f>
        <v>6849066.0999999996</v>
      </c>
      <c r="C11" s="91"/>
      <c r="D11" s="68">
        <f>SUM(D5:D10)</f>
        <v>6849066.0999999996</v>
      </c>
    </row>
    <row r="12" spans="1:5" ht="13.8" thickTop="1" x14ac:dyDescent="0.25">
      <c r="D12" s="47"/>
    </row>
    <row r="13" spans="1:5" x14ac:dyDescent="0.25">
      <c r="A13" s="65" t="s">
        <v>364</v>
      </c>
      <c r="B13" s="47"/>
      <c r="E13" s="43"/>
    </row>
    <row r="14" spans="1:5" x14ac:dyDescent="0.25">
      <c r="A14" s="79" t="s">
        <v>375</v>
      </c>
      <c r="B14" s="47">
        <v>151384996.91</v>
      </c>
      <c r="D14" s="41">
        <v>150517255.13</v>
      </c>
      <c r="E14" s="43"/>
    </row>
    <row r="15" spans="1:5" x14ac:dyDescent="0.25">
      <c r="A15" t="s">
        <v>363</v>
      </c>
      <c r="B15" s="47"/>
    </row>
    <row r="16" spans="1:5" x14ac:dyDescent="0.25">
      <c r="A16" t="s">
        <v>378</v>
      </c>
      <c r="D16" s="47">
        <v>23.88</v>
      </c>
    </row>
    <row r="17" spans="1:5" x14ac:dyDescent="0.25">
      <c r="A17" t="s">
        <v>413</v>
      </c>
      <c r="D17" s="47">
        <v>-145.99</v>
      </c>
    </row>
    <row r="18" spans="1:5" x14ac:dyDescent="0.25">
      <c r="A18" t="s">
        <v>380</v>
      </c>
      <c r="D18" s="47">
        <v>-114.29</v>
      </c>
    </row>
    <row r="19" spans="1:5" ht="26.4" x14ac:dyDescent="0.25">
      <c r="A19" s="98" t="s">
        <v>421</v>
      </c>
      <c r="D19" s="47">
        <v>12628.97</v>
      </c>
    </row>
    <row r="20" spans="1:5" x14ac:dyDescent="0.25">
      <c r="A20" t="s">
        <v>379</v>
      </c>
      <c r="D20" s="47">
        <v>2.4700000000000002</v>
      </c>
    </row>
    <row r="21" spans="1:5" x14ac:dyDescent="0.25">
      <c r="A21" t="s">
        <v>376</v>
      </c>
      <c r="D21" s="47">
        <v>-44880.44</v>
      </c>
    </row>
    <row r="22" spans="1:5" x14ac:dyDescent="0.25">
      <c r="A22" s="19" t="s">
        <v>414</v>
      </c>
      <c r="D22" s="47">
        <v>44939</v>
      </c>
    </row>
    <row r="23" spans="1:5" x14ac:dyDescent="0.25">
      <c r="A23" s="19" t="s">
        <v>415</v>
      </c>
      <c r="D23" s="47">
        <v>18953.27</v>
      </c>
    </row>
    <row r="24" spans="1:5" x14ac:dyDescent="0.25">
      <c r="A24" s="19" t="s">
        <v>404</v>
      </c>
      <c r="D24" s="47">
        <v>23021</v>
      </c>
      <c r="E24" s="43"/>
    </row>
    <row r="25" spans="1:5" x14ac:dyDescent="0.25">
      <c r="A25" s="19" t="s">
        <v>405</v>
      </c>
      <c r="D25" s="47">
        <v>35354.75</v>
      </c>
      <c r="E25" s="43"/>
    </row>
    <row r="26" spans="1:5" x14ac:dyDescent="0.25">
      <c r="A26" s="19" t="s">
        <v>406</v>
      </c>
      <c r="D26" s="47">
        <v>57060.5</v>
      </c>
      <c r="E26" s="43"/>
    </row>
    <row r="27" spans="1:5" x14ac:dyDescent="0.25">
      <c r="A27" s="19" t="s">
        <v>407</v>
      </c>
      <c r="D27" s="47">
        <v>311164.5</v>
      </c>
      <c r="E27" s="43"/>
    </row>
    <row r="28" spans="1:5" x14ac:dyDescent="0.25">
      <c r="A28" s="19" t="s">
        <v>416</v>
      </c>
      <c r="D28" s="47">
        <v>409734.16</v>
      </c>
      <c r="E28" s="43"/>
    </row>
    <row r="29" spans="1:5" ht="13.8" thickBot="1" x14ac:dyDescent="0.3">
      <c r="B29" s="93">
        <f>SUM(B14:B28)</f>
        <v>151384996.91</v>
      </c>
      <c r="C29" s="93">
        <f>SUM(C14:C28)</f>
        <v>0</v>
      </c>
      <c r="D29" s="93">
        <f>SUM(D14:D28)</f>
        <v>151384996.91</v>
      </c>
    </row>
    <row r="30" spans="1:5" ht="13.8" thickTop="1" x14ac:dyDescent="0.25">
      <c r="B30" s="87"/>
      <c r="D30" s="47"/>
    </row>
    <row r="31" spans="1:5" x14ac:dyDescent="0.25">
      <c r="A31" s="65" t="s">
        <v>365</v>
      </c>
      <c r="B31" s="47"/>
      <c r="D31" s="47"/>
    </row>
    <row r="32" spans="1:5" x14ac:dyDescent="0.25">
      <c r="A32" s="79" t="s">
        <v>375</v>
      </c>
      <c r="B32" s="47">
        <v>70510110.219999999</v>
      </c>
      <c r="D32" s="47">
        <v>68099230.840000004</v>
      </c>
    </row>
    <row r="33" spans="1:4" x14ac:dyDescent="0.25">
      <c r="A33" t="s">
        <v>363</v>
      </c>
      <c r="D33" s="47"/>
    </row>
    <row r="34" spans="1:4" x14ac:dyDescent="0.25">
      <c r="A34" t="s">
        <v>384</v>
      </c>
      <c r="D34" s="47">
        <v>-270.74</v>
      </c>
    </row>
    <row r="35" spans="1:4" x14ac:dyDescent="0.25">
      <c r="A35" t="s">
        <v>385</v>
      </c>
      <c r="D35" s="47">
        <v>-29723.06</v>
      </c>
    </row>
    <row r="36" spans="1:4" x14ac:dyDescent="0.25">
      <c r="A36" t="s">
        <v>386</v>
      </c>
      <c r="D36" s="47">
        <v>-132403.49</v>
      </c>
    </row>
    <row r="37" spans="1:4" x14ac:dyDescent="0.25">
      <c r="A37" t="s">
        <v>387</v>
      </c>
      <c r="D37" s="47">
        <v>-7908.53</v>
      </c>
    </row>
    <row r="38" spans="1:4" x14ac:dyDescent="0.25">
      <c r="A38" t="s">
        <v>388</v>
      </c>
      <c r="D38" s="47">
        <v>503793.61</v>
      </c>
    </row>
    <row r="39" spans="1:4" x14ac:dyDescent="0.25">
      <c r="A39" t="s">
        <v>389</v>
      </c>
      <c r="D39" s="47">
        <v>380453.45</v>
      </c>
    </row>
    <row r="40" spans="1:4" x14ac:dyDescent="0.25">
      <c r="A40" t="s">
        <v>377</v>
      </c>
      <c r="D40" s="47">
        <v>397.45</v>
      </c>
    </row>
    <row r="41" spans="1:4" x14ac:dyDescent="0.25">
      <c r="A41" t="s">
        <v>381</v>
      </c>
      <c r="D41" s="47">
        <v>855661.81</v>
      </c>
    </row>
    <row r="42" spans="1:4" x14ac:dyDescent="0.25">
      <c r="A42" t="s">
        <v>382</v>
      </c>
      <c r="D42" s="47">
        <v>186708.08</v>
      </c>
    </row>
    <row r="43" spans="1:4" x14ac:dyDescent="0.25">
      <c r="A43" t="s">
        <v>383</v>
      </c>
      <c r="D43" s="47">
        <v>-12547.93</v>
      </c>
    </row>
    <row r="44" spans="1:4" x14ac:dyDescent="0.25">
      <c r="A44" t="s">
        <v>392</v>
      </c>
      <c r="D44" s="47">
        <v>-0.03</v>
      </c>
    </row>
    <row r="45" spans="1:4" x14ac:dyDescent="0.25">
      <c r="A45" t="s">
        <v>393</v>
      </c>
      <c r="D45" s="47">
        <v>-72256.679999999993</v>
      </c>
    </row>
    <row r="46" spans="1:4" x14ac:dyDescent="0.25">
      <c r="A46" s="19" t="s">
        <v>394</v>
      </c>
      <c r="D46" s="47">
        <v>131658.85</v>
      </c>
    </row>
    <row r="47" spans="1:4" x14ac:dyDescent="0.25">
      <c r="A47" s="19" t="s">
        <v>408</v>
      </c>
      <c r="D47" s="47">
        <v>614403.38</v>
      </c>
    </row>
    <row r="48" spans="1:4" x14ac:dyDescent="0.25">
      <c r="A48" s="19" t="s">
        <v>417</v>
      </c>
      <c r="D48" s="47">
        <v>-7086.79</v>
      </c>
    </row>
    <row r="49" spans="1:4" ht="13.8" thickBot="1" x14ac:dyDescent="0.3">
      <c r="B49" s="68">
        <f>SUM(B32:B48)</f>
        <v>70510110.219999999</v>
      </c>
      <c r="C49" s="91"/>
      <c r="D49" s="68">
        <f>SUM(D32:D48)</f>
        <v>70510110.219999984</v>
      </c>
    </row>
    <row r="50" spans="1:4" ht="13.8" thickTop="1" x14ac:dyDescent="0.25">
      <c r="D50" s="47"/>
    </row>
    <row r="51" spans="1:4" x14ac:dyDescent="0.25">
      <c r="D51" s="47"/>
    </row>
    <row r="52" spans="1:4" x14ac:dyDescent="0.25">
      <c r="A52" s="32" t="s">
        <v>411</v>
      </c>
    </row>
    <row r="53" spans="1:4" x14ac:dyDescent="0.25">
      <c r="A53" t="s">
        <v>412</v>
      </c>
    </row>
    <row r="54" spans="1:4" x14ac:dyDescent="0.25">
      <c r="A54" t="s">
        <v>423</v>
      </c>
    </row>
    <row r="56" spans="1:4" x14ac:dyDescent="0.25">
      <c r="A56" t="s">
        <v>418</v>
      </c>
      <c r="B56" s="41">
        <v>932231</v>
      </c>
    </row>
    <row r="57" spans="1:4" x14ac:dyDescent="0.25">
      <c r="A57" t="s">
        <v>418</v>
      </c>
      <c r="B57" s="41">
        <v>-726</v>
      </c>
    </row>
    <row r="58" spans="1:4" x14ac:dyDescent="0.25">
      <c r="A58" t="s">
        <v>419</v>
      </c>
      <c r="B58" s="41">
        <v>-1842</v>
      </c>
    </row>
    <row r="59" spans="1:4" x14ac:dyDescent="0.25">
      <c r="A59" t="s">
        <v>422</v>
      </c>
      <c r="B59" s="41">
        <v>-528028</v>
      </c>
    </row>
    <row r="60" spans="1:4" x14ac:dyDescent="0.25">
      <c r="A60" t="s">
        <v>420</v>
      </c>
      <c r="B60" s="41">
        <v>-432</v>
      </c>
    </row>
  </sheetData>
  <phoneticPr fontId="11" type="noConversion"/>
  <pageMargins left="0.5" right="0.25" top="1" bottom="1" header="0.5" footer="0.5"/>
  <pageSetup orientation="portrait" verticalDpi="0" r:id="rId1"/>
  <headerFooter alignWithMargins="0">
    <oddHeader>&amp;CDepreciation Reconciliation
Financial Statements vs. Depreciation Rate Comparison Report
as of September 30, 2007</oddHeader>
    <oddFooter>&amp;L&amp;8Prepared by: Laura Schumacher
Date prepared: 10/17/07&amp;R&amp;8&amp;Z&amp;F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6" zoomScaleNormal="100" workbookViewId="0">
      <selection activeCell="E27" sqref="E27"/>
    </sheetView>
  </sheetViews>
  <sheetFormatPr defaultColWidth="9.109375" defaultRowHeight="13.2" outlineLevelRow="1" x14ac:dyDescent="0.25"/>
  <cols>
    <col min="1" max="1" width="5" style="151" bestFit="1" customWidth="1"/>
    <col min="2" max="2" width="63.109375" style="151" customWidth="1"/>
    <col min="3" max="3" width="13.6640625" style="151" customWidth="1"/>
    <col min="4" max="4" width="15.109375" style="151" customWidth="1"/>
    <col min="5" max="5" width="15.33203125" style="151" customWidth="1"/>
    <col min="6" max="16384" width="9.109375" style="151"/>
  </cols>
  <sheetData>
    <row r="1" spans="1:5" x14ac:dyDescent="0.25">
      <c r="A1" s="184"/>
      <c r="B1" s="152"/>
      <c r="C1" s="152"/>
      <c r="D1" s="152"/>
      <c r="E1" s="183"/>
    </row>
    <row r="2" spans="1:5" x14ac:dyDescent="0.25">
      <c r="A2" s="152"/>
      <c r="B2" s="152"/>
      <c r="C2" s="152"/>
      <c r="D2" s="152"/>
      <c r="E2" s="183"/>
    </row>
    <row r="3" spans="1:5" x14ac:dyDescent="0.25">
      <c r="A3" s="182"/>
      <c r="B3" s="182"/>
      <c r="C3" s="182"/>
      <c r="D3" s="182"/>
      <c r="E3" s="183"/>
    </row>
    <row r="4" spans="1:5" x14ac:dyDescent="0.25">
      <c r="A4" s="177" t="s">
        <v>1038</v>
      </c>
      <c r="B4" s="176"/>
      <c r="C4" s="175"/>
      <c r="D4" s="175"/>
      <c r="E4" s="175"/>
    </row>
    <row r="5" spans="1:5" x14ac:dyDescent="0.25">
      <c r="A5" s="177" t="s">
        <v>654</v>
      </c>
      <c r="B5" s="181"/>
      <c r="C5" s="180"/>
      <c r="D5" s="180"/>
      <c r="E5" s="180"/>
    </row>
    <row r="6" spans="1:5" x14ac:dyDescent="0.25">
      <c r="A6" s="175" t="s">
        <v>839</v>
      </c>
      <c r="B6" s="179"/>
      <c r="C6" s="178"/>
      <c r="D6" s="178"/>
      <c r="E6" s="178"/>
    </row>
    <row r="7" spans="1:5" x14ac:dyDescent="0.25">
      <c r="A7" s="177" t="s">
        <v>840</v>
      </c>
      <c r="B7" s="176"/>
      <c r="C7" s="175"/>
      <c r="D7" s="175"/>
      <c r="E7" s="175"/>
    </row>
    <row r="8" spans="1:5" x14ac:dyDescent="0.25">
      <c r="A8" s="173"/>
      <c r="B8" s="173"/>
      <c r="C8" s="173"/>
      <c r="D8" s="173"/>
      <c r="E8" s="173"/>
    </row>
    <row r="9" spans="1:5" x14ac:dyDescent="0.25">
      <c r="A9" s="174" t="s">
        <v>653</v>
      </c>
      <c r="B9" s="173"/>
      <c r="C9" s="173"/>
      <c r="D9" s="173"/>
      <c r="E9" s="173"/>
    </row>
    <row r="10" spans="1:5" x14ac:dyDescent="0.25">
      <c r="A10" s="172" t="s">
        <v>652</v>
      </c>
      <c r="B10" s="171" t="s">
        <v>131</v>
      </c>
      <c r="C10" s="170" t="s">
        <v>651</v>
      </c>
      <c r="D10" s="170" t="s">
        <v>650</v>
      </c>
      <c r="E10" s="170" t="s">
        <v>649</v>
      </c>
    </row>
    <row r="11" spans="1:5" x14ac:dyDescent="0.25">
      <c r="A11" s="152"/>
      <c r="B11" s="152"/>
      <c r="C11" s="152"/>
      <c r="D11" s="152"/>
      <c r="E11" s="152"/>
    </row>
    <row r="12" spans="1:5" x14ac:dyDescent="0.25">
      <c r="A12" s="154">
        <v>1</v>
      </c>
      <c r="B12" s="152" t="s">
        <v>648</v>
      </c>
      <c r="C12" s="169">
        <f>Electric!D460</f>
        <v>249419038.22</v>
      </c>
      <c r="D12" s="169">
        <f>Electric!I460</f>
        <v>306097053.90759635</v>
      </c>
      <c r="E12" s="169">
        <f>+D12-C12</f>
        <v>56678015.687596351</v>
      </c>
    </row>
    <row r="13" spans="1:5" x14ac:dyDescent="0.25">
      <c r="A13" s="154">
        <f t="shared" ref="A13:A40" si="0">A12+1</f>
        <v>2</v>
      </c>
      <c r="B13" s="152" t="s">
        <v>647</v>
      </c>
      <c r="C13" s="168">
        <f ca="1">Common!E60</f>
        <v>15207047.519823998</v>
      </c>
      <c r="D13" s="168">
        <f ca="1">Common!L60</f>
        <v>13232378.856776908</v>
      </c>
      <c r="E13" s="168">
        <f ca="1">+D13-C13</f>
        <v>-1974668.6630470902</v>
      </c>
    </row>
    <row r="14" spans="1:5" x14ac:dyDescent="0.25">
      <c r="A14" s="154">
        <f t="shared" si="0"/>
        <v>3</v>
      </c>
      <c r="B14" s="152" t="s">
        <v>820</v>
      </c>
      <c r="C14" s="168">
        <f ca="1">Common!E70</f>
        <v>55937.910695999999</v>
      </c>
      <c r="D14" s="168">
        <f ca="1">C14</f>
        <v>55937.910695999999</v>
      </c>
      <c r="E14" s="168">
        <f ca="1">+D14-C14</f>
        <v>0</v>
      </c>
    </row>
    <row r="15" spans="1:5" x14ac:dyDescent="0.25">
      <c r="A15" s="154">
        <f t="shared" si="0"/>
        <v>4</v>
      </c>
      <c r="B15" s="152" t="s">
        <v>966</v>
      </c>
      <c r="C15" s="168">
        <f ca="1">Electric!D487+Common!E75-C14</f>
        <v>29770695.186882004</v>
      </c>
      <c r="D15" s="168">
        <f ca="1">Electric!I487+Common!L75-D14</f>
        <v>29770695.186882004</v>
      </c>
      <c r="E15" s="168">
        <f ca="1">+D15-C15</f>
        <v>0</v>
      </c>
    </row>
    <row r="16" spans="1:5" x14ac:dyDescent="0.25">
      <c r="A16" s="154">
        <f t="shared" si="0"/>
        <v>5</v>
      </c>
      <c r="B16" s="152" t="s">
        <v>972</v>
      </c>
      <c r="C16" s="803">
        <f ca="1">SUM(C12:C15)</f>
        <v>294452718.83740199</v>
      </c>
      <c r="D16" s="803">
        <f ca="1">SUM(D12:D15)</f>
        <v>349156065.86195129</v>
      </c>
      <c r="E16" s="803">
        <f ca="1">SUM(E12:E15)</f>
        <v>54703347.024549261</v>
      </c>
    </row>
    <row r="17" spans="1:5" x14ac:dyDescent="0.25">
      <c r="A17" s="154">
        <f t="shared" si="0"/>
        <v>6</v>
      </c>
      <c r="B17" s="152"/>
      <c r="C17" s="164"/>
      <c r="D17" s="164"/>
      <c r="E17" s="164"/>
    </row>
    <row r="18" spans="1:5" outlineLevel="1" x14ac:dyDescent="0.25">
      <c r="A18" s="154">
        <f t="shared" si="0"/>
        <v>7</v>
      </c>
      <c r="B18" s="152" t="s">
        <v>646</v>
      </c>
      <c r="C18" s="804">
        <f>'403.1 Depr'!D50</f>
        <v>1352124.73</v>
      </c>
      <c r="D18" s="804">
        <f>'403.1 Depr'!I50</f>
        <v>1729703.1034011289</v>
      </c>
      <c r="E18" s="158">
        <f>+D18-C18</f>
        <v>377578.37340112892</v>
      </c>
    </row>
    <row r="19" spans="1:5" outlineLevel="1" x14ac:dyDescent="0.25">
      <c r="A19" s="154">
        <f t="shared" si="0"/>
        <v>8</v>
      </c>
      <c r="B19" s="152" t="s">
        <v>645</v>
      </c>
      <c r="C19" s="168">
        <f ca="1">'403.1 Depr'!D77</f>
        <v>1476016.7034779999</v>
      </c>
      <c r="D19" s="168">
        <f>'403.1 Depr'!I77</f>
        <v>0</v>
      </c>
      <c r="E19" s="168">
        <f ca="1">+D19-C19</f>
        <v>-1476016.7034779999</v>
      </c>
    </row>
    <row r="20" spans="1:5" x14ac:dyDescent="0.25">
      <c r="A20" s="154">
        <f t="shared" si="0"/>
        <v>9</v>
      </c>
      <c r="B20" s="152" t="s">
        <v>644</v>
      </c>
      <c r="C20" s="803">
        <f ca="1">SUM(C18:C19)</f>
        <v>2828141.4334779996</v>
      </c>
      <c r="D20" s="803">
        <f>SUM(D18:D19)</f>
        <v>1729703.1034011289</v>
      </c>
      <c r="E20" s="803">
        <f ca="1">SUM(E18:E19)</f>
        <v>-1098438.330076871</v>
      </c>
    </row>
    <row r="21" spans="1:5" x14ac:dyDescent="0.25">
      <c r="A21" s="154">
        <f t="shared" si="0"/>
        <v>10</v>
      </c>
      <c r="B21" s="152"/>
      <c r="C21" s="164"/>
      <c r="D21" s="164"/>
      <c r="E21" s="164"/>
    </row>
    <row r="22" spans="1:5" x14ac:dyDescent="0.25">
      <c r="A22" s="154">
        <f t="shared" si="0"/>
        <v>11</v>
      </c>
      <c r="B22" s="167" t="s">
        <v>643</v>
      </c>
      <c r="C22" s="805">
        <f ca="1">C16+C20</f>
        <v>297280860.27087998</v>
      </c>
      <c r="D22" s="805">
        <f ca="1">D16+D20</f>
        <v>350885768.96535242</v>
      </c>
      <c r="E22" s="165">
        <f ca="1">+D22-C22</f>
        <v>53604908.694472432</v>
      </c>
    </row>
    <row r="23" spans="1:5" x14ac:dyDescent="0.25">
      <c r="A23" s="154">
        <f t="shared" si="0"/>
        <v>12</v>
      </c>
      <c r="B23" s="152"/>
      <c r="C23" s="164"/>
      <c r="D23" s="164"/>
      <c r="E23" s="158"/>
    </row>
    <row r="24" spans="1:5" outlineLevel="1" x14ac:dyDescent="0.25">
      <c r="A24" s="154">
        <f t="shared" si="0"/>
        <v>13</v>
      </c>
      <c r="B24" s="166" t="s">
        <v>642</v>
      </c>
      <c r="C24" s="164"/>
      <c r="D24" s="164"/>
      <c r="E24" s="158"/>
    </row>
    <row r="25" spans="1:5" outlineLevel="1" x14ac:dyDescent="0.25">
      <c r="A25" s="154">
        <f t="shared" si="0"/>
        <v>14</v>
      </c>
      <c r="B25" s="152" t="s">
        <v>962</v>
      </c>
      <c r="C25" s="804">
        <f>'Elec Accretion'!D50</f>
        <v>1424661.0825685868</v>
      </c>
      <c r="D25" s="804">
        <f>'Elec Accretion'!I50</f>
        <v>2062091.3333477639</v>
      </c>
      <c r="E25" s="158">
        <f>+D25-C25</f>
        <v>637430.25077917706</v>
      </c>
    </row>
    <row r="26" spans="1:5" outlineLevel="1" x14ac:dyDescent="0.25">
      <c r="A26" s="154">
        <f t="shared" si="0"/>
        <v>15</v>
      </c>
      <c r="B26" s="152" t="s">
        <v>963</v>
      </c>
      <c r="C26" s="168">
        <f>'Elec Accretion'!D78</f>
        <v>1148003.003511413</v>
      </c>
      <c r="D26" s="168">
        <f>'Elec Accretion'!I78</f>
        <v>0</v>
      </c>
      <c r="E26" s="168">
        <f>+D26-C26</f>
        <v>-1148003.003511413</v>
      </c>
    </row>
    <row r="27" spans="1:5" x14ac:dyDescent="0.25">
      <c r="A27" s="154">
        <f t="shared" si="0"/>
        <v>16</v>
      </c>
      <c r="B27" s="152" t="s">
        <v>964</v>
      </c>
      <c r="C27" s="803">
        <f>SUM(C25:C26)</f>
        <v>2572664.0860799998</v>
      </c>
      <c r="D27" s="803">
        <f>SUM(D25:D26)</f>
        <v>2062091.3333477639</v>
      </c>
      <c r="E27" s="803">
        <f>SUM(E25:E26)</f>
        <v>-510572.75273223594</v>
      </c>
    </row>
    <row r="28" spans="1:5" x14ac:dyDescent="0.25">
      <c r="A28" s="154">
        <f t="shared" si="0"/>
        <v>17</v>
      </c>
      <c r="B28" s="152"/>
      <c r="C28" s="164"/>
      <c r="D28" s="164"/>
      <c r="E28" s="158"/>
    </row>
    <row r="29" spans="1:5" x14ac:dyDescent="0.25">
      <c r="A29" s="154">
        <f t="shared" si="0"/>
        <v>18</v>
      </c>
      <c r="B29" s="152"/>
      <c r="C29" s="164"/>
      <c r="D29" s="164"/>
      <c r="E29" s="168"/>
    </row>
    <row r="30" spans="1:5" x14ac:dyDescent="0.25">
      <c r="A30" s="154">
        <f t="shared" si="0"/>
        <v>19</v>
      </c>
      <c r="B30" s="798" t="s">
        <v>980</v>
      </c>
      <c r="C30" s="805">
        <f ca="1">Electric!D502+Common!E94</f>
        <v>846819.31998199993</v>
      </c>
      <c r="D30" s="805">
        <f ca="1">Electric!I502+Common!L94</f>
        <v>539848.88443131489</v>
      </c>
      <c r="E30" s="165">
        <f ca="1">+D30-C30</f>
        <v>-306970.43555068504</v>
      </c>
    </row>
    <row r="31" spans="1:5" x14ac:dyDescent="0.25">
      <c r="A31" s="154">
        <f t="shared" si="0"/>
        <v>20</v>
      </c>
      <c r="B31" s="152"/>
      <c r="C31" s="164"/>
      <c r="D31" s="164"/>
      <c r="E31" s="158"/>
    </row>
    <row r="32" spans="1:5" x14ac:dyDescent="0.25">
      <c r="A32" s="154">
        <f t="shared" si="0"/>
        <v>21</v>
      </c>
      <c r="B32" s="152"/>
      <c r="C32" s="164"/>
      <c r="D32" s="164"/>
      <c r="E32" s="158"/>
    </row>
    <row r="33" spans="1:5" x14ac:dyDescent="0.25">
      <c r="A33" s="154">
        <f t="shared" si="0"/>
        <v>22</v>
      </c>
      <c r="B33" s="163" t="s">
        <v>641</v>
      </c>
      <c r="C33" s="162"/>
      <c r="D33" s="162"/>
      <c r="E33" s="162">
        <f ca="1">E22+E27+E30</f>
        <v>52787365.506189518</v>
      </c>
    </row>
    <row r="34" spans="1:5" x14ac:dyDescent="0.25">
      <c r="A34" s="154">
        <f t="shared" si="0"/>
        <v>23</v>
      </c>
      <c r="B34" s="163" t="s">
        <v>759</v>
      </c>
      <c r="C34" s="162"/>
      <c r="D34" s="919">
        <v>0.21</v>
      </c>
      <c r="E34" s="307">
        <f ca="1">-E33*D34</f>
        <v>-11085346.756299797</v>
      </c>
    </row>
    <row r="35" spans="1:5" ht="13.8" thickBot="1" x14ac:dyDescent="0.3">
      <c r="A35" s="154">
        <f t="shared" si="0"/>
        <v>24</v>
      </c>
      <c r="B35" s="163" t="s">
        <v>640</v>
      </c>
      <c r="C35" s="162"/>
      <c r="D35" s="162"/>
      <c r="E35" s="306">
        <f ca="1">-E33-E34</f>
        <v>-41702018.749889717</v>
      </c>
    </row>
    <row r="36" spans="1:5" ht="13.8" thickTop="1" x14ac:dyDescent="0.25">
      <c r="A36" s="154">
        <f t="shared" si="0"/>
        <v>25</v>
      </c>
      <c r="B36" s="155"/>
      <c r="C36" s="152"/>
      <c r="D36" s="152"/>
      <c r="E36" s="161"/>
    </row>
    <row r="37" spans="1:5" x14ac:dyDescent="0.25">
      <c r="A37" s="154">
        <f t="shared" si="0"/>
        <v>26</v>
      </c>
      <c r="B37" s="155"/>
      <c r="C37" s="157"/>
      <c r="D37" s="159"/>
      <c r="E37" s="158"/>
    </row>
    <row r="38" spans="1:5" x14ac:dyDescent="0.25">
      <c r="A38" s="154">
        <f t="shared" si="0"/>
        <v>27</v>
      </c>
      <c r="B38" s="160" t="s">
        <v>639</v>
      </c>
      <c r="C38" s="157"/>
      <c r="D38" s="159"/>
      <c r="E38" s="158"/>
    </row>
    <row r="39" spans="1:5" x14ac:dyDescent="0.25">
      <c r="A39" s="154">
        <f t="shared" si="0"/>
        <v>28</v>
      </c>
      <c r="B39" s="155" t="s">
        <v>638</v>
      </c>
      <c r="C39" s="157">
        <v>0.5</v>
      </c>
      <c r="D39" s="152"/>
      <c r="E39" s="156">
        <f ca="1">-E33*C39</f>
        <v>-26393682.753094759</v>
      </c>
    </row>
    <row r="40" spans="1:5" x14ac:dyDescent="0.25">
      <c r="A40" s="154">
        <f t="shared" si="0"/>
        <v>29</v>
      </c>
      <c r="B40" s="155" t="s">
        <v>752</v>
      </c>
      <c r="C40" s="157"/>
      <c r="D40" s="152"/>
      <c r="E40" s="307">
        <f ca="1">'DFIT Depr Stdy 8.06E'!S29</f>
        <v>9237788.9635831658</v>
      </c>
    </row>
    <row r="41" spans="1:5" ht="13.8" thickBot="1" x14ac:dyDescent="0.3">
      <c r="A41" s="154">
        <f>A40+1</f>
        <v>30</v>
      </c>
      <c r="B41" s="155" t="s">
        <v>637</v>
      </c>
      <c r="C41" s="152"/>
      <c r="D41" s="152"/>
      <c r="E41" s="306">
        <f ca="1">SUM(E39:E40)</f>
        <v>-17155893.789511591</v>
      </c>
    </row>
    <row r="42" spans="1:5" ht="13.8" thickTop="1" x14ac:dyDescent="0.25">
      <c r="A42" s="154"/>
      <c r="B42" s="153"/>
      <c r="C42" s="153"/>
      <c r="D42" s="153"/>
      <c r="E42" s="153"/>
    </row>
    <row r="43" spans="1:5" x14ac:dyDescent="0.25">
      <c r="A43" s="152"/>
      <c r="B43" s="152"/>
      <c r="C43" s="152"/>
      <c r="D43" s="152"/>
      <c r="E43" s="152"/>
    </row>
  </sheetData>
  <pageMargins left="0.75" right="0.75" top="1" bottom="1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8"/>
  <sheetViews>
    <sheetView zoomScale="85" zoomScaleNormal="85" workbookViewId="0">
      <pane xSplit="2" ySplit="3" topLeftCell="C413" activePane="bottomRight" state="frozen"/>
      <selection pane="topRight"/>
      <selection pane="bottomLeft"/>
      <selection pane="bottomRight" activeCell="I456" sqref="I456"/>
    </sheetView>
  </sheetViews>
  <sheetFormatPr defaultColWidth="9.109375" defaultRowHeight="13.2" outlineLevelCol="1" x14ac:dyDescent="0.25"/>
  <cols>
    <col min="1" max="1" width="10.109375" style="76" bestFit="1" customWidth="1"/>
    <col min="2" max="2" width="40.88671875" style="34" customWidth="1"/>
    <col min="3" max="3" width="16.6640625" style="140" customWidth="1"/>
    <col min="4" max="4" width="16.33203125" style="34" bestFit="1" customWidth="1"/>
    <col min="5" max="5" width="11.5546875" style="128" bestFit="1" customWidth="1" outlineLevel="1"/>
    <col min="6" max="6" width="9.6640625" style="128" customWidth="1"/>
    <col min="7" max="7" width="13.109375" style="34" customWidth="1"/>
    <col min="8" max="8" width="11.44140625" style="34" customWidth="1"/>
    <col min="9" max="9" width="19.5546875" style="34" bestFit="1" customWidth="1"/>
    <col min="10" max="10" width="14.6640625" style="34" customWidth="1"/>
    <col min="11" max="11" width="1.5546875" style="34" customWidth="1"/>
    <col min="12" max="12" width="16" style="34" hidden="1" customWidth="1" outlineLevel="1"/>
    <col min="13" max="13" width="25.5546875" style="34" hidden="1" customWidth="1" outlineLevel="1"/>
    <col min="14" max="14" width="7" style="34" hidden="1" customWidth="1" outlineLevel="1"/>
    <col min="15" max="15" width="6.5546875" style="34" bestFit="1" customWidth="1" collapsed="1"/>
    <col min="16" max="16" width="15" style="34" customWidth="1"/>
    <col min="17" max="17" width="14.5546875" style="34" customWidth="1"/>
    <col min="18" max="19" width="14" customWidth="1"/>
    <col min="20" max="20" width="15" customWidth="1"/>
    <col min="21" max="21" width="15.5546875" style="34" bestFit="1" customWidth="1"/>
    <col min="22" max="22" width="9.33203125" style="34" bestFit="1" customWidth="1"/>
    <col min="23" max="16384" width="9.109375" style="34"/>
  </cols>
  <sheetData>
    <row r="1" spans="1:22" x14ac:dyDescent="0.25">
      <c r="D1" s="65" t="s">
        <v>134</v>
      </c>
      <c r="F1" s="56" t="s">
        <v>134</v>
      </c>
      <c r="I1" s="49" t="s">
        <v>136</v>
      </c>
      <c r="J1" s="31" t="s">
        <v>630</v>
      </c>
    </row>
    <row r="2" spans="1:22" x14ac:dyDescent="0.25">
      <c r="A2" s="31" t="s">
        <v>129</v>
      </c>
      <c r="B2" s="31"/>
      <c r="C2" s="129" t="s">
        <v>132</v>
      </c>
      <c r="D2" s="49" t="s">
        <v>164</v>
      </c>
      <c r="E2" s="49" t="s">
        <v>134</v>
      </c>
      <c r="F2" s="49" t="s">
        <v>135</v>
      </c>
      <c r="G2" s="31" t="s">
        <v>136</v>
      </c>
      <c r="H2" s="308" t="s">
        <v>822</v>
      </c>
      <c r="I2" s="49" t="s">
        <v>164</v>
      </c>
      <c r="J2" s="31" t="s">
        <v>631</v>
      </c>
    </row>
    <row r="3" spans="1:22" x14ac:dyDescent="0.25">
      <c r="A3" s="99" t="s">
        <v>130</v>
      </c>
      <c r="B3" s="99" t="s">
        <v>131</v>
      </c>
      <c r="C3" s="130" t="s">
        <v>133</v>
      </c>
      <c r="D3" s="100" t="s">
        <v>165</v>
      </c>
      <c r="E3" s="100" t="s">
        <v>135</v>
      </c>
      <c r="F3" s="100" t="s">
        <v>810</v>
      </c>
      <c r="G3" s="99" t="s">
        <v>135</v>
      </c>
      <c r="H3" s="99" t="s">
        <v>135</v>
      </c>
      <c r="I3" s="50" t="s">
        <v>632</v>
      </c>
      <c r="J3" s="50" t="s">
        <v>633</v>
      </c>
    </row>
    <row r="4" spans="1:22" x14ac:dyDescent="0.25">
      <c r="A4" s="99"/>
      <c r="B4" s="99"/>
      <c r="C4" s="130"/>
      <c r="D4" s="100"/>
      <c r="E4" s="100"/>
      <c r="F4" s="100"/>
      <c r="G4" s="99"/>
      <c r="H4" s="99"/>
    </row>
    <row r="5" spans="1:22" x14ac:dyDescent="0.25">
      <c r="A5" s="924" t="s">
        <v>122</v>
      </c>
      <c r="B5" s="924"/>
      <c r="C5" s="924"/>
      <c r="D5" s="924"/>
      <c r="E5" s="924"/>
      <c r="F5" s="924"/>
      <c r="G5" s="924"/>
      <c r="H5" s="924"/>
      <c r="I5" s="924"/>
      <c r="J5" s="924"/>
    </row>
    <row r="6" spans="1:22" x14ac:dyDescent="0.25">
      <c r="A6" s="103"/>
      <c r="B6" s="103"/>
      <c r="C6" s="131"/>
      <c r="D6" s="103"/>
      <c r="E6" s="141"/>
      <c r="F6" s="141"/>
      <c r="G6" s="103"/>
      <c r="H6" s="309"/>
      <c r="N6" s="310"/>
    </row>
    <row r="7" spans="1:22" x14ac:dyDescent="0.25">
      <c r="A7" s="9"/>
      <c r="B7" s="105" t="s">
        <v>461</v>
      </c>
      <c r="C7" s="139"/>
      <c r="D7" s="104"/>
      <c r="E7" s="142"/>
      <c r="F7" s="142"/>
      <c r="G7" s="104"/>
      <c r="H7" s="104"/>
      <c r="I7" s="104"/>
      <c r="J7" s="104"/>
      <c r="K7" s="106"/>
      <c r="L7" s="104"/>
      <c r="M7" s="104"/>
      <c r="N7" s="107"/>
      <c r="O7" s="107"/>
      <c r="P7" s="107"/>
      <c r="Q7" s="107"/>
      <c r="U7" s="104"/>
      <c r="V7" s="108"/>
    </row>
    <row r="8" spans="1:22" x14ac:dyDescent="0.25">
      <c r="A8" s="9"/>
      <c r="B8" s="109"/>
      <c r="C8" s="132"/>
      <c r="D8" s="104"/>
      <c r="E8" s="72"/>
      <c r="F8" s="72"/>
      <c r="G8" s="107"/>
      <c r="H8" s="107"/>
      <c r="I8" s="107"/>
      <c r="J8" s="107"/>
      <c r="K8" s="107"/>
      <c r="L8" s="108"/>
    </row>
    <row r="9" spans="1:22" x14ac:dyDescent="0.25">
      <c r="A9" s="110">
        <v>311</v>
      </c>
      <c r="B9" s="111" t="s">
        <v>2</v>
      </c>
      <c r="C9" s="133"/>
      <c r="D9" s="313"/>
      <c r="E9" s="95"/>
      <c r="F9" s="95"/>
      <c r="G9" s="112"/>
      <c r="H9" s="112"/>
      <c r="I9" s="112"/>
      <c r="J9" s="112"/>
      <c r="K9" s="112"/>
      <c r="L9" s="104"/>
    </row>
    <row r="10" spans="1:22" x14ac:dyDescent="0.25">
      <c r="A10" s="110"/>
      <c r="B10" s="113" t="s">
        <v>462</v>
      </c>
      <c r="C10" s="134">
        <f>'Elec Study Rpt'!K24</f>
        <v>9209467.8399999999</v>
      </c>
      <c r="D10" s="313">
        <v>158017.53</v>
      </c>
      <c r="E10" s="72">
        <v>1.74</v>
      </c>
      <c r="F10" s="231">
        <v>1.7399999999999999E-2</v>
      </c>
      <c r="G10" s="231">
        <f>'Elec Study Rpt'!V24</f>
        <v>5.7838598006533966E-2</v>
      </c>
      <c r="H10" s="231">
        <f>G10/F10</f>
        <v>3.3240573566973546</v>
      </c>
      <c r="I10" s="917">
        <f>'Elec Study Rpt'!Q24</f>
        <v>532662.70825186267</v>
      </c>
      <c r="J10" s="313">
        <f>I10-D10</f>
        <v>374645.17825186264</v>
      </c>
      <c r="K10" s="144"/>
      <c r="L10" s="205">
        <f>SUM(J10:J11)+J14</f>
        <v>2095216.5997631354</v>
      </c>
      <c r="M10" s="202" t="s">
        <v>656</v>
      </c>
    </row>
    <row r="11" spans="1:22" x14ac:dyDescent="0.25">
      <c r="A11" s="110"/>
      <c r="B11" s="113" t="s">
        <v>463</v>
      </c>
      <c r="C11" s="134">
        <f>'Elec Study Rpt'!K25</f>
        <v>4336957.28</v>
      </c>
      <c r="D11" s="313">
        <v>55819.32</v>
      </c>
      <c r="E11" s="72">
        <v>1.32</v>
      </c>
      <c r="F11" s="231">
        <v>1.3200000000000002E-2</v>
      </c>
      <c r="G11" s="231">
        <f>'Elec Study Rpt'!V25</f>
        <v>5.9095958832762967E-2</v>
      </c>
      <c r="H11" s="231">
        <f t="shared" ref="H11:H18" si="0">G11/F11</f>
        <v>4.476966578239618</v>
      </c>
      <c r="I11" s="917">
        <f>'Elec Study Rpt'!Q25</f>
        <v>256296.64887833167</v>
      </c>
      <c r="J11" s="313">
        <f>I11-D11</f>
        <v>200477.32887833167</v>
      </c>
      <c r="L11" s="203">
        <f>SUM(J12:J13)+J15</f>
        <v>2481600.3468557019</v>
      </c>
      <c r="M11" s="201" t="s">
        <v>657</v>
      </c>
    </row>
    <row r="12" spans="1:22" x14ac:dyDescent="0.25">
      <c r="A12" s="110"/>
      <c r="B12" s="113" t="s">
        <v>464</v>
      </c>
      <c r="C12" s="134">
        <f>'Elec Study Rpt'!K26</f>
        <v>29664979.16</v>
      </c>
      <c r="D12" s="313">
        <v>394296.39</v>
      </c>
      <c r="E12" s="72">
        <v>1.33</v>
      </c>
      <c r="F12" s="231">
        <v>1.3300000000000001E-2</v>
      </c>
      <c r="G12" s="918">
        <f>'Col 3&amp;4 2027'!S12/100</f>
        <v>3.4099999999999998E-2</v>
      </c>
      <c r="H12" s="231">
        <f t="shared" si="0"/>
        <v>2.5639097744360897</v>
      </c>
      <c r="I12" s="313">
        <f t="shared" ref="I12:I20" si="1">D12*H12</f>
        <v>1010940.3683458645</v>
      </c>
      <c r="J12" s="313">
        <f t="shared" ref="J12:J20" si="2">I12-D12</f>
        <v>616643.97834586445</v>
      </c>
      <c r="L12" s="143">
        <f>J16</f>
        <v>254.79109479298609</v>
      </c>
      <c r="M12" s="113" t="s">
        <v>468</v>
      </c>
    </row>
    <row r="13" spans="1:22" x14ac:dyDescent="0.25">
      <c r="A13" s="110"/>
      <c r="B13" s="113" t="s">
        <v>465</v>
      </c>
      <c r="C13" s="134">
        <f>'Elec Study Rpt'!K27</f>
        <v>27862834.57</v>
      </c>
      <c r="D13" s="313">
        <v>394869.37</v>
      </c>
      <c r="E13" s="72">
        <v>1.42</v>
      </c>
      <c r="F13" s="231">
        <v>1.4199999999999999E-2</v>
      </c>
      <c r="G13" s="918">
        <f>'Col 3&amp;4 2027'!S13/100</f>
        <v>3.6799999999999999E-2</v>
      </c>
      <c r="H13" s="231">
        <f t="shared" si="0"/>
        <v>2.591549295774648</v>
      </c>
      <c r="I13" s="313">
        <f t="shared" si="1"/>
        <v>1023323.4377464789</v>
      </c>
      <c r="J13" s="313">
        <f t="shared" si="2"/>
        <v>628454.06774647895</v>
      </c>
      <c r="L13" s="143">
        <f>J17</f>
        <v>-4764.496083866663</v>
      </c>
      <c r="M13" s="113" t="s">
        <v>469</v>
      </c>
    </row>
    <row r="14" spans="1:22" x14ac:dyDescent="0.25">
      <c r="A14" s="110"/>
      <c r="B14" s="113" t="s">
        <v>466</v>
      </c>
      <c r="C14" s="134">
        <f>'Elec Study Rpt'!K28</f>
        <v>30934199.879999999</v>
      </c>
      <c r="D14" s="313">
        <v>307992.11000000004</v>
      </c>
      <c r="E14" s="72">
        <v>1.23</v>
      </c>
      <c r="F14" s="231">
        <v>1.23E-2</v>
      </c>
      <c r="G14" s="231">
        <f>'Elec Study Rpt'!V28</f>
        <v>5.9095958832762967E-2</v>
      </c>
      <c r="H14" s="231">
        <f t="shared" si="0"/>
        <v>4.8045494985986155</v>
      </c>
      <c r="I14" s="917">
        <f>'Elec Study Rpt'!Q28</f>
        <v>1828086.2026329411</v>
      </c>
      <c r="J14" s="313">
        <f t="shared" si="2"/>
        <v>1520094.092632941</v>
      </c>
      <c r="L14" s="143">
        <f>J18</f>
        <v>-611.26595843419818</v>
      </c>
      <c r="M14" s="113" t="s">
        <v>470</v>
      </c>
    </row>
    <row r="15" spans="1:22" x14ac:dyDescent="0.25">
      <c r="A15" s="110"/>
      <c r="B15" s="113" t="s">
        <v>467</v>
      </c>
      <c r="C15" s="134">
        <f>'Elec Study Rpt'!K29</f>
        <v>70065640.599999994</v>
      </c>
      <c r="D15" s="313">
        <v>870869.89999999991</v>
      </c>
      <c r="E15" s="72">
        <v>1.31</v>
      </c>
      <c r="F15" s="231">
        <v>1.3100000000000001E-2</v>
      </c>
      <c r="G15" s="918">
        <f>'Col 3&amp;4 2027'!S14/100</f>
        <v>3.1699999999999999E-2</v>
      </c>
      <c r="H15" s="231">
        <f t="shared" si="0"/>
        <v>2.4198473282442747</v>
      </c>
      <c r="I15" s="313">
        <f t="shared" si="1"/>
        <v>2107372.2007633583</v>
      </c>
      <c r="J15" s="313">
        <f t="shared" si="2"/>
        <v>1236502.3007633584</v>
      </c>
      <c r="L15" s="143">
        <f>J19</f>
        <v>-3565.1801931984883</v>
      </c>
      <c r="M15" s="113" t="s">
        <v>471</v>
      </c>
    </row>
    <row r="16" spans="1:22" x14ac:dyDescent="0.25">
      <c r="A16" s="110"/>
      <c r="B16" s="113" t="s">
        <v>468</v>
      </c>
      <c r="C16" s="134">
        <f>'Elec Study Rpt'!K30</f>
        <v>403636</v>
      </c>
      <c r="D16" s="313">
        <v>869.47000000000139</v>
      </c>
      <c r="E16" s="72">
        <v>3.18</v>
      </c>
      <c r="F16" s="231">
        <v>3.1800000000000002E-2</v>
      </c>
      <c r="G16" s="231">
        <f>'Elec Study Rpt'!V30</f>
        <v>4.1118730737595262E-2</v>
      </c>
      <c r="H16" s="231">
        <f t="shared" si="0"/>
        <v>1.2930418470941905</v>
      </c>
      <c r="I16" s="313">
        <f t="shared" si="1"/>
        <v>1124.2610947929875</v>
      </c>
      <c r="J16" s="313">
        <f t="shared" si="2"/>
        <v>254.79109479298609</v>
      </c>
      <c r="L16" s="143">
        <f>J20</f>
        <v>4698.041719595989</v>
      </c>
      <c r="M16" s="113" t="s">
        <v>472</v>
      </c>
    </row>
    <row r="17" spans="1:14" x14ac:dyDescent="0.25">
      <c r="A17" s="110"/>
      <c r="B17" s="113" t="s">
        <v>469</v>
      </c>
      <c r="C17" s="134">
        <f>'Elec Study Rpt'!K31</f>
        <v>2131451.9700000002</v>
      </c>
      <c r="D17" s="313">
        <v>33037.44000000001</v>
      </c>
      <c r="E17" s="72">
        <v>1.55</v>
      </c>
      <c r="F17" s="231">
        <v>1.5500000000000002E-2</v>
      </c>
      <c r="G17" s="231">
        <f>'Elec Study Rpt'!V31</f>
        <v>1.3264666714493218E-2</v>
      </c>
      <c r="H17" s="231">
        <f t="shared" si="0"/>
        <v>0.855784949322143</v>
      </c>
      <c r="I17" s="313">
        <f t="shared" si="1"/>
        <v>28272.943916133347</v>
      </c>
      <c r="J17" s="313">
        <f t="shared" si="2"/>
        <v>-4764.496083866663</v>
      </c>
    </row>
    <row r="18" spans="1:14" x14ac:dyDescent="0.25">
      <c r="A18" s="110"/>
      <c r="B18" s="113" t="s">
        <v>470</v>
      </c>
      <c r="C18" s="134">
        <f>'Elec Study Rpt'!K32</f>
        <v>458042</v>
      </c>
      <c r="D18" s="313">
        <v>12819.240000000003</v>
      </c>
      <c r="E18" s="72">
        <v>2.7987099999999998</v>
      </c>
      <c r="F18" s="231">
        <v>2.7987099999999997E-2</v>
      </c>
      <c r="G18" s="231">
        <f>'Elec Study Rpt'!V32</f>
        <v>2.6652577711214254E-2</v>
      </c>
      <c r="H18" s="231">
        <f t="shared" si="0"/>
        <v>0.9523165212263599</v>
      </c>
      <c r="I18" s="313">
        <f t="shared" si="1"/>
        <v>12207.974041565805</v>
      </c>
      <c r="J18" s="313">
        <f t="shared" si="2"/>
        <v>-611.26595843419818</v>
      </c>
    </row>
    <row r="19" spans="1:14" x14ac:dyDescent="0.25">
      <c r="A19" s="110"/>
      <c r="B19" s="113" t="s">
        <v>471</v>
      </c>
      <c r="C19" s="134">
        <f>'Elec Study Rpt'!K33</f>
        <v>1492711.69</v>
      </c>
      <c r="D19" s="313">
        <v>25973.160000000003</v>
      </c>
      <c r="E19" s="72">
        <v>1.74</v>
      </c>
      <c r="F19" s="231">
        <v>1.7399999999999999E-2</v>
      </c>
      <c r="G19" s="231">
        <f>'Elec Study Rpt'!V33</f>
        <v>1.501160615952569E-2</v>
      </c>
      <c r="H19" s="231">
        <f>G19/F19</f>
        <v>0.86273598617963743</v>
      </c>
      <c r="I19" s="313">
        <f t="shared" si="1"/>
        <v>22407.979806801515</v>
      </c>
      <c r="J19" s="313">
        <f t="shared" si="2"/>
        <v>-3565.1801931984883</v>
      </c>
    </row>
    <row r="20" spans="1:14" x14ac:dyDescent="0.25">
      <c r="A20" s="110"/>
      <c r="B20" s="113" t="s">
        <v>472</v>
      </c>
      <c r="C20" s="135">
        <f>'Elec Study Rpt'!K34</f>
        <v>571513.38</v>
      </c>
      <c r="D20" s="314">
        <v>8598</v>
      </c>
      <c r="E20" s="72">
        <v>1.5044219999999999</v>
      </c>
      <c r="F20" s="232">
        <v>1.5044219999999999E-2</v>
      </c>
      <c r="G20" s="232">
        <f>'Elec Study Rpt'!V34</f>
        <v>2.3264547192228466E-2</v>
      </c>
      <c r="H20" s="232">
        <f>G20/F20</f>
        <v>1.5464109932072563</v>
      </c>
      <c r="I20" s="314">
        <f t="shared" si="1"/>
        <v>13296.041719595989</v>
      </c>
      <c r="J20" s="314">
        <f t="shared" si="2"/>
        <v>4698.041719595989</v>
      </c>
      <c r="L20" s="149"/>
    </row>
    <row r="21" spans="1:14" x14ac:dyDescent="0.25">
      <c r="A21" s="110"/>
      <c r="B21" s="113"/>
      <c r="C21" s="134"/>
      <c r="D21" s="9"/>
      <c r="E21" s="72"/>
      <c r="F21" s="231"/>
      <c r="G21" s="231"/>
      <c r="H21" s="231"/>
      <c r="I21" s="9"/>
      <c r="J21" s="9"/>
    </row>
    <row r="22" spans="1:14" x14ac:dyDescent="0.25">
      <c r="A22" s="110"/>
      <c r="B22" s="115" t="s">
        <v>428</v>
      </c>
      <c r="C22" s="134">
        <f>+SUBTOTAL(9,C10:C20)</f>
        <v>177131434.36999997</v>
      </c>
      <c r="D22" s="134">
        <f>+SUBTOTAL(9,D10:D20)</f>
        <v>2263161.9300000006</v>
      </c>
      <c r="E22" s="317">
        <f>D22/C22</f>
        <v>1.2776738008413616E-2</v>
      </c>
      <c r="F22" s="231">
        <f>D22/C22</f>
        <v>1.2776738008413616E-2</v>
      </c>
      <c r="G22" s="231">
        <f>I22/C22</f>
        <v>3.85927590521195E-2</v>
      </c>
      <c r="H22" s="231">
        <f t="shared" ref="H22" si="3">G22/F22</f>
        <v>3.020548674216045</v>
      </c>
      <c r="I22" s="134">
        <f>+SUBTOTAL(9,I10:I20)</f>
        <v>6835990.7671977272</v>
      </c>
      <c r="J22" s="134">
        <f>+SUBTOTAL(9,J10:J20)</f>
        <v>4572828.8371977266</v>
      </c>
      <c r="K22" s="128">
        <f>H22*D22-I22</f>
        <v>0</v>
      </c>
      <c r="L22" s="143">
        <f>SUM(L10:L21)</f>
        <v>4572828.8371977266</v>
      </c>
      <c r="M22" s="143">
        <f>J22-L22</f>
        <v>0</v>
      </c>
      <c r="N22" s="204" t="s">
        <v>658</v>
      </c>
    </row>
    <row r="23" spans="1:14" x14ac:dyDescent="0.25">
      <c r="A23" s="110"/>
      <c r="B23" s="134"/>
      <c r="C23" s="134"/>
      <c r="D23" s="9"/>
      <c r="E23" s="72"/>
      <c r="F23" s="114"/>
      <c r="G23" s="114"/>
      <c r="H23" s="114"/>
      <c r="I23" s="312"/>
      <c r="J23" s="318"/>
      <c r="K23" s="147"/>
    </row>
    <row r="24" spans="1:14" x14ac:dyDescent="0.25">
      <c r="A24" s="110">
        <v>312</v>
      </c>
      <c r="B24" s="113" t="s">
        <v>3</v>
      </c>
      <c r="C24" s="134"/>
      <c r="D24" s="9"/>
      <c r="E24" s="72"/>
      <c r="F24" s="114"/>
      <c r="G24" s="114"/>
      <c r="H24" s="114"/>
      <c r="I24" s="9"/>
      <c r="J24" s="9"/>
      <c r="K24" s="147"/>
    </row>
    <row r="25" spans="1:14" x14ac:dyDescent="0.25">
      <c r="A25" s="110"/>
      <c r="B25" s="113" t="s">
        <v>473</v>
      </c>
      <c r="C25" s="134">
        <f>'Elec Study Rpt'!K39</f>
        <v>88145747.640000001</v>
      </c>
      <c r="D25" s="313">
        <v>1456233.61</v>
      </c>
      <c r="E25" s="72">
        <v>1.69</v>
      </c>
      <c r="F25" s="231">
        <v>1.6899999999999998E-2</v>
      </c>
      <c r="G25" s="231">
        <f>'Elec Study Rpt'!V39</f>
        <v>5.7838598006533973E-2</v>
      </c>
      <c r="H25" s="231">
        <f t="shared" ref="H25:H36" si="4">G25/F25</f>
        <v>3.422402248907336</v>
      </c>
      <c r="I25" s="917">
        <f>'Elec Study Rpt'!Q39</f>
        <v>5098226.4637353504</v>
      </c>
      <c r="J25" s="313">
        <f>I25-D25</f>
        <v>3641992.8537353501</v>
      </c>
      <c r="K25" s="147"/>
    </row>
    <row r="26" spans="1:14" x14ac:dyDescent="0.25">
      <c r="A26" s="110"/>
      <c r="B26" s="113" t="s">
        <v>474</v>
      </c>
      <c r="C26" s="134">
        <f>'Elec Study Rpt'!K40</f>
        <v>88368523.219999999</v>
      </c>
      <c r="D26" s="313">
        <v>1564008.6400000001</v>
      </c>
      <c r="E26" s="72">
        <v>1.78</v>
      </c>
      <c r="F26" s="231">
        <v>1.78E-2</v>
      </c>
      <c r="G26" s="231">
        <f>'Elec Study Rpt'!V40</f>
        <v>5.9095958832762967E-2</v>
      </c>
      <c r="H26" s="231">
        <f t="shared" si="4"/>
        <v>3.3199976872338746</v>
      </c>
      <c r="I26" s="917">
        <f>'Elec Study Rpt'!Q40</f>
        <v>5222222.6103211781</v>
      </c>
      <c r="J26" s="313">
        <f t="shared" ref="J26:J35" si="5">I26-D26</f>
        <v>3658213.970321178</v>
      </c>
      <c r="K26" s="147"/>
    </row>
    <row r="27" spans="1:14" x14ac:dyDescent="0.25">
      <c r="A27" s="110"/>
      <c r="B27" s="113" t="s">
        <v>475</v>
      </c>
      <c r="C27" s="134">
        <f>'Elec Study Rpt'!K41</f>
        <v>137645881.58000001</v>
      </c>
      <c r="D27" s="313">
        <v>1974272.8600000003</v>
      </c>
      <c r="E27" s="72">
        <v>1.44</v>
      </c>
      <c r="F27" s="231">
        <v>1.44E-2</v>
      </c>
      <c r="G27" s="918">
        <f>'Col 3&amp;4 2027'!S15/100</f>
        <v>4.2000000000000003E-2</v>
      </c>
      <c r="H27" s="231">
        <f t="shared" si="4"/>
        <v>2.916666666666667</v>
      </c>
      <c r="I27" s="313">
        <f t="shared" ref="I27:I36" si="6">D27*H27</f>
        <v>5758295.8416666687</v>
      </c>
      <c r="J27" s="313">
        <f t="shared" si="5"/>
        <v>3784022.9816666683</v>
      </c>
      <c r="K27" s="147"/>
    </row>
    <row r="28" spans="1:14" x14ac:dyDescent="0.25">
      <c r="A28" s="110"/>
      <c r="B28" s="113" t="s">
        <v>476</v>
      </c>
      <c r="C28" s="134">
        <f>'Elec Study Rpt'!K42</f>
        <v>126930413.23</v>
      </c>
      <c r="D28" s="313">
        <v>1998527.3800000004</v>
      </c>
      <c r="E28" s="72">
        <v>1.64</v>
      </c>
      <c r="F28" s="231">
        <v>1.6399999999999998E-2</v>
      </c>
      <c r="G28" s="918">
        <f>'Col 3&amp;4 2027'!S16/100</f>
        <v>4.7E-2</v>
      </c>
      <c r="H28" s="231">
        <f t="shared" si="4"/>
        <v>2.8658536585365857</v>
      </c>
      <c r="I28" s="313">
        <f t="shared" si="6"/>
        <v>5727487.0036585387</v>
      </c>
      <c r="J28" s="313">
        <f t="shared" si="5"/>
        <v>3728959.6236585383</v>
      </c>
      <c r="K28" s="147"/>
    </row>
    <row r="29" spans="1:14" x14ac:dyDescent="0.25">
      <c r="A29" s="110"/>
      <c r="B29" s="113" t="s">
        <v>477</v>
      </c>
      <c r="C29" s="134">
        <f>'Elec Study Rpt'!K43</f>
        <v>6043572.0999999996</v>
      </c>
      <c r="D29" s="313">
        <v>77059.790000000008</v>
      </c>
      <c r="E29" s="72">
        <v>1.27</v>
      </c>
      <c r="F29" s="231">
        <v>1.2700000000000001E-2</v>
      </c>
      <c r="G29" s="231">
        <f>'Elec Study Rpt'!V43</f>
        <v>5.9095958832762974E-2</v>
      </c>
      <c r="H29" s="231">
        <f t="shared" si="4"/>
        <v>4.6532251049419662</v>
      </c>
      <c r="I29" s="917">
        <f>'Elec Study Rpt'!Q43</f>
        <v>357150.68802443484</v>
      </c>
      <c r="J29" s="313">
        <f t="shared" si="5"/>
        <v>280090.89802443481</v>
      </c>
      <c r="K29" s="147"/>
      <c r="L29" s="143">
        <f>J31</f>
        <v>-336146.98686799861</v>
      </c>
      <c r="M29" s="113" t="s">
        <v>479</v>
      </c>
    </row>
    <row r="30" spans="1:14" x14ac:dyDescent="0.25">
      <c r="A30" s="110"/>
      <c r="B30" s="111" t="s">
        <v>478</v>
      </c>
      <c r="C30" s="134">
        <f>'Elec Study Rpt'!K44</f>
        <v>15254041.73</v>
      </c>
      <c r="D30" s="313">
        <v>228489.08000000002</v>
      </c>
      <c r="E30" s="72">
        <v>1.49</v>
      </c>
      <c r="F30" s="231">
        <v>1.49E-2</v>
      </c>
      <c r="G30" s="918">
        <f>'Col 3&amp;4 2027'!S17/100</f>
        <v>4.0800000000000003E-2</v>
      </c>
      <c r="H30" s="231">
        <f t="shared" si="4"/>
        <v>2.738255033557047</v>
      </c>
      <c r="I30" s="313">
        <f t="shared" si="6"/>
        <v>625661.37342281884</v>
      </c>
      <c r="J30" s="313">
        <f t="shared" si="5"/>
        <v>397172.29342281882</v>
      </c>
      <c r="K30" s="147"/>
      <c r="L30" s="205">
        <f>SUM(J25:J26)+J29</f>
        <v>7580297.7220809637</v>
      </c>
      <c r="M30" s="202" t="s">
        <v>656</v>
      </c>
    </row>
    <row r="31" spans="1:14" x14ac:dyDescent="0.25">
      <c r="A31" s="110"/>
      <c r="B31" s="113" t="s">
        <v>479</v>
      </c>
      <c r="C31" s="134">
        <f>'Elec Study Rpt'!K45</f>
        <v>42923481.280000001</v>
      </c>
      <c r="D31" s="313">
        <v>1025458.71</v>
      </c>
      <c r="E31" s="72">
        <v>2.39</v>
      </c>
      <c r="F31" s="231">
        <v>2.3900000000000001E-2</v>
      </c>
      <c r="G31" s="231">
        <f>'Elec Study Rpt'!V45</f>
        <v>1.6065542202917983E-2</v>
      </c>
      <c r="H31" s="231">
        <f t="shared" si="4"/>
        <v>0.67219841853213314</v>
      </c>
      <c r="I31" s="313">
        <f t="shared" si="6"/>
        <v>689311.72313200135</v>
      </c>
      <c r="J31" s="313">
        <f t="shared" si="5"/>
        <v>-336146.98686799861</v>
      </c>
      <c r="K31" s="147"/>
      <c r="L31" s="203">
        <f>SUM(J27:J28)+J30</f>
        <v>7910154.8987480262</v>
      </c>
      <c r="M31" s="201" t="s">
        <v>657</v>
      </c>
    </row>
    <row r="32" spans="1:14" x14ac:dyDescent="0.25">
      <c r="A32" s="110"/>
      <c r="B32" s="113" t="s">
        <v>468</v>
      </c>
      <c r="C32" s="134">
        <f>'Elec Study Rpt'!K46</f>
        <v>18138531.280000001</v>
      </c>
      <c r="D32" s="313">
        <v>581257.71</v>
      </c>
      <c r="E32" s="72">
        <v>3.34</v>
      </c>
      <c r="F32" s="231">
        <v>3.3399999999999999E-2</v>
      </c>
      <c r="G32" s="231">
        <f>'Elec Study Rpt'!V46</f>
        <v>2.7000256660251489E-2</v>
      </c>
      <c r="H32" s="231">
        <f t="shared" si="4"/>
        <v>0.80839091797160145</v>
      </c>
      <c r="I32" s="313">
        <f t="shared" si="6"/>
        <v>469883.45376497088</v>
      </c>
      <c r="J32" s="313">
        <f t="shared" si="5"/>
        <v>-111374.25623502908</v>
      </c>
      <c r="K32" s="147"/>
      <c r="L32" s="143">
        <f>J32</f>
        <v>-111374.25623502908</v>
      </c>
      <c r="M32" s="113" t="s">
        <v>468</v>
      </c>
    </row>
    <row r="33" spans="1:14" x14ac:dyDescent="0.25">
      <c r="A33" s="110"/>
      <c r="B33" s="113" t="s">
        <v>469</v>
      </c>
      <c r="C33" s="134">
        <f>'Elec Study Rpt'!K47</f>
        <v>86173649.709999993</v>
      </c>
      <c r="D33" s="313">
        <v>1338447.2600000002</v>
      </c>
      <c r="E33" s="72">
        <v>1.55</v>
      </c>
      <c r="F33" s="231">
        <v>1.5500000000000002E-2</v>
      </c>
      <c r="G33" s="231">
        <f>'Elec Study Rpt'!V47</f>
        <v>1.060904351941252E-2</v>
      </c>
      <c r="H33" s="231">
        <f t="shared" si="4"/>
        <v>0.68445442060725925</v>
      </c>
      <c r="I33" s="313">
        <f t="shared" si="6"/>
        <v>916106.14385667385</v>
      </c>
      <c r="J33" s="313">
        <f t="shared" si="5"/>
        <v>-422341.11614332639</v>
      </c>
      <c r="K33" s="147"/>
      <c r="L33" s="143">
        <f>J33</f>
        <v>-422341.11614332639</v>
      </c>
      <c r="M33" s="113" t="s">
        <v>469</v>
      </c>
    </row>
    <row r="34" spans="1:14" x14ac:dyDescent="0.25">
      <c r="A34" s="110"/>
      <c r="B34" s="113" t="s">
        <v>470</v>
      </c>
      <c r="C34" s="134">
        <f>'Elec Study Rpt'!K48</f>
        <v>26297846.77</v>
      </c>
      <c r="D34" s="313">
        <v>736000.44000000006</v>
      </c>
      <c r="E34" s="72">
        <v>2.7987099999999998</v>
      </c>
      <c r="F34" s="231">
        <v>2.7987099999999997E-2</v>
      </c>
      <c r="G34" s="231">
        <f>'Elec Study Rpt'!V48</f>
        <v>3.2739828759752107E-2</v>
      </c>
      <c r="H34" s="231">
        <f t="shared" si="4"/>
        <v>1.1698185506805674</v>
      </c>
      <c r="I34" s="313">
        <f t="shared" si="6"/>
        <v>860986.96802105999</v>
      </c>
      <c r="J34" s="313">
        <f t="shared" si="5"/>
        <v>124986.52802105993</v>
      </c>
      <c r="K34" s="147"/>
      <c r="L34" s="143">
        <f>J34</f>
        <v>124986.52802105993</v>
      </c>
      <c r="M34" s="113" t="s">
        <v>470</v>
      </c>
    </row>
    <row r="35" spans="1:14" x14ac:dyDescent="0.25">
      <c r="A35" s="110"/>
      <c r="B35" s="113" t="s">
        <v>471</v>
      </c>
      <c r="C35" s="134">
        <f>'Elec Study Rpt'!K49</f>
        <v>15704258.640000001</v>
      </c>
      <c r="D35" s="313">
        <v>273254.15999999997</v>
      </c>
      <c r="E35" s="72">
        <v>1.74</v>
      </c>
      <c r="F35" s="231">
        <v>1.7399999999999999E-2</v>
      </c>
      <c r="G35" s="231">
        <f>'Elec Study Rpt'!V49</f>
        <v>1.00400791667043E-2</v>
      </c>
      <c r="H35" s="231">
        <f t="shared" si="4"/>
        <v>0.57701604406346552</v>
      </c>
      <c r="I35" s="313">
        <f t="shared" si="6"/>
        <v>157672.03442708525</v>
      </c>
      <c r="J35" s="313">
        <f t="shared" si="5"/>
        <v>-115582.12557291472</v>
      </c>
      <c r="K35" s="147"/>
      <c r="L35" s="143">
        <f>J35</f>
        <v>-115582.12557291472</v>
      </c>
      <c r="M35" s="113" t="s">
        <v>471</v>
      </c>
    </row>
    <row r="36" spans="1:14" x14ac:dyDescent="0.25">
      <c r="A36" s="110"/>
      <c r="B36" s="111" t="s">
        <v>472</v>
      </c>
      <c r="C36" s="135">
        <f>'Elec Study Rpt'!K50</f>
        <v>44686467.799999997</v>
      </c>
      <c r="D36" s="314">
        <v>672273.12</v>
      </c>
      <c r="E36" s="72">
        <v>1.5044200000000001</v>
      </c>
      <c r="F36" s="232">
        <v>1.5044200000000001E-2</v>
      </c>
      <c r="G36" s="232">
        <f>'Elec Study Rpt'!V50</f>
        <v>2.119717772815331E-2</v>
      </c>
      <c r="H36" s="232">
        <f t="shared" si="4"/>
        <v>1.4089933481443553</v>
      </c>
      <c r="I36" s="314">
        <f t="shared" si="6"/>
        <v>947228.35421625199</v>
      </c>
      <c r="J36" s="314">
        <f>I36-D36</f>
        <v>274955.23421625199</v>
      </c>
      <c r="K36" s="147"/>
      <c r="L36" s="145">
        <f>J36</f>
        <v>274955.23421625199</v>
      </c>
      <c r="M36" s="113" t="s">
        <v>472</v>
      </c>
    </row>
    <row r="37" spans="1:14" x14ac:dyDescent="0.25">
      <c r="A37" s="110"/>
      <c r="B37" s="111"/>
      <c r="C37" s="134"/>
      <c r="D37" s="9"/>
      <c r="E37" s="72"/>
      <c r="F37" s="114"/>
      <c r="G37" s="114"/>
      <c r="H37" s="114"/>
      <c r="I37" s="9"/>
      <c r="J37" s="9"/>
      <c r="K37" s="147"/>
    </row>
    <row r="38" spans="1:14" x14ac:dyDescent="0.25">
      <c r="A38" s="110"/>
      <c r="B38" s="115" t="s">
        <v>480</v>
      </c>
      <c r="C38" s="134">
        <f>+SUBTOTAL(9,C25:C36)</f>
        <v>696312414.98000002</v>
      </c>
      <c r="D38" s="134">
        <f>+SUBTOTAL(9,D25:D36)</f>
        <v>11925282.76</v>
      </c>
      <c r="E38" s="317">
        <f>D38/C38</f>
        <v>1.7126339418122433E-2</v>
      </c>
      <c r="F38" s="231">
        <f>D38/C38</f>
        <v>1.7126339418122433E-2</v>
      </c>
      <c r="G38" s="231">
        <f>I38/C38</f>
        <v>3.8531888963975566E-2</v>
      </c>
      <c r="H38" s="231">
        <f t="shared" ref="H38" si="7">G38/F38</f>
        <v>2.2498613406670316</v>
      </c>
      <c r="I38" s="134">
        <f t="shared" ref="I38" si="8">+SUBTOTAL(9,I25:I36)</f>
        <v>26830232.658247039</v>
      </c>
      <c r="J38" s="134">
        <f>+SUBTOTAL(9,J25:J36)</f>
        <v>14904949.898247031</v>
      </c>
      <c r="K38" s="128">
        <f>H38*D38-I38</f>
        <v>0</v>
      </c>
      <c r="L38" s="143">
        <f>SUM(L29:L37)</f>
        <v>14904949.898247033</v>
      </c>
      <c r="M38" s="143">
        <f>J38-L38</f>
        <v>0</v>
      </c>
      <c r="N38" s="204" t="s">
        <v>658</v>
      </c>
    </row>
    <row r="39" spans="1:14" x14ac:dyDescent="0.25">
      <c r="A39" s="110"/>
      <c r="B39" s="134"/>
      <c r="C39" s="134"/>
      <c r="D39" s="9"/>
      <c r="E39" s="72"/>
      <c r="F39" s="114"/>
      <c r="G39" s="114"/>
      <c r="H39" s="114"/>
      <c r="I39" s="312"/>
      <c r="J39" s="318"/>
      <c r="K39" s="147"/>
    </row>
    <row r="40" spans="1:14" x14ac:dyDescent="0.25">
      <c r="A40" s="110">
        <v>314</v>
      </c>
      <c r="B40" s="113" t="s">
        <v>481</v>
      </c>
      <c r="C40" s="134"/>
      <c r="D40" s="9"/>
      <c r="E40" s="72"/>
      <c r="F40" s="114"/>
      <c r="G40" s="114"/>
      <c r="H40" s="114"/>
      <c r="I40" s="9"/>
      <c r="J40" s="9"/>
      <c r="K40" s="147"/>
    </row>
    <row r="41" spans="1:14" x14ac:dyDescent="0.25">
      <c r="A41" s="110"/>
      <c r="B41" s="113" t="s">
        <v>482</v>
      </c>
      <c r="C41" s="134">
        <f>'Elec Study Rpt'!K55</f>
        <v>28781740.460000001</v>
      </c>
      <c r="D41" s="313">
        <v>670990.17999999993</v>
      </c>
      <c r="E41" s="72">
        <v>2.36</v>
      </c>
      <c r="F41" s="231">
        <v>2.3599999999999999E-2</v>
      </c>
      <c r="G41" s="231">
        <f>'Elec Study Rpt'!V55</f>
        <v>5.783859800653398E-2</v>
      </c>
      <c r="H41" s="231">
        <f t="shared" ref="H41:H51" si="9">G41/F41</f>
        <v>2.4507880511243214</v>
      </c>
      <c r="I41" s="917">
        <f>'Elec Study Rpt'!Q55</f>
        <v>1664695.5163943344</v>
      </c>
      <c r="J41" s="313">
        <f>I41-D41</f>
        <v>993705.33639433444</v>
      </c>
      <c r="K41" s="147"/>
    </row>
    <row r="42" spans="1:14" x14ac:dyDescent="0.25">
      <c r="A42" s="110"/>
      <c r="B42" s="113" t="s">
        <v>483</v>
      </c>
      <c r="C42" s="134">
        <f>'Elec Study Rpt'!K56</f>
        <v>34145118.659999996</v>
      </c>
      <c r="D42" s="313">
        <v>778116.72000000009</v>
      </c>
      <c r="E42" s="72">
        <v>2.29</v>
      </c>
      <c r="F42" s="231">
        <v>2.29E-2</v>
      </c>
      <c r="G42" s="231">
        <f>'Elec Study Rpt'!V56</f>
        <v>5.9095958832762967E-2</v>
      </c>
      <c r="H42" s="231">
        <f t="shared" si="9"/>
        <v>2.5806095560158502</v>
      </c>
      <c r="I42" s="917">
        <f>'Elec Study Rpt'!Q56</f>
        <v>2017838.5266711663</v>
      </c>
      <c r="J42" s="313">
        <f t="shared" ref="J42:J51" si="10">I42-D42</f>
        <v>1239721.8066711663</v>
      </c>
      <c r="K42" s="147"/>
    </row>
    <row r="43" spans="1:14" x14ac:dyDescent="0.25">
      <c r="A43" s="110"/>
      <c r="B43" s="113" t="s">
        <v>484</v>
      </c>
      <c r="C43" s="134">
        <f>'Elec Study Rpt'!K57</f>
        <v>42228337.039999999</v>
      </c>
      <c r="D43" s="313">
        <v>794063.42999999993</v>
      </c>
      <c r="E43" s="72">
        <v>1.87</v>
      </c>
      <c r="F43" s="231">
        <v>1.8700000000000001E-2</v>
      </c>
      <c r="G43" s="918">
        <f>'Col 3&amp;4 2027'!S18/100</f>
        <v>6.9699999999999998E-2</v>
      </c>
      <c r="H43" s="231">
        <f t="shared" si="9"/>
        <v>3.7272727272727271</v>
      </c>
      <c r="I43" s="313">
        <f t="shared" ref="I43:I50" si="11">D43*H43</f>
        <v>2959690.9663636358</v>
      </c>
      <c r="J43" s="313">
        <f t="shared" si="10"/>
        <v>2165627.5363636361</v>
      </c>
      <c r="K43" s="147"/>
      <c r="L43" s="143">
        <f>J46</f>
        <v>-183090.07230643078</v>
      </c>
      <c r="M43" s="113" t="s">
        <v>479</v>
      </c>
    </row>
    <row r="44" spans="1:14" x14ac:dyDescent="0.25">
      <c r="A44" s="110"/>
      <c r="B44" s="113" t="s">
        <v>485</v>
      </c>
      <c r="C44" s="134">
        <f>'Elec Study Rpt'!K58</f>
        <v>39133170.240000002</v>
      </c>
      <c r="D44" s="313">
        <v>722141.74</v>
      </c>
      <c r="E44" s="72">
        <v>1.92</v>
      </c>
      <c r="F44" s="231">
        <v>1.9199999999999998E-2</v>
      </c>
      <c r="G44" s="918">
        <f>'Col 3&amp;4 2027'!S19/100</f>
        <v>6.6000000000000003E-2</v>
      </c>
      <c r="H44" s="231">
        <f t="shared" si="9"/>
        <v>3.4375000000000004</v>
      </c>
      <c r="I44" s="313">
        <f t="shared" si="11"/>
        <v>2482362.2312500002</v>
      </c>
      <c r="J44" s="313">
        <f t="shared" si="10"/>
        <v>1760220.4912500002</v>
      </c>
      <c r="K44" s="147"/>
      <c r="L44" s="205">
        <f>SUM(J41:J42)+J45</f>
        <v>2411512.7082129596</v>
      </c>
      <c r="M44" s="202" t="s">
        <v>656</v>
      </c>
    </row>
    <row r="45" spans="1:14" x14ac:dyDescent="0.25">
      <c r="A45" s="110"/>
      <c r="B45" s="113" t="s">
        <v>486</v>
      </c>
      <c r="C45" s="134">
        <f>'Elec Study Rpt'!K59</f>
        <v>3813725.5</v>
      </c>
      <c r="D45" s="313">
        <v>47290.19999999999</v>
      </c>
      <c r="E45" s="72">
        <v>1.24</v>
      </c>
      <c r="F45" s="231">
        <v>1.24E-2</v>
      </c>
      <c r="G45" s="231">
        <f>'Elec Study Rpt'!V59</f>
        <v>5.9095958832762967E-2</v>
      </c>
      <c r="H45" s="231">
        <f t="shared" si="9"/>
        <v>4.7658031316744331</v>
      </c>
      <c r="I45" s="917">
        <f>'Elec Study Rpt'!Q59</f>
        <v>225375.76514745835</v>
      </c>
      <c r="J45" s="313">
        <f t="shared" si="10"/>
        <v>178085.56514745837</v>
      </c>
      <c r="K45" s="147"/>
      <c r="L45" s="203">
        <f>SUM(J43:J44)</f>
        <v>3925848.0276136361</v>
      </c>
      <c r="M45" s="201" t="s">
        <v>657</v>
      </c>
    </row>
    <row r="46" spans="1:14" x14ac:dyDescent="0.25">
      <c r="A46" s="110"/>
      <c r="B46" s="113" t="s">
        <v>479</v>
      </c>
      <c r="C46" s="134">
        <f>'Elec Study Rpt'!K60</f>
        <v>20710885.199999999</v>
      </c>
      <c r="D46" s="313">
        <v>492919.08000000013</v>
      </c>
      <c r="E46" s="72">
        <v>2.38</v>
      </c>
      <c r="F46" s="231">
        <v>2.3799999999999998E-2</v>
      </c>
      <c r="G46" s="231">
        <f>'Elec Study Rpt'!V60</f>
        <v>1.4959717897523763E-2</v>
      </c>
      <c r="H46" s="231">
        <f t="shared" si="9"/>
        <v>0.62855957552620856</v>
      </c>
      <c r="I46" s="313">
        <f t="shared" si="11"/>
        <v>309829.00769356935</v>
      </c>
      <c r="J46" s="313">
        <f t="shared" si="10"/>
        <v>-183090.07230643078</v>
      </c>
      <c r="K46" s="147"/>
      <c r="L46" s="143">
        <f>J47</f>
        <v>-61434.783537138312</v>
      </c>
      <c r="M46" s="113" t="s">
        <v>468</v>
      </c>
    </row>
    <row r="47" spans="1:14" x14ac:dyDescent="0.25">
      <c r="A47" s="110"/>
      <c r="B47" s="113" t="s">
        <v>468</v>
      </c>
      <c r="C47" s="134">
        <f>'Elec Study Rpt'!K61</f>
        <v>15800824.039999999</v>
      </c>
      <c r="D47" s="313">
        <v>513526.8000000001</v>
      </c>
      <c r="E47" s="72">
        <v>3.25</v>
      </c>
      <c r="F47" s="231">
        <v>3.2500000000000001E-2</v>
      </c>
      <c r="G47" s="231">
        <f>'Elec Study Rpt'!V61</f>
        <v>2.8611925482843362E-2</v>
      </c>
      <c r="H47" s="231">
        <f t="shared" si="9"/>
        <v>0.88036693793364185</v>
      </c>
      <c r="I47" s="313">
        <f t="shared" si="11"/>
        <v>452092.01646286179</v>
      </c>
      <c r="J47" s="313">
        <f t="shared" si="10"/>
        <v>-61434.783537138312</v>
      </c>
      <c r="K47" s="147"/>
      <c r="L47" s="143">
        <f>J48</f>
        <v>-368584.48676934419</v>
      </c>
      <c r="M47" s="113" t="s">
        <v>469</v>
      </c>
    </row>
    <row r="48" spans="1:14" x14ac:dyDescent="0.25">
      <c r="A48" s="110"/>
      <c r="B48" s="113" t="s">
        <v>469</v>
      </c>
      <c r="C48" s="134">
        <f>'Elec Study Rpt'!K62</f>
        <v>89524456.269999996</v>
      </c>
      <c r="D48" s="313">
        <v>1378664.81</v>
      </c>
      <c r="E48" s="72">
        <v>1.55</v>
      </c>
      <c r="F48" s="231">
        <v>1.5500000000000002E-2</v>
      </c>
      <c r="G48" s="231">
        <f>'Elec Study Rpt'!V62</f>
        <v>1.1356092428351143E-2</v>
      </c>
      <c r="H48" s="231">
        <f t="shared" si="9"/>
        <v>0.73265112440975111</v>
      </c>
      <c r="I48" s="313">
        <f t="shared" si="11"/>
        <v>1010080.3232306559</v>
      </c>
      <c r="J48" s="313">
        <f t="shared" si="10"/>
        <v>-368584.48676934419</v>
      </c>
      <c r="K48" s="147"/>
      <c r="L48" s="143">
        <f>J49</f>
        <v>38740.805117345066</v>
      </c>
      <c r="M48" s="113" t="s">
        <v>470</v>
      </c>
    </row>
    <row r="49" spans="1:14" x14ac:dyDescent="0.25">
      <c r="A49" s="110"/>
      <c r="B49" s="113" t="s">
        <v>470</v>
      </c>
      <c r="C49" s="134">
        <f>'Elec Study Rpt'!K63</f>
        <v>24647469.629999999</v>
      </c>
      <c r="D49" s="313">
        <v>689811.24000000011</v>
      </c>
      <c r="E49" s="72">
        <v>2.7987099999999998</v>
      </c>
      <c r="F49" s="231">
        <v>2.7987099999999997E-2</v>
      </c>
      <c r="G49" s="231">
        <f>'Elec Study Rpt'!V63</f>
        <v>2.9558896346634833E-2</v>
      </c>
      <c r="H49" s="231">
        <f t="shared" si="9"/>
        <v>1.0561614581944838</v>
      </c>
      <c r="I49" s="313">
        <f t="shared" si="11"/>
        <v>728552.04511734517</v>
      </c>
      <c r="J49" s="313">
        <f>I49-D49</f>
        <v>38740.805117345066</v>
      </c>
      <c r="K49" s="147"/>
      <c r="L49" s="143">
        <f>J50</f>
        <v>-46838.108663091436</v>
      </c>
      <c r="M49" s="113" t="s">
        <v>471</v>
      </c>
    </row>
    <row r="50" spans="1:14" x14ac:dyDescent="0.25">
      <c r="A50" s="110"/>
      <c r="B50" s="113" t="s">
        <v>471</v>
      </c>
      <c r="C50" s="134">
        <f>'Elec Study Rpt'!K64</f>
        <v>22032534.57</v>
      </c>
      <c r="D50" s="313">
        <v>383366.16000000009</v>
      </c>
      <c r="E50" s="72">
        <v>1.74</v>
      </c>
      <c r="F50" s="231">
        <v>1.7399999999999999E-2</v>
      </c>
      <c r="G50" s="231">
        <f>'Elec Study Rpt'!V64</f>
        <v>1.5274139202224341E-2</v>
      </c>
      <c r="H50" s="231">
        <f t="shared" si="9"/>
        <v>0.87782409208185874</v>
      </c>
      <c r="I50" s="313">
        <f t="shared" si="11"/>
        <v>336528.05133690865</v>
      </c>
      <c r="J50" s="313">
        <f t="shared" si="10"/>
        <v>-46838.108663091436</v>
      </c>
      <c r="K50" s="147"/>
      <c r="L50" s="143">
        <f>J51</f>
        <v>166164.08133869251</v>
      </c>
      <c r="M50" s="113" t="s">
        <v>472</v>
      </c>
    </row>
    <row r="51" spans="1:14" x14ac:dyDescent="0.25">
      <c r="A51" s="110"/>
      <c r="B51" s="113" t="s">
        <v>472</v>
      </c>
      <c r="C51" s="135">
        <f>'Elec Study Rpt'!K65</f>
        <v>18176144.670000002</v>
      </c>
      <c r="D51" s="314">
        <v>273445.92</v>
      </c>
      <c r="E51" s="72">
        <v>1.5044219999999999</v>
      </c>
      <c r="F51" s="232">
        <v>1.5044219999999999E-2</v>
      </c>
      <c r="G51" s="232">
        <f>'Elec Study Rpt'!V65</f>
        <v>2.4186097105927139E-2</v>
      </c>
      <c r="H51" s="232">
        <f t="shared" si="9"/>
        <v>1.6076670712025709</v>
      </c>
      <c r="I51" s="314">
        <f>D51*H51</f>
        <v>439610.0013386925</v>
      </c>
      <c r="J51" s="314">
        <f t="shared" si="10"/>
        <v>166164.08133869251</v>
      </c>
      <c r="K51" s="147"/>
      <c r="L51" s="149"/>
    </row>
    <row r="52" spans="1:14" x14ac:dyDescent="0.25">
      <c r="A52" s="110"/>
      <c r="B52" s="113"/>
      <c r="C52" s="134"/>
      <c r="D52" s="9"/>
      <c r="E52" s="72"/>
      <c r="F52" s="114"/>
      <c r="G52" s="114"/>
      <c r="H52" s="114"/>
      <c r="I52" s="9"/>
      <c r="J52" s="9"/>
      <c r="K52" s="147"/>
    </row>
    <row r="53" spans="1:14" x14ac:dyDescent="0.25">
      <c r="A53" s="110"/>
      <c r="B53" s="115" t="s">
        <v>487</v>
      </c>
      <c r="C53" s="134">
        <f>+SUBTOTAL(9,C41:C51)</f>
        <v>338994406.27999997</v>
      </c>
      <c r="D53" s="134">
        <f>+SUBTOTAL(9,D41:D51)</f>
        <v>6744336.2800000012</v>
      </c>
      <c r="E53" s="317">
        <f>D53/C53</f>
        <v>1.989512556861887E-2</v>
      </c>
      <c r="F53" s="231">
        <f>D53/C53</f>
        <v>1.989512556861887E-2</v>
      </c>
      <c r="G53" s="231">
        <f>I53/C53</f>
        <v>3.724738289804512E-2</v>
      </c>
      <c r="H53" s="231">
        <f t="shared" ref="H53" si="12">G53/F53</f>
        <v>1.8721863689463938</v>
      </c>
      <c r="I53" s="134">
        <f t="shared" ref="I53" si="13">+SUBTOTAL(9,I41:I51)</f>
        <v>12626654.45100663</v>
      </c>
      <c r="J53" s="134">
        <f>+SUBTOTAL(9,J41:J51)</f>
        <v>5882318.1710066283</v>
      </c>
      <c r="K53" s="128">
        <f>H53*D53-I53</f>
        <v>0</v>
      </c>
      <c r="L53" s="143">
        <f>SUM(L43:L51)</f>
        <v>5882318.1710066283</v>
      </c>
      <c r="M53" s="143">
        <f>J53-L53</f>
        <v>0</v>
      </c>
      <c r="N53" s="204" t="s">
        <v>658</v>
      </c>
    </row>
    <row r="54" spans="1:14" x14ac:dyDescent="0.25">
      <c r="A54" s="110"/>
      <c r="B54" s="134"/>
      <c r="C54" s="134"/>
      <c r="D54" s="9"/>
      <c r="E54" s="72"/>
      <c r="F54" s="114"/>
      <c r="G54" s="114"/>
      <c r="H54" s="114"/>
      <c r="I54" s="312"/>
      <c r="J54" s="318"/>
      <c r="K54" s="147"/>
    </row>
    <row r="55" spans="1:14" x14ac:dyDescent="0.25">
      <c r="A55" s="110">
        <v>315</v>
      </c>
      <c r="B55" s="113" t="s">
        <v>5</v>
      </c>
      <c r="C55" s="134"/>
      <c r="D55" s="9"/>
      <c r="E55" s="72"/>
      <c r="F55" s="114"/>
      <c r="G55" s="114"/>
      <c r="H55" s="114"/>
      <c r="I55" s="9"/>
      <c r="J55" s="9"/>
      <c r="K55" s="147"/>
    </row>
    <row r="56" spans="1:14" x14ac:dyDescent="0.25">
      <c r="A56" s="110"/>
      <c r="B56" s="113" t="s">
        <v>488</v>
      </c>
      <c r="C56" s="134">
        <f>'Elec Study Rpt'!K70</f>
        <v>7465362.6200000001</v>
      </c>
      <c r="D56" s="313">
        <v>62651.880000000005</v>
      </c>
      <c r="E56" s="72">
        <v>0.93</v>
      </c>
      <c r="F56" s="231">
        <v>9.300000000000001E-3</v>
      </c>
      <c r="G56" s="231">
        <f>'Elec Study Rpt'!V70</f>
        <v>5.7838598006533973E-2</v>
      </c>
      <c r="H56" s="231">
        <f t="shared" ref="H56:H67" si="14">G56/F56</f>
        <v>6.2192040867240825</v>
      </c>
      <c r="I56" s="917">
        <f>'Elec Study Rpt'!Q70</f>
        <v>431786.10755118524</v>
      </c>
      <c r="J56" s="313">
        <f t="shared" ref="J56:J67" si="15">I56-D56</f>
        <v>369134.22755118523</v>
      </c>
      <c r="K56" s="147"/>
    </row>
    <row r="57" spans="1:14" x14ac:dyDescent="0.25">
      <c r="A57" s="110"/>
      <c r="B57" s="111" t="s">
        <v>489</v>
      </c>
      <c r="C57" s="134">
        <f>'Elec Study Rpt'!K71</f>
        <v>4167725.42</v>
      </c>
      <c r="D57" s="313">
        <v>54300.479999999996</v>
      </c>
      <c r="E57" s="72">
        <v>1.36</v>
      </c>
      <c r="F57" s="231">
        <v>1.3600000000000001E-2</v>
      </c>
      <c r="G57" s="231">
        <f>'Elec Study Rpt'!V71</f>
        <v>5.9095958832762967E-2</v>
      </c>
      <c r="H57" s="231">
        <f t="shared" si="14"/>
        <v>4.3452910906443352</v>
      </c>
      <c r="I57" s="917">
        <f>'Elec Study Rpt'!Q71</f>
        <v>246295.72984657975</v>
      </c>
      <c r="J57" s="313">
        <f t="shared" si="15"/>
        <v>191995.24984657974</v>
      </c>
      <c r="K57" s="147"/>
    </row>
    <row r="58" spans="1:14" x14ac:dyDescent="0.25">
      <c r="A58" s="110"/>
      <c r="B58" s="113" t="s">
        <v>490</v>
      </c>
      <c r="C58" s="134">
        <f>'Elec Study Rpt'!K72</f>
        <v>6769581.5</v>
      </c>
      <c r="D58" s="313">
        <v>84348.439999999988</v>
      </c>
      <c r="E58" s="72">
        <v>1.28</v>
      </c>
      <c r="F58" s="231">
        <v>1.2800000000000001E-2</v>
      </c>
      <c r="G58" s="918">
        <f>'Col 3&amp;4 2027'!S20/100</f>
        <v>4.0099999999999997E-2</v>
      </c>
      <c r="H58" s="231">
        <f t="shared" si="14"/>
        <v>3.1328124999999996</v>
      </c>
      <c r="I58" s="313">
        <f t="shared" ref="I58:I67" si="16">D58*H58</f>
        <v>264247.84718749992</v>
      </c>
      <c r="J58" s="313">
        <f t="shared" si="15"/>
        <v>179899.40718749992</v>
      </c>
      <c r="K58" s="147"/>
    </row>
    <row r="59" spans="1:14" x14ac:dyDescent="0.25">
      <c r="A59" s="110"/>
      <c r="B59" s="113" t="s">
        <v>491</v>
      </c>
      <c r="C59" s="134">
        <f>'Elec Study Rpt'!K73</f>
        <v>6474413.5999999996</v>
      </c>
      <c r="D59" s="313">
        <v>85465.65</v>
      </c>
      <c r="E59" s="72">
        <v>1.4</v>
      </c>
      <c r="F59" s="231">
        <v>1.3999999999999999E-2</v>
      </c>
      <c r="G59" s="918">
        <f>'Col 3&amp;4 2027'!S21/100</f>
        <v>4.7100000000000003E-2</v>
      </c>
      <c r="H59" s="231">
        <f t="shared" si="14"/>
        <v>3.3642857142857148</v>
      </c>
      <c r="I59" s="313">
        <f t="shared" si="16"/>
        <v>287530.86535714287</v>
      </c>
      <c r="J59" s="313">
        <f t="shared" si="15"/>
        <v>202065.21535714288</v>
      </c>
      <c r="K59" s="147"/>
      <c r="L59" s="143">
        <f>J62</f>
        <v>-10579.48702721619</v>
      </c>
      <c r="M59" s="113" t="s">
        <v>479</v>
      </c>
    </row>
    <row r="60" spans="1:14" x14ac:dyDescent="0.25">
      <c r="A60" s="104"/>
      <c r="B60" s="111" t="s">
        <v>492</v>
      </c>
      <c r="C60" s="134">
        <f>'Elec Study Rpt'!K74</f>
        <v>2272860.64</v>
      </c>
      <c r="D60" s="313">
        <v>25943.240000000009</v>
      </c>
      <c r="E60" s="72">
        <v>1.1399999999999999</v>
      </c>
      <c r="F60" s="231">
        <v>1.1399999999999999E-2</v>
      </c>
      <c r="G60" s="231">
        <f>'Elec Study Rpt'!V74</f>
        <v>5.9095958832762967E-2</v>
      </c>
      <c r="H60" s="231">
        <f t="shared" si="14"/>
        <v>5.1838560379616645</v>
      </c>
      <c r="I60" s="917">
        <f>'Elec Study Rpt'!Q74</f>
        <v>134316.87881404729</v>
      </c>
      <c r="J60" s="313">
        <f t="shared" si="15"/>
        <v>108373.63881404728</v>
      </c>
      <c r="K60" s="147"/>
      <c r="L60" s="205">
        <f>SUM(J56:J57)+J60</f>
        <v>669503.11621181236</v>
      </c>
      <c r="M60" s="202" t="s">
        <v>656</v>
      </c>
    </row>
    <row r="61" spans="1:14" x14ac:dyDescent="0.25">
      <c r="A61" s="104"/>
      <c r="B61" s="113" t="s">
        <v>493</v>
      </c>
      <c r="C61" s="134">
        <f>'Elec Study Rpt'!K75</f>
        <v>7639006.2400000002</v>
      </c>
      <c r="D61" s="313">
        <v>97796.070000000022</v>
      </c>
      <c r="E61" s="72">
        <v>1.28</v>
      </c>
      <c r="F61" s="231">
        <v>1.2800000000000001E-2</v>
      </c>
      <c r="G61" s="918">
        <f>'Col 3&amp;4 2027'!S22/100</f>
        <v>3.5499999999999997E-2</v>
      </c>
      <c r="H61" s="231">
        <f t="shared" si="14"/>
        <v>2.7734374999999996</v>
      </c>
      <c r="I61" s="313">
        <f t="shared" si="16"/>
        <v>271231.28789062501</v>
      </c>
      <c r="J61" s="313">
        <f t="shared" si="15"/>
        <v>173435.217890625</v>
      </c>
      <c r="K61" s="147"/>
      <c r="L61" s="203">
        <f>SUM(J58:J59)+J61</f>
        <v>555399.84043526778</v>
      </c>
      <c r="M61" s="201" t="s">
        <v>657</v>
      </c>
    </row>
    <row r="62" spans="1:14" x14ac:dyDescent="0.25">
      <c r="A62" s="110"/>
      <c r="B62" s="113" t="s">
        <v>479</v>
      </c>
      <c r="C62" s="134">
        <f>'Elec Study Rpt'!K76</f>
        <v>1678558.68</v>
      </c>
      <c r="D62" s="313">
        <v>32060.519999999993</v>
      </c>
      <c r="E62" s="72">
        <v>1.91</v>
      </c>
      <c r="F62" s="231">
        <v>1.9099999999999999E-2</v>
      </c>
      <c r="G62" s="231">
        <f>'Elec Study Rpt'!V76</f>
        <v>1.2797288683407839E-2</v>
      </c>
      <c r="H62" s="231">
        <f t="shared" si="14"/>
        <v>0.67001511431454663</v>
      </c>
      <c r="I62" s="313">
        <f t="shared" si="16"/>
        <v>21481.032972783803</v>
      </c>
      <c r="J62" s="313">
        <f t="shared" si="15"/>
        <v>-10579.48702721619</v>
      </c>
      <c r="K62" s="147"/>
      <c r="L62" s="143">
        <f>J63</f>
        <v>-3041.8766426609327</v>
      </c>
      <c r="M62" s="113" t="s">
        <v>468</v>
      </c>
    </row>
    <row r="63" spans="1:14" x14ac:dyDescent="0.25">
      <c r="A63" s="110"/>
      <c r="B63" s="113" t="s">
        <v>468</v>
      </c>
      <c r="C63" s="134">
        <f>'Elec Study Rpt'!K77</f>
        <v>962486.71</v>
      </c>
      <c r="D63" s="313">
        <v>27430.92</v>
      </c>
      <c r="E63" s="72">
        <v>2.85</v>
      </c>
      <c r="F63" s="231">
        <v>2.8500000000000001E-2</v>
      </c>
      <c r="G63" s="231">
        <f>'Elec Study Rpt'!V77</f>
        <v>2.5339570662747127E-2</v>
      </c>
      <c r="H63" s="231">
        <f t="shared" si="14"/>
        <v>0.88910774255253078</v>
      </c>
      <c r="I63" s="313">
        <f t="shared" si="16"/>
        <v>24389.043357339066</v>
      </c>
      <c r="J63" s="313">
        <f t="shared" si="15"/>
        <v>-3041.8766426609327</v>
      </c>
      <c r="K63" s="147"/>
      <c r="L63" s="143">
        <f>J64</f>
        <v>-54076.612792374835</v>
      </c>
      <c r="M63" s="113" t="s">
        <v>469</v>
      </c>
    </row>
    <row r="64" spans="1:14" x14ac:dyDescent="0.25">
      <c r="A64" s="110"/>
      <c r="B64" s="113" t="s">
        <v>469</v>
      </c>
      <c r="C64" s="134">
        <f>'Elec Study Rpt'!K78</f>
        <v>7300879</v>
      </c>
      <c r="D64" s="313">
        <v>113163.60000000002</v>
      </c>
      <c r="E64" s="72">
        <v>1.55</v>
      </c>
      <c r="F64" s="231">
        <v>1.5500000000000002E-2</v>
      </c>
      <c r="G64" s="231">
        <f>'Elec Study Rpt'!V78</f>
        <v>8.0931350868847438E-3</v>
      </c>
      <c r="H64" s="231">
        <f t="shared" si="14"/>
        <v>0.5221377475409511</v>
      </c>
      <c r="I64" s="313">
        <f t="shared" si="16"/>
        <v>59086.987207625185</v>
      </c>
      <c r="J64" s="313">
        <f t="shared" si="15"/>
        <v>-54076.612792374835</v>
      </c>
      <c r="K64" s="147"/>
      <c r="L64" s="143">
        <f>J65</f>
        <v>-7053.8301058099023</v>
      </c>
      <c r="M64" s="113" t="s">
        <v>470</v>
      </c>
    </row>
    <row r="65" spans="1:14" x14ac:dyDescent="0.25">
      <c r="A65" s="110"/>
      <c r="B65" s="113" t="s">
        <v>470</v>
      </c>
      <c r="C65" s="134">
        <f>'Elec Study Rpt'!K79</f>
        <v>2199936</v>
      </c>
      <c r="D65" s="313">
        <v>61569.84</v>
      </c>
      <c r="E65" s="72">
        <v>2.7987099999999998</v>
      </c>
      <c r="F65" s="231">
        <v>2.7987099999999997E-2</v>
      </c>
      <c r="G65" s="231">
        <f>'Elec Study Rpt'!V79</f>
        <v>2.4780720893698725E-2</v>
      </c>
      <c r="H65" s="231">
        <f t="shared" si="14"/>
        <v>0.88543367814810137</v>
      </c>
      <c r="I65" s="313">
        <f t="shared" si="16"/>
        <v>54516.009894190094</v>
      </c>
      <c r="J65" s="313">
        <f t="shared" si="15"/>
        <v>-7053.8301058099023</v>
      </c>
      <c r="K65" s="147"/>
      <c r="L65" s="143">
        <f>J66</f>
        <v>-6171.8493812674997</v>
      </c>
      <c r="M65" s="113" t="s">
        <v>471</v>
      </c>
    </row>
    <row r="66" spans="1:14" x14ac:dyDescent="0.25">
      <c r="A66" s="110"/>
      <c r="B66" s="113" t="s">
        <v>471</v>
      </c>
      <c r="C66" s="134">
        <f>'Elec Study Rpt'!K80</f>
        <v>670281.89</v>
      </c>
      <c r="D66" s="313">
        <v>11662.800000000001</v>
      </c>
      <c r="E66" s="72">
        <v>1.74</v>
      </c>
      <c r="F66" s="231">
        <v>1.7399999999999999E-2</v>
      </c>
      <c r="G66" s="231">
        <f>'Elec Study Rpt'!V80</f>
        <v>8.1920757250356271E-3</v>
      </c>
      <c r="H66" s="231">
        <f t="shared" si="14"/>
        <v>0.47080894971469123</v>
      </c>
      <c r="I66" s="313">
        <f t="shared" si="16"/>
        <v>5490.9506187325014</v>
      </c>
      <c r="J66" s="313">
        <f>I66-D66</f>
        <v>-6171.8493812674997</v>
      </c>
      <c r="K66" s="147"/>
      <c r="L66" s="143">
        <f>J67</f>
        <v>4331.4303188109261</v>
      </c>
      <c r="M66" s="113" t="s">
        <v>472</v>
      </c>
    </row>
    <row r="67" spans="1:14" x14ac:dyDescent="0.25">
      <c r="A67" s="110"/>
      <c r="B67" s="113" t="s">
        <v>472</v>
      </c>
      <c r="C67" s="135">
        <f>'Elec Study Rpt'!K81</f>
        <v>1279531</v>
      </c>
      <c r="D67" s="314">
        <v>19249.440000000002</v>
      </c>
      <c r="E67" s="72">
        <v>1.5044219999999999</v>
      </c>
      <c r="F67" s="232">
        <v>1.5044219999999999E-2</v>
      </c>
      <c r="G67" s="232">
        <f>'Elec Study Rpt'!V81</f>
        <v>1.8429408900604988E-2</v>
      </c>
      <c r="H67" s="232">
        <f t="shared" si="14"/>
        <v>1.2250159131284299</v>
      </c>
      <c r="I67" s="314">
        <f t="shared" si="16"/>
        <v>23580.870318810928</v>
      </c>
      <c r="J67" s="314">
        <f t="shared" si="15"/>
        <v>4331.4303188109261</v>
      </c>
      <c r="K67" s="147"/>
      <c r="L67" s="149"/>
    </row>
    <row r="68" spans="1:14" x14ac:dyDescent="0.25">
      <c r="A68" s="110"/>
      <c r="B68" s="113"/>
      <c r="C68" s="134"/>
      <c r="D68" s="9"/>
      <c r="E68" s="72"/>
      <c r="F68" s="231"/>
      <c r="G68" s="231"/>
      <c r="H68" s="231"/>
      <c r="I68" s="9"/>
      <c r="J68" s="9"/>
      <c r="K68" s="147"/>
    </row>
    <row r="69" spans="1:14" x14ac:dyDescent="0.25">
      <c r="A69" s="110"/>
      <c r="B69" s="115" t="s">
        <v>494</v>
      </c>
      <c r="C69" s="134">
        <f>+SUBTOTAL(9,C56:C67)</f>
        <v>48880623.300000004</v>
      </c>
      <c r="D69" s="134">
        <f>+SUBTOTAL(9,D56:D67)</f>
        <v>675642.87999999989</v>
      </c>
      <c r="E69" s="317">
        <f>D69/C69</f>
        <v>1.382230492138589E-2</v>
      </c>
      <c r="F69" s="231">
        <f>D69/C69</f>
        <v>1.382230492138589E-2</v>
      </c>
      <c r="G69" s="231">
        <f>I69/C69</f>
        <v>3.731445075530699E-2</v>
      </c>
      <c r="H69" s="231">
        <f t="shared" ref="H69" si="17">G69/F69</f>
        <v>2.6995823755540234</v>
      </c>
      <c r="I69" s="134">
        <f t="shared" ref="I69" si="18">+SUBTOTAL(9,I56:I67)</f>
        <v>1823953.6110165615</v>
      </c>
      <c r="J69" s="134">
        <f>+SUBTOTAL(9,J56:J67)</f>
        <v>1148310.7310165614</v>
      </c>
      <c r="K69" s="128">
        <f>H69*D69-I69</f>
        <v>0</v>
      </c>
      <c r="L69" s="143">
        <f>SUM(L59:L67)</f>
        <v>1148310.7310165616</v>
      </c>
      <c r="M69" s="143">
        <f>J69-L69</f>
        <v>0</v>
      </c>
      <c r="N69" s="204" t="s">
        <v>658</v>
      </c>
    </row>
    <row r="70" spans="1:14" x14ac:dyDescent="0.25">
      <c r="A70" s="110"/>
      <c r="B70" s="134"/>
      <c r="C70" s="134"/>
      <c r="D70" s="9"/>
      <c r="E70" s="72"/>
      <c r="F70" s="114"/>
      <c r="G70" s="114"/>
      <c r="H70" s="114"/>
      <c r="I70" s="312"/>
      <c r="J70" s="318"/>
      <c r="K70" s="147"/>
    </row>
    <row r="71" spans="1:14" x14ac:dyDescent="0.25">
      <c r="A71" s="110">
        <v>316</v>
      </c>
      <c r="B71" s="113" t="s">
        <v>495</v>
      </c>
      <c r="C71" s="134"/>
      <c r="D71" s="9"/>
      <c r="E71" s="72"/>
      <c r="F71" s="114"/>
      <c r="G71" s="114"/>
      <c r="H71" s="114"/>
      <c r="I71" s="9"/>
      <c r="J71" s="9"/>
      <c r="K71" s="147"/>
    </row>
    <row r="72" spans="1:14" x14ac:dyDescent="0.25">
      <c r="A72" s="110"/>
      <c r="B72" s="113" t="s">
        <v>496</v>
      </c>
      <c r="C72" s="134">
        <f>'Elec Study Rpt'!K86</f>
        <v>946611.59</v>
      </c>
      <c r="D72" s="313">
        <v>21122.55</v>
      </c>
      <c r="E72" s="72">
        <v>2.31</v>
      </c>
      <c r="F72" s="231">
        <v>2.3100000000000002E-2</v>
      </c>
      <c r="G72" s="231">
        <f>'Elec Study Rpt'!V86</f>
        <v>5.7838598006533973E-2</v>
      </c>
      <c r="H72" s="231">
        <f t="shared" ref="H72:H83" si="19">G72/F72</f>
        <v>2.5038354115382671</v>
      </c>
      <c r="I72" s="917">
        <f>'Elec Study Rpt'!Q86</f>
        <v>54750.687222335953</v>
      </c>
      <c r="J72" s="313">
        <f t="shared" ref="J72:J83" si="20">I72-D72</f>
        <v>33628.13722233595</v>
      </c>
      <c r="K72" s="147"/>
    </row>
    <row r="73" spans="1:14" x14ac:dyDescent="0.25">
      <c r="A73" s="110"/>
      <c r="B73" s="111" t="s">
        <v>497</v>
      </c>
      <c r="C73" s="134">
        <f>'Elec Study Rpt'!K87</f>
        <v>1075704.3200000001</v>
      </c>
      <c r="D73" s="313">
        <v>24833.859999999993</v>
      </c>
      <c r="E73" s="72">
        <v>2.38</v>
      </c>
      <c r="F73" s="231">
        <v>2.3799999999999998E-2</v>
      </c>
      <c r="G73" s="231">
        <f>'Elec Study Rpt'!V87</f>
        <v>5.9095958832762974E-2</v>
      </c>
      <c r="H73" s="231">
        <f t="shared" si="19"/>
        <v>2.4830234803681925</v>
      </c>
      <c r="I73" s="917">
        <f>'Elec Study Rpt'!Q87</f>
        <v>63569.778210945289</v>
      </c>
      <c r="J73" s="313">
        <f t="shared" si="20"/>
        <v>38735.918210945296</v>
      </c>
      <c r="K73" s="147"/>
    </row>
    <row r="74" spans="1:14" x14ac:dyDescent="0.25">
      <c r="A74" s="110"/>
      <c r="B74" s="113" t="s">
        <v>498</v>
      </c>
      <c r="C74" s="134">
        <f>'Elec Study Rpt'!K88</f>
        <v>1043990.99</v>
      </c>
      <c r="D74" s="313">
        <v>20272.79</v>
      </c>
      <c r="E74" s="72">
        <v>2.0099999999999998</v>
      </c>
      <c r="F74" s="231">
        <v>2.01E-2</v>
      </c>
      <c r="G74" s="918">
        <f>'Col 3&amp;4 2027'!S23/100</f>
        <v>6.7699999999999996E-2</v>
      </c>
      <c r="H74" s="231">
        <f t="shared" si="19"/>
        <v>3.3681592039800994</v>
      </c>
      <c r="I74" s="313">
        <f t="shared" ref="I74:I83" si="21">D74*H74</f>
        <v>68281.984228855727</v>
      </c>
      <c r="J74" s="313">
        <f t="shared" si="20"/>
        <v>48009.194228855726</v>
      </c>
      <c r="K74" s="147"/>
    </row>
    <row r="75" spans="1:14" x14ac:dyDescent="0.25">
      <c r="A75" s="110"/>
      <c r="B75" s="113" t="s">
        <v>499</v>
      </c>
      <c r="C75" s="134">
        <f>'Elec Study Rpt'!K89</f>
        <v>1165681.21</v>
      </c>
      <c r="D75" s="313">
        <v>21861.16</v>
      </c>
      <c r="E75" s="72">
        <v>1.93</v>
      </c>
      <c r="F75" s="231">
        <v>1.9300000000000001E-2</v>
      </c>
      <c r="G75" s="918">
        <f>'Col 3&amp;4 2027'!S24/100</f>
        <v>6.8000000000000005E-2</v>
      </c>
      <c r="H75" s="231">
        <f t="shared" si="19"/>
        <v>3.5233160621761659</v>
      </c>
      <c r="I75" s="313">
        <f t="shared" si="21"/>
        <v>77023.776165803109</v>
      </c>
      <c r="J75" s="313">
        <f t="shared" si="20"/>
        <v>55162.616165803105</v>
      </c>
      <c r="K75" s="147"/>
    </row>
    <row r="76" spans="1:14" x14ac:dyDescent="0.25">
      <c r="A76" s="110"/>
      <c r="B76" s="113" t="s">
        <v>500</v>
      </c>
      <c r="C76" s="134">
        <f>'Elec Study Rpt'!K90</f>
        <v>6205596.7199999997</v>
      </c>
      <c r="D76" s="313">
        <v>86878.32</v>
      </c>
      <c r="E76" s="72">
        <v>1.4</v>
      </c>
      <c r="F76" s="231">
        <v>1.3999999999999999E-2</v>
      </c>
      <c r="G76" s="231">
        <f>'Elec Study Rpt'!V90</f>
        <v>5.9095958832762974E-2</v>
      </c>
      <c r="H76" s="231">
        <f t="shared" si="19"/>
        <v>4.2211399166259271</v>
      </c>
      <c r="I76" s="917">
        <f>'Elec Study Rpt'!Q90</f>
        <v>366725.68829784892</v>
      </c>
      <c r="J76" s="313">
        <f t="shared" si="20"/>
        <v>279847.36829784891</v>
      </c>
      <c r="K76" s="147"/>
      <c r="M76" s="113"/>
    </row>
    <row r="77" spans="1:14" x14ac:dyDescent="0.25">
      <c r="A77" s="110"/>
      <c r="B77" s="113" t="s">
        <v>501</v>
      </c>
      <c r="C77" s="134">
        <f>'Elec Study Rpt'!K91</f>
        <v>251533.56</v>
      </c>
      <c r="D77" s="313">
        <v>3471.1200000000008</v>
      </c>
      <c r="E77" s="72">
        <v>1.38</v>
      </c>
      <c r="F77" s="231">
        <v>1.38E-2</v>
      </c>
      <c r="G77" s="918">
        <f>'Elec Study Rpt'!V91</f>
        <v>1.9789049472734698E-2</v>
      </c>
      <c r="H77" s="231">
        <f t="shared" si="19"/>
        <v>1.4339890922271521</v>
      </c>
      <c r="I77" s="313">
        <f t="shared" si="21"/>
        <v>4977.5482178115135</v>
      </c>
      <c r="J77" s="313">
        <f t="shared" si="20"/>
        <v>1506.4282178115127</v>
      </c>
      <c r="K77" s="147"/>
      <c r="L77" s="205">
        <f>SUM(J72:J73)+J76+(J77*0.5)</f>
        <v>352964.6378400359</v>
      </c>
      <c r="M77" s="202" t="s">
        <v>656</v>
      </c>
    </row>
    <row r="78" spans="1:14" x14ac:dyDescent="0.25">
      <c r="A78" s="110"/>
      <c r="B78" s="113" t="s">
        <v>502</v>
      </c>
      <c r="C78" s="134">
        <f>'Elec Study Rpt'!K92</f>
        <v>4444375.42</v>
      </c>
      <c r="D78" s="313">
        <v>72443.280000000013</v>
      </c>
      <c r="E78" s="72">
        <v>1.63</v>
      </c>
      <c r="F78" s="231">
        <v>1.6299999999999999E-2</v>
      </c>
      <c r="G78" s="918">
        <f>'Col 3&amp;4 2027'!S25/100</f>
        <v>4.1599999999999998E-2</v>
      </c>
      <c r="H78" s="231">
        <f t="shared" si="19"/>
        <v>2.5521472392638036</v>
      </c>
      <c r="I78" s="313">
        <f t="shared" si="21"/>
        <v>184885.91705521476</v>
      </c>
      <c r="J78" s="313">
        <f t="shared" si="20"/>
        <v>112442.63705521474</v>
      </c>
      <c r="K78" s="147"/>
      <c r="L78" s="203">
        <f>SUM(J74:J75)+J78+(J77*0.5)</f>
        <v>216367.66155877931</v>
      </c>
      <c r="M78" s="201" t="s">
        <v>657</v>
      </c>
    </row>
    <row r="79" spans="1:14" x14ac:dyDescent="0.25">
      <c r="A79" s="110"/>
      <c r="B79" s="113" t="s">
        <v>468</v>
      </c>
      <c r="C79" s="134">
        <f>'Elec Study Rpt'!K93</f>
        <v>336377.91</v>
      </c>
      <c r="D79" s="313">
        <v>11268.599999999999</v>
      </c>
      <c r="E79" s="72">
        <v>3.35</v>
      </c>
      <c r="F79" s="231">
        <v>3.3500000000000002E-2</v>
      </c>
      <c r="G79" s="231">
        <f>'Elec Study Rpt'!V93</f>
        <v>2.5462433011727792E-2</v>
      </c>
      <c r="H79" s="231">
        <f t="shared" si="19"/>
        <v>0.76007262721575497</v>
      </c>
      <c r="I79" s="313">
        <f t="shared" si="21"/>
        <v>8564.9544070434549</v>
      </c>
      <c r="J79" s="313">
        <f t="shared" si="20"/>
        <v>-2703.6455929565436</v>
      </c>
      <c r="K79" s="147"/>
      <c r="L79" s="143">
        <f>J79</f>
        <v>-2703.6455929565436</v>
      </c>
      <c r="M79" s="113" t="s">
        <v>468</v>
      </c>
    </row>
    <row r="80" spans="1:14" x14ac:dyDescent="0.25">
      <c r="A80" s="110"/>
      <c r="B80" s="113" t="s">
        <v>469</v>
      </c>
      <c r="C80" s="134">
        <f>'Elec Study Rpt'!K94</f>
        <v>6163</v>
      </c>
      <c r="D80" s="313">
        <v>95.519999999999982</v>
      </c>
      <c r="E80" s="72">
        <v>1.55</v>
      </c>
      <c r="F80" s="231">
        <v>1.5500000000000002E-2</v>
      </c>
      <c r="G80" s="231">
        <f>'Elec Study Rpt'!V94</f>
        <v>8.7619665747201043E-3</v>
      </c>
      <c r="H80" s="231">
        <f t="shared" si="19"/>
        <v>0.56528816611097443</v>
      </c>
      <c r="I80" s="313">
        <f t="shared" si="21"/>
        <v>53.996325626920267</v>
      </c>
      <c r="J80" s="313">
        <f t="shared" si="20"/>
        <v>-41.523674373079714</v>
      </c>
      <c r="K80" s="147"/>
      <c r="L80" s="143">
        <f>J80</f>
        <v>-41.523674373079714</v>
      </c>
      <c r="M80" s="113" t="s">
        <v>469</v>
      </c>
    </row>
    <row r="81" spans="1:14" x14ac:dyDescent="0.25">
      <c r="A81" s="110"/>
      <c r="B81" s="113" t="s">
        <v>470</v>
      </c>
      <c r="C81" s="134">
        <f>'Elec Study Rpt'!K95</f>
        <v>152757</v>
      </c>
      <c r="D81" s="313">
        <v>4275.24</v>
      </c>
      <c r="E81" s="72">
        <v>2.7987099999999998</v>
      </c>
      <c r="F81" s="231">
        <v>2.7987099999999997E-2</v>
      </c>
      <c r="G81" s="231">
        <f>'Elec Study Rpt'!V95</f>
        <v>2.7285165327939145E-2</v>
      </c>
      <c r="H81" s="231">
        <f t="shared" si="19"/>
        <v>0.97491934955530035</v>
      </c>
      <c r="I81" s="313">
        <f t="shared" si="21"/>
        <v>4168.0141999928019</v>
      </c>
      <c r="J81" s="313">
        <f t="shared" si="20"/>
        <v>-107.2258000071979</v>
      </c>
      <c r="K81" s="147"/>
      <c r="L81" s="143">
        <f>J81</f>
        <v>-107.2258000071979</v>
      </c>
      <c r="M81" s="113" t="s">
        <v>470</v>
      </c>
    </row>
    <row r="82" spans="1:14" x14ac:dyDescent="0.25">
      <c r="A82" s="110"/>
      <c r="B82" s="113" t="s">
        <v>471</v>
      </c>
      <c r="C82" s="134">
        <f>'Elec Study Rpt'!K96</f>
        <v>123691</v>
      </c>
      <c r="D82" s="313">
        <v>2152.1999999999994</v>
      </c>
      <c r="E82" s="72">
        <v>1.74</v>
      </c>
      <c r="F82" s="231">
        <v>1.7399999999999999E-2</v>
      </c>
      <c r="G82" s="231">
        <f>'Elec Study Rpt'!V96</f>
        <v>7.0659951006944721E-3</v>
      </c>
      <c r="H82" s="231">
        <f t="shared" si="19"/>
        <v>0.40609167245370531</v>
      </c>
      <c r="I82" s="313">
        <f t="shared" si="21"/>
        <v>873.99049745486434</v>
      </c>
      <c r="J82" s="313">
        <f>I82-D82</f>
        <v>-1278.2095025451349</v>
      </c>
      <c r="K82" s="147"/>
      <c r="L82" s="143">
        <f>J82</f>
        <v>-1278.2095025451349</v>
      </c>
      <c r="M82" s="113" t="s">
        <v>471</v>
      </c>
    </row>
    <row r="83" spans="1:14" x14ac:dyDescent="0.25">
      <c r="A83" s="110"/>
      <c r="B83" s="113" t="s">
        <v>472</v>
      </c>
      <c r="C83" s="135">
        <f>'Elec Study Rpt'!K97</f>
        <v>62866</v>
      </c>
      <c r="D83" s="314">
        <v>945.84000000000026</v>
      </c>
      <c r="E83" s="72">
        <v>1.5044219999999999</v>
      </c>
      <c r="F83" s="232">
        <v>1.5044219999999999E-2</v>
      </c>
      <c r="G83" s="232">
        <f>'Elec Study Rpt'!V97</f>
        <v>1.8626920752075844E-2</v>
      </c>
      <c r="H83" s="232">
        <f t="shared" si="19"/>
        <v>1.2381446663287192</v>
      </c>
      <c r="I83" s="314">
        <f t="shared" si="21"/>
        <v>1171.086751200356</v>
      </c>
      <c r="J83" s="314">
        <f t="shared" si="20"/>
        <v>225.24675120035579</v>
      </c>
      <c r="K83" s="147"/>
      <c r="L83" s="145">
        <f>J83</f>
        <v>225.24675120035579</v>
      </c>
      <c r="M83" s="113" t="s">
        <v>472</v>
      </c>
    </row>
    <row r="84" spans="1:14" x14ac:dyDescent="0.25">
      <c r="A84" s="110"/>
      <c r="B84" s="113"/>
      <c r="C84" s="134"/>
      <c r="D84" s="9"/>
      <c r="E84" s="72"/>
      <c r="F84" s="114"/>
      <c r="G84" s="114"/>
      <c r="H84" s="114"/>
      <c r="I84" s="9"/>
      <c r="J84" s="9"/>
      <c r="K84" s="147"/>
    </row>
    <row r="85" spans="1:14" x14ac:dyDescent="0.25">
      <c r="A85" s="110"/>
      <c r="B85" s="115" t="s">
        <v>503</v>
      </c>
      <c r="C85" s="135">
        <f>+SUBTOTAL(9,C72:C83)</f>
        <v>15815348.720000001</v>
      </c>
      <c r="D85" s="135">
        <f>+SUBTOTAL(9,D72:D83)</f>
        <v>269620.48000000004</v>
      </c>
      <c r="E85" s="319">
        <f>D85/C85</f>
        <v>1.7048026241687577E-2</v>
      </c>
      <c r="F85" s="231">
        <f>D85/C85</f>
        <v>1.7048026241687577E-2</v>
      </c>
      <c r="G85" s="231">
        <f>I85/C85</f>
        <v>5.279981089029908E-2</v>
      </c>
      <c r="H85" s="231">
        <f t="shared" ref="H85:H87" si="22">G85/F85</f>
        <v>3.0971216340098997</v>
      </c>
      <c r="I85" s="135">
        <f>+SUBTOTAL(9,I72:I83)</f>
        <v>835047.42158013361</v>
      </c>
      <c r="J85" s="135">
        <f>+SUBTOTAL(9,J72:J83)</f>
        <v>565426.94158013363</v>
      </c>
      <c r="K85" s="128">
        <f>H85*D85-I85</f>
        <v>0</v>
      </c>
      <c r="L85" s="143">
        <f>SUM(L77:L83)</f>
        <v>565426.94158013363</v>
      </c>
      <c r="M85" s="143">
        <f>J85-L85</f>
        <v>0</v>
      </c>
      <c r="N85" s="204" t="s">
        <v>658</v>
      </c>
    </row>
    <row r="86" spans="1:14" x14ac:dyDescent="0.25">
      <c r="A86" s="110"/>
      <c r="B86" s="135"/>
      <c r="C86" s="134"/>
      <c r="D86" s="312"/>
      <c r="E86" s="72"/>
      <c r="F86" s="114"/>
      <c r="G86" s="114"/>
      <c r="H86" s="381"/>
      <c r="I86" s="312"/>
      <c r="J86" s="318"/>
      <c r="K86" s="147"/>
    </row>
    <row r="87" spans="1:14" x14ac:dyDescent="0.25">
      <c r="A87" s="114"/>
      <c r="B87" s="116" t="s">
        <v>504</v>
      </c>
      <c r="C87" s="136">
        <f>SUBTOTAL(9,C9:C85)</f>
        <v>1277134227.6500003</v>
      </c>
      <c r="D87" s="136">
        <f>SUBTOTAL(9,D9:D85)</f>
        <v>21878044.330000002</v>
      </c>
      <c r="E87" s="72"/>
      <c r="F87" s="233">
        <f>D87/C87</f>
        <v>1.7130575515352721E-2</v>
      </c>
      <c r="G87" s="231">
        <f>I87/C87</f>
        <v>3.8329470661139779E-2</v>
      </c>
      <c r="H87" s="231">
        <f t="shared" si="22"/>
        <v>2.2374887887910266</v>
      </c>
      <c r="I87" s="136">
        <f>SUBTOTAL(9,I9:I85)</f>
        <v>48951878.909048095</v>
      </c>
      <c r="J87" s="136">
        <f>SUBTOTAL(9,J9:J85)</f>
        <v>27073834.579048075</v>
      </c>
      <c r="K87" s="128">
        <f>H87*D87-I87</f>
        <v>0</v>
      </c>
    </row>
    <row r="88" spans="1:14" x14ac:dyDescent="0.25">
      <c r="A88" s="114"/>
      <c r="B88" s="116"/>
      <c r="C88" s="137"/>
      <c r="D88" s="312"/>
      <c r="E88" s="72"/>
      <c r="F88" s="114"/>
      <c r="G88" s="114"/>
      <c r="H88" s="114"/>
      <c r="I88" s="312"/>
      <c r="J88" s="312"/>
      <c r="K88" s="147"/>
      <c r="L88" s="143">
        <f>L22+L38+L53+L69+L85</f>
        <v>27073834.579048086</v>
      </c>
    </row>
    <row r="89" spans="1:14" x14ac:dyDescent="0.25">
      <c r="A89" s="114"/>
      <c r="B89" s="119"/>
      <c r="C89" s="137"/>
      <c r="D89" s="9"/>
      <c r="E89" s="72"/>
      <c r="F89" s="114"/>
      <c r="G89" s="114"/>
      <c r="H89" s="114"/>
      <c r="I89" s="9"/>
      <c r="J89" s="9"/>
      <c r="K89" s="147"/>
      <c r="L89" s="143"/>
      <c r="M89" s="113"/>
    </row>
    <row r="90" spans="1:14" x14ac:dyDescent="0.25">
      <c r="A90" s="114"/>
      <c r="B90" s="120" t="s">
        <v>505</v>
      </c>
      <c r="C90" s="137"/>
      <c r="D90" s="9"/>
      <c r="E90" s="72"/>
      <c r="F90" s="114"/>
      <c r="G90" s="114"/>
      <c r="H90" s="114"/>
      <c r="I90" s="9"/>
      <c r="J90" s="9"/>
      <c r="K90" s="147"/>
    </row>
    <row r="91" spans="1:14" x14ac:dyDescent="0.25">
      <c r="A91" s="114"/>
      <c r="B91" s="119"/>
      <c r="C91" s="137"/>
      <c r="D91" s="9"/>
      <c r="E91" s="72"/>
      <c r="F91" s="114"/>
      <c r="G91" s="114"/>
      <c r="H91" s="114"/>
      <c r="I91" s="9"/>
      <c r="J91" s="9"/>
      <c r="K91" s="147"/>
    </row>
    <row r="92" spans="1:14" x14ac:dyDescent="0.25">
      <c r="A92" s="114">
        <v>330.1</v>
      </c>
      <c r="B92" s="119" t="s">
        <v>38</v>
      </c>
      <c r="C92" s="134">
        <f>'Elec Study Rpt'!K106</f>
        <v>32898.730000000003</v>
      </c>
      <c r="D92" s="313">
        <v>799.44</v>
      </c>
      <c r="E92" s="72">
        <v>2.4300000000000002</v>
      </c>
      <c r="F92" s="231">
        <v>2.4300000000000002E-2</v>
      </c>
      <c r="G92" s="231">
        <f>'Elec Study Rpt'!V106</f>
        <v>1.9970375756146207E-2</v>
      </c>
      <c r="H92" s="231">
        <f t="shared" ref="H92:H99" si="23">G92/F92</f>
        <v>0.8218261628043706</v>
      </c>
      <c r="I92" s="313">
        <f>D92*H92</f>
        <v>657.00070759232608</v>
      </c>
      <c r="J92" s="313">
        <f>I92-D92</f>
        <v>-142.43929240767397</v>
      </c>
      <c r="K92" s="147"/>
    </row>
    <row r="93" spans="1:14" x14ac:dyDescent="0.25">
      <c r="A93" s="114">
        <v>331</v>
      </c>
      <c r="B93" s="119" t="s">
        <v>2</v>
      </c>
      <c r="C93" s="137"/>
      <c r="D93" s="9"/>
      <c r="E93" s="72"/>
      <c r="F93" s="114"/>
      <c r="G93" s="114"/>
      <c r="H93" s="114"/>
      <c r="I93" s="313"/>
      <c r="J93" s="318"/>
      <c r="K93" s="147"/>
    </row>
    <row r="94" spans="1:14" x14ac:dyDescent="0.25">
      <c r="A94" s="114"/>
      <c r="B94" s="119" t="s">
        <v>506</v>
      </c>
      <c r="C94" s="134">
        <f>'Elec Study Rpt'!K108</f>
        <v>35273454.280000001</v>
      </c>
      <c r="D94" s="510">
        <v>39715.32</v>
      </c>
      <c r="E94" s="72">
        <v>0.81</v>
      </c>
      <c r="F94" s="231">
        <v>8.1000000000000013E-3</v>
      </c>
      <c r="G94" s="231">
        <f>'Elec Study Rpt'!V108</f>
        <v>2.2020950764677985E-2</v>
      </c>
      <c r="H94" s="231">
        <f t="shared" si="23"/>
        <v>2.7186358968738249</v>
      </c>
      <c r="I94" s="313">
        <f t="shared" ref="I94:I99" si="24">D94*H94</f>
        <v>107971.49460783096</v>
      </c>
      <c r="J94" s="313">
        <f t="shared" ref="J94:J98" si="25">I94-D94</f>
        <v>68256.174607830966</v>
      </c>
      <c r="K94" s="147"/>
    </row>
    <row r="95" spans="1:14" x14ac:dyDescent="0.25">
      <c r="A95" s="114"/>
      <c r="B95" s="119"/>
      <c r="C95" s="134"/>
      <c r="D95" s="510">
        <v>664964.04</v>
      </c>
      <c r="E95" s="72">
        <v>2.19</v>
      </c>
      <c r="F95" s="231">
        <v>2.1899999999999999E-2</v>
      </c>
      <c r="G95" s="231">
        <f>G94</f>
        <v>2.2020950764677985E-2</v>
      </c>
      <c r="H95" s="231">
        <f t="shared" si="23"/>
        <v>1.0055228659670312</v>
      </c>
      <c r="I95" s="313">
        <f>D95*H95</f>
        <v>668636.54726581567</v>
      </c>
      <c r="J95" s="313">
        <f t="shared" si="25"/>
        <v>3672.5072658156278</v>
      </c>
      <c r="K95" s="147"/>
    </row>
    <row r="96" spans="1:14" x14ac:dyDescent="0.25">
      <c r="A96" s="114"/>
      <c r="B96" s="119" t="s">
        <v>507</v>
      </c>
      <c r="C96" s="134">
        <f>'Elec Study Rpt'!K109</f>
        <v>15612653.91</v>
      </c>
      <c r="D96" s="510">
        <v>84308.28</v>
      </c>
      <c r="E96" s="72">
        <v>0.54</v>
      </c>
      <c r="F96" s="231">
        <v>5.4000000000000003E-3</v>
      </c>
      <c r="G96" s="231">
        <f>'Elec Study Rpt'!V109</f>
        <v>1.6701260496973382E-2</v>
      </c>
      <c r="H96" s="231">
        <f t="shared" si="23"/>
        <v>3.0928260179580334</v>
      </c>
      <c r="I96" s="313">
        <f t="shared" si="24"/>
        <v>260750.8419132909</v>
      </c>
      <c r="J96" s="313">
        <f t="shared" si="25"/>
        <v>176442.56191329091</v>
      </c>
      <c r="K96" s="147"/>
    </row>
    <row r="97" spans="1:11" x14ac:dyDescent="0.25">
      <c r="A97" s="114"/>
      <c r="B97" s="119" t="s">
        <v>508</v>
      </c>
      <c r="C97" s="134">
        <f>'Elec Study Rpt'!K110</f>
        <v>58654809.259999998</v>
      </c>
      <c r="D97" s="510">
        <v>281593.92</v>
      </c>
      <c r="E97" s="72">
        <v>2.2400000000000002</v>
      </c>
      <c r="F97" s="231">
        <v>2.2400000000000003E-2</v>
      </c>
      <c r="G97" s="231">
        <f>'Elec Study Rpt'!V110</f>
        <v>3.4251411356477746E-2</v>
      </c>
      <c r="H97" s="231">
        <f t="shared" si="23"/>
        <v>1.5290808641284706</v>
      </c>
      <c r="I97" s="313">
        <f>D97*H97</f>
        <v>430579.87452692341</v>
      </c>
      <c r="J97" s="313">
        <f t="shared" si="25"/>
        <v>148985.95452692342</v>
      </c>
      <c r="K97" s="147"/>
    </row>
    <row r="98" spans="1:11" x14ac:dyDescent="0.25">
      <c r="A98" s="114"/>
      <c r="B98" s="119"/>
      <c r="C98" s="134"/>
      <c r="D98" s="510">
        <v>1469951.8999999997</v>
      </c>
      <c r="E98" s="72"/>
      <c r="F98" s="231">
        <v>3.1899999999999998E-2</v>
      </c>
      <c r="G98" s="231">
        <f>G97</f>
        <v>3.4251411356477746E-2</v>
      </c>
      <c r="H98" s="231">
        <f t="shared" si="23"/>
        <v>1.0737119547485188</v>
      </c>
      <c r="I98" s="313">
        <f>D98*H98</f>
        <v>1578304.9279352988</v>
      </c>
      <c r="J98" s="313">
        <f t="shared" si="25"/>
        <v>108353.02793529909</v>
      </c>
      <c r="K98" s="147"/>
    </row>
    <row r="99" spans="1:11" x14ac:dyDescent="0.25">
      <c r="A99" s="114"/>
      <c r="B99" s="119" t="s">
        <v>509</v>
      </c>
      <c r="C99" s="134">
        <f>'Elec Study Rpt'!K111</f>
        <v>54612246.020000003</v>
      </c>
      <c r="D99" s="511">
        <v>1742164.7100000002</v>
      </c>
      <c r="E99" s="95">
        <v>1.98</v>
      </c>
      <c r="F99" s="371">
        <v>3.1899999999999998E-2</v>
      </c>
      <c r="G99" s="231">
        <f>'Elec Study Rpt'!V111</f>
        <v>3.3587283689600574E-2</v>
      </c>
      <c r="H99" s="371">
        <f t="shared" si="23"/>
        <v>1.0528929056301122</v>
      </c>
      <c r="I99" s="364">
        <f t="shared" si="24"/>
        <v>1834312.8635981421</v>
      </c>
      <c r="J99" s="364">
        <f>I99-D99</f>
        <v>92148.153598141856</v>
      </c>
      <c r="K99" s="147"/>
    </row>
    <row r="100" spans="1:11" x14ac:dyDescent="0.25">
      <c r="A100" s="114"/>
      <c r="B100" s="119"/>
      <c r="C100" s="135"/>
      <c r="D100" s="314"/>
      <c r="E100" s="73"/>
      <c r="F100" s="232"/>
      <c r="G100" s="232"/>
      <c r="H100" s="232"/>
      <c r="I100" s="314"/>
      <c r="J100" s="314"/>
      <c r="K100" s="147"/>
    </row>
    <row r="101" spans="1:11" x14ac:dyDescent="0.25">
      <c r="A101" s="114"/>
      <c r="B101" s="119"/>
      <c r="C101" s="137"/>
      <c r="D101" s="9"/>
      <c r="E101" s="72"/>
      <c r="F101" s="114"/>
      <c r="G101" s="114"/>
      <c r="H101" s="114"/>
      <c r="I101" s="9"/>
      <c r="J101" s="9"/>
      <c r="K101" s="147"/>
    </row>
    <row r="102" spans="1:11" x14ac:dyDescent="0.25">
      <c r="A102" s="114"/>
      <c r="B102" s="121" t="s">
        <v>428</v>
      </c>
      <c r="C102" s="134">
        <f>+SUBTOTAL(9,C94:C99)</f>
        <v>164153163.47</v>
      </c>
      <c r="D102" s="134">
        <f>+SUBTOTAL(9,D94:D100)</f>
        <v>4282698.17</v>
      </c>
      <c r="E102" s="320">
        <f>D102/C102</f>
        <v>2.608964749426038E-2</v>
      </c>
      <c r="F102" s="231">
        <f>D102/C102</f>
        <v>2.608964749426038E-2</v>
      </c>
      <c r="G102" s="231">
        <f>I102/C102</f>
        <v>2.9731723998966696E-2</v>
      </c>
      <c r="H102" s="231">
        <f t="shared" ref="H102" si="26">G102/F102</f>
        <v>1.1395985325408309</v>
      </c>
      <c r="I102" s="134">
        <f>+SUBTOTAL(9,I94:I100)</f>
        <v>4880556.549847302</v>
      </c>
      <c r="J102" s="134">
        <f>+SUBTOTAL(9,J94:J100)</f>
        <v>597858.37984730187</v>
      </c>
      <c r="K102" s="128">
        <f>H102*D102-I102</f>
        <v>0</v>
      </c>
    </row>
    <row r="103" spans="1:11" x14ac:dyDescent="0.25">
      <c r="A103" s="114"/>
      <c r="B103" s="119"/>
      <c r="C103" s="137"/>
      <c r="D103" s="9"/>
      <c r="E103" s="72"/>
      <c r="F103" s="114"/>
      <c r="G103" s="114"/>
      <c r="H103" s="114"/>
      <c r="I103" s="312"/>
      <c r="J103" s="318"/>
      <c r="K103" s="147"/>
    </row>
    <row r="104" spans="1:11" x14ac:dyDescent="0.25">
      <c r="A104" s="114">
        <v>332</v>
      </c>
      <c r="B104" s="119" t="s">
        <v>510</v>
      </c>
      <c r="C104" s="137"/>
      <c r="D104" s="9"/>
      <c r="E104" s="72"/>
      <c r="F104" s="114"/>
      <c r="G104" s="114"/>
      <c r="H104" s="114"/>
      <c r="I104" s="9"/>
      <c r="J104" s="9"/>
      <c r="K104" s="147"/>
    </row>
    <row r="105" spans="1:11" x14ac:dyDescent="0.25">
      <c r="A105" s="114"/>
      <c r="B105" s="119" t="s">
        <v>511</v>
      </c>
      <c r="C105" s="134">
        <f>'Elec Study Rpt'!K116</f>
        <v>115624469.95999999</v>
      </c>
      <c r="D105" s="510">
        <v>248068.8</v>
      </c>
      <c r="E105" s="72">
        <v>0.6</v>
      </c>
      <c r="F105" s="231">
        <v>6.0000000000000001E-3</v>
      </c>
      <c r="G105" s="231">
        <f>'Elec Study Rpt'!V116</f>
        <v>2.2800779116324003E-2</v>
      </c>
      <c r="H105" s="231">
        <f t="shared" ref="H105:H111" si="27">G105/F105</f>
        <v>3.8001298527206671</v>
      </c>
      <c r="I105" s="313">
        <f t="shared" ref="I105:I111" si="28">D105*H105</f>
        <v>942693.65240859252</v>
      </c>
      <c r="J105" s="313">
        <f t="shared" ref="J105:J109" si="29">I105-D105</f>
        <v>694624.85240859259</v>
      </c>
      <c r="K105" s="147"/>
    </row>
    <row r="106" spans="1:11" x14ac:dyDescent="0.25">
      <c r="A106" s="114"/>
      <c r="B106" s="119"/>
      <c r="C106" s="134"/>
      <c r="D106" s="510">
        <v>1625944.9</v>
      </c>
      <c r="E106" s="72"/>
      <c r="F106" s="231">
        <v>2.1899999999999999E-2</v>
      </c>
      <c r="G106" s="231">
        <f>G105</f>
        <v>2.2800779116324003E-2</v>
      </c>
      <c r="H106" s="231">
        <f t="shared" si="27"/>
        <v>1.0411314664988129</v>
      </c>
      <c r="I106" s="313">
        <f t="shared" si="28"/>
        <v>1692822.3981832657</v>
      </c>
      <c r="J106" s="313">
        <f t="shared" si="29"/>
        <v>66877.498183265794</v>
      </c>
      <c r="K106" s="147"/>
    </row>
    <row r="107" spans="1:11" s="32" customFormat="1" x14ac:dyDescent="0.25">
      <c r="A107" s="114"/>
      <c r="B107" s="119" t="s">
        <v>512</v>
      </c>
      <c r="C107" s="134">
        <f>'Elec Study Rpt'!K117</f>
        <v>119603565.13</v>
      </c>
      <c r="D107" s="512">
        <v>430572.84000000008</v>
      </c>
      <c r="E107" s="72">
        <v>0.36</v>
      </c>
      <c r="F107" s="231">
        <v>3.5999999999999999E-3</v>
      </c>
      <c r="G107" s="231">
        <f>'Elec Study Rpt'!V117</f>
        <v>1.5892553018247976E-2</v>
      </c>
      <c r="H107" s="231">
        <f t="shared" si="27"/>
        <v>4.4145980606244377</v>
      </c>
      <c r="I107" s="313">
        <f t="shared" si="28"/>
        <v>1900806.0244215566</v>
      </c>
      <c r="J107" s="313">
        <f t="shared" si="29"/>
        <v>1470233.1844215565</v>
      </c>
      <c r="K107" s="148"/>
    </row>
    <row r="108" spans="1:11" x14ac:dyDescent="0.25">
      <c r="A108" s="114"/>
      <c r="B108" s="119" t="s">
        <v>513</v>
      </c>
      <c r="C108" s="134">
        <f>'Elec Study Rpt'!K118</f>
        <v>53492873.450000003</v>
      </c>
      <c r="D108" s="510">
        <v>22113.119999999999</v>
      </c>
      <c r="E108" s="72">
        <v>2.72</v>
      </c>
      <c r="F108" s="231">
        <v>2.7200000000000002E-2</v>
      </c>
      <c r="G108" s="231">
        <f>'Elec Study Rpt'!V118</f>
        <v>3.5507140998423968E-2</v>
      </c>
      <c r="H108" s="231">
        <f t="shared" si="27"/>
        <v>1.3054095955302929</v>
      </c>
      <c r="I108" s="313">
        <f t="shared" si="28"/>
        <v>28866.679035112829</v>
      </c>
      <c r="J108" s="313">
        <f t="shared" si="29"/>
        <v>6753.5590351128303</v>
      </c>
      <c r="K108" s="147"/>
    </row>
    <row r="109" spans="1:11" x14ac:dyDescent="0.25">
      <c r="A109" s="114"/>
      <c r="B109" s="119"/>
      <c r="C109" s="134"/>
      <c r="D109" s="510">
        <v>1680351.8699999999</v>
      </c>
      <c r="E109" s="72">
        <v>3.19</v>
      </c>
      <c r="F109" s="231">
        <v>3.1899999999999998E-2</v>
      </c>
      <c r="G109" s="231">
        <f>G108</f>
        <v>3.5507140998423968E-2</v>
      </c>
      <c r="H109" s="231">
        <f t="shared" si="27"/>
        <v>1.1130765203267703</v>
      </c>
      <c r="I109" s="313">
        <f t="shared" si="28"/>
        <v>1870360.2123841813</v>
      </c>
      <c r="J109" s="313">
        <f t="shared" si="29"/>
        <v>190008.34238418145</v>
      </c>
      <c r="K109" s="147"/>
    </row>
    <row r="110" spans="1:11" x14ac:dyDescent="0.25">
      <c r="A110" s="114"/>
      <c r="B110" s="119" t="s">
        <v>514</v>
      </c>
      <c r="C110" s="134">
        <f>'Elec Study Rpt'!K119</f>
        <v>60540016.920000002</v>
      </c>
      <c r="D110" s="511">
        <v>7532.3999999999987</v>
      </c>
      <c r="E110" s="95">
        <v>2.17</v>
      </c>
      <c r="F110" s="231">
        <v>2.1700000000000001E-2</v>
      </c>
      <c r="G110" s="371">
        <f>'Elec Study Rpt'!V119</f>
        <v>3.6079689288596915E-2</v>
      </c>
      <c r="H110" s="371">
        <f t="shared" si="27"/>
        <v>1.6626584925620698</v>
      </c>
      <c r="I110" s="364">
        <f t="shared" si="28"/>
        <v>12523.808829374531</v>
      </c>
      <c r="J110" s="364">
        <f>I110-D110</f>
        <v>4991.4088293745326</v>
      </c>
      <c r="K110" s="147"/>
    </row>
    <row r="111" spans="1:11" x14ac:dyDescent="0.25">
      <c r="A111" s="114"/>
      <c r="B111" s="119"/>
      <c r="C111" s="135"/>
      <c r="D111" s="513">
        <v>1953373.78</v>
      </c>
      <c r="E111" s="73">
        <v>3.19</v>
      </c>
      <c r="F111" s="232">
        <v>3.1899999999999998E-2</v>
      </c>
      <c r="G111" s="232">
        <f>G110</f>
        <v>3.6079689288596915E-2</v>
      </c>
      <c r="H111" s="371">
        <f t="shared" si="27"/>
        <v>1.131024742589245</v>
      </c>
      <c r="I111" s="314">
        <f t="shared" si="28"/>
        <v>2209314.0767050805</v>
      </c>
      <c r="J111" s="314">
        <f>I111-D111</f>
        <v>255940.29670508043</v>
      </c>
      <c r="K111" s="147"/>
    </row>
    <row r="112" spans="1:11" x14ac:dyDescent="0.25">
      <c r="A112" s="114"/>
      <c r="B112" s="119"/>
      <c r="C112" s="137"/>
      <c r="D112" s="9"/>
      <c r="E112" s="72"/>
      <c r="F112" s="114"/>
      <c r="G112" s="114"/>
      <c r="H112" s="381"/>
      <c r="I112" s="9"/>
      <c r="J112" s="9"/>
      <c r="K112" s="147"/>
    </row>
    <row r="113" spans="1:11" x14ac:dyDescent="0.25">
      <c r="A113" s="114"/>
      <c r="B113" s="121" t="s">
        <v>515</v>
      </c>
      <c r="C113" s="134">
        <f>+SUBTOTAL(9,C105:C111)</f>
        <v>349260925.45999998</v>
      </c>
      <c r="D113" s="134">
        <f>+SUBTOTAL(9,D105:D111)</f>
        <v>5967957.71</v>
      </c>
      <c r="E113" s="320">
        <f>D113/C113</f>
        <v>1.7087390185832559E-2</v>
      </c>
      <c r="F113" s="231">
        <f>D113/C113</f>
        <v>1.7087390185832559E-2</v>
      </c>
      <c r="G113" s="231">
        <f>I113/C113</f>
        <v>2.4787733814095596E-2</v>
      </c>
      <c r="H113" s="371">
        <f>G113/F113</f>
        <v>1.4506448055857892</v>
      </c>
      <c r="I113" s="134">
        <f>+SUBTOTAL(9,I105:I111)</f>
        <v>8657386.8519671634</v>
      </c>
      <c r="J113" s="134">
        <f>+SUBTOTAL(9,J105:J111)</f>
        <v>2689429.1419671644</v>
      </c>
      <c r="K113" s="128">
        <f>H113*D113-I113</f>
        <v>0</v>
      </c>
    </row>
    <row r="114" spans="1:11" x14ac:dyDescent="0.25">
      <c r="A114" s="114"/>
      <c r="B114" s="134"/>
      <c r="C114" s="137"/>
      <c r="D114" s="9"/>
      <c r="E114" s="72"/>
      <c r="F114" s="114"/>
      <c r="G114" s="114"/>
      <c r="H114" s="114"/>
      <c r="I114" s="107"/>
      <c r="J114" s="318"/>
      <c r="K114" s="147"/>
    </row>
    <row r="115" spans="1:11" x14ac:dyDescent="0.25">
      <c r="A115" s="114">
        <v>333</v>
      </c>
      <c r="B115" s="119" t="s">
        <v>516</v>
      </c>
      <c r="C115" s="137"/>
      <c r="D115" s="9"/>
      <c r="E115" s="72"/>
      <c r="F115" s="114"/>
      <c r="G115" s="114"/>
      <c r="H115" s="114"/>
      <c r="I115" s="9"/>
      <c r="J115" s="9"/>
      <c r="K115" s="147"/>
    </row>
    <row r="116" spans="1:11" x14ac:dyDescent="0.25">
      <c r="A116" s="114"/>
      <c r="B116" s="119" t="s">
        <v>517</v>
      </c>
      <c r="C116" s="134">
        <f>'Elec Study Rpt'!K124</f>
        <v>41634914.700000003</v>
      </c>
      <c r="D116" s="510">
        <v>223788.12000000008</v>
      </c>
      <c r="E116" s="72">
        <v>2</v>
      </c>
      <c r="F116" s="231">
        <v>0.02</v>
      </c>
      <c r="G116" s="231">
        <f>'Elec Study Rpt'!V124</f>
        <v>2.1453508586148248E-2</v>
      </c>
      <c r="H116" s="231">
        <f t="shared" ref="H116:H122" si="30">G116/F116</f>
        <v>1.0726754293074123</v>
      </c>
      <c r="I116" s="313">
        <f>D116*H116</f>
        <v>240052.01769489879</v>
      </c>
      <c r="J116" s="313">
        <f t="shared" ref="J116:J120" si="31">I116-D116</f>
        <v>16263.897694898711</v>
      </c>
      <c r="K116" s="147"/>
    </row>
    <row r="117" spans="1:11" x14ac:dyDescent="0.25">
      <c r="A117" s="114"/>
      <c r="B117" s="119"/>
      <c r="C117" s="134"/>
      <c r="D117" s="510">
        <v>666756.60000000009</v>
      </c>
      <c r="E117" s="72">
        <v>2.19</v>
      </c>
      <c r="F117" s="231">
        <v>2.1899999999999999E-2</v>
      </c>
      <c r="G117" s="231">
        <f>G116</f>
        <v>2.1453508586148248E-2</v>
      </c>
      <c r="H117" s="231">
        <f t="shared" si="30"/>
        <v>0.97961226420768255</v>
      </c>
      <c r="I117" s="313">
        <f>D117*H117</f>
        <v>653162.94260141614</v>
      </c>
      <c r="J117" s="313">
        <f t="shared" si="31"/>
        <v>-13593.65739858395</v>
      </c>
      <c r="K117" s="147"/>
    </row>
    <row r="118" spans="1:11" x14ac:dyDescent="0.25">
      <c r="A118" s="114"/>
      <c r="B118" s="119" t="s">
        <v>518</v>
      </c>
      <c r="C118" s="512">
        <f>'Elec Study Rpt'!K125</f>
        <v>13128270.76</v>
      </c>
      <c r="D118" s="510">
        <v>0</v>
      </c>
      <c r="E118" s="313">
        <v>0</v>
      </c>
      <c r="F118" s="317">
        <v>0</v>
      </c>
      <c r="G118" s="317">
        <f>'Elec Study Rpt'!V125</f>
        <v>9.6192409730586643E-3</v>
      </c>
      <c r="H118" s="317"/>
      <c r="I118" s="313">
        <v>0</v>
      </c>
      <c r="J118" s="313">
        <f t="shared" si="31"/>
        <v>0</v>
      </c>
      <c r="K118" s="147"/>
    </row>
    <row r="119" spans="1:11" x14ac:dyDescent="0.25">
      <c r="A119" s="114"/>
      <c r="B119" s="119" t="s">
        <v>519</v>
      </c>
      <c r="C119" s="134">
        <f>'Elec Study Rpt'!K126</f>
        <v>36614585.439999998</v>
      </c>
      <c r="D119" s="510">
        <v>26900.22</v>
      </c>
      <c r="E119" s="72">
        <v>1.61</v>
      </c>
      <c r="F119" s="231">
        <v>1.61E-2</v>
      </c>
      <c r="G119" s="231">
        <f>'Elec Study Rpt'!V126</f>
        <v>3.4577723188336067E-2</v>
      </c>
      <c r="H119" s="231">
        <f>G119/F119</f>
        <v>2.1476846700829855</v>
      </c>
      <c r="I119" s="313">
        <f t="shared" ref="I119:I122" si="32">D119*H119</f>
        <v>57773.190115859732</v>
      </c>
      <c r="J119" s="313">
        <f t="shared" si="31"/>
        <v>30872.970115859731</v>
      </c>
      <c r="K119" s="147"/>
    </row>
    <row r="120" spans="1:11" x14ac:dyDescent="0.25">
      <c r="A120" s="114"/>
      <c r="B120" s="119"/>
      <c r="C120" s="134"/>
      <c r="D120" s="510">
        <v>1097277.57</v>
      </c>
      <c r="E120" s="72">
        <v>3.19</v>
      </c>
      <c r="F120" s="231">
        <v>3.1899999999999998E-2</v>
      </c>
      <c r="G120" s="231">
        <f>G119</f>
        <v>3.4577723188336067E-2</v>
      </c>
      <c r="H120" s="231">
        <f t="shared" si="30"/>
        <v>1.0839411657785603</v>
      </c>
      <c r="I120" s="313">
        <f t="shared" si="32"/>
        <v>1189384.3284084657</v>
      </c>
      <c r="J120" s="313">
        <f t="shared" si="31"/>
        <v>92106.758408465656</v>
      </c>
      <c r="K120" s="147"/>
    </row>
    <row r="121" spans="1:11" x14ac:dyDescent="0.25">
      <c r="A121" s="114"/>
      <c r="B121" s="119" t="s">
        <v>520</v>
      </c>
      <c r="C121" s="134">
        <f>'Elec Study Rpt'!K127</f>
        <v>35031623.57</v>
      </c>
      <c r="D121" s="511">
        <v>906506.84000000008</v>
      </c>
      <c r="E121" s="95">
        <v>3.19</v>
      </c>
      <c r="F121" s="231">
        <v>3.1899999999999998E-2</v>
      </c>
      <c r="G121" s="371">
        <f>'Elec Study Rpt'!V127</f>
        <v>3.4892644857224923E-2</v>
      </c>
      <c r="H121" s="371">
        <f t="shared" si="30"/>
        <v>1.093813318408305</v>
      </c>
      <c r="I121" s="364">
        <f t="shared" si="32"/>
        <v>991549.25482022646</v>
      </c>
      <c r="J121" s="364">
        <f>I121-D121</f>
        <v>85042.414820226375</v>
      </c>
      <c r="K121" s="147"/>
    </row>
    <row r="122" spans="1:11" x14ac:dyDescent="0.25">
      <c r="A122" s="114"/>
      <c r="B122" s="119"/>
      <c r="C122" s="135"/>
      <c r="D122" s="513">
        <v>214318.20000000004</v>
      </c>
      <c r="E122" s="73">
        <v>3.24</v>
      </c>
      <c r="F122" s="232">
        <v>3.2400000000000005E-2</v>
      </c>
      <c r="G122" s="232">
        <f>G121</f>
        <v>3.4892644857224923E-2</v>
      </c>
      <c r="H122" s="232">
        <f t="shared" si="30"/>
        <v>1.0769334832476827</v>
      </c>
      <c r="I122" s="314">
        <f t="shared" si="32"/>
        <v>230806.44564937355</v>
      </c>
      <c r="J122" s="314">
        <f>I122-D122</f>
        <v>16488.245649373508</v>
      </c>
      <c r="K122" s="147"/>
    </row>
    <row r="123" spans="1:11" x14ac:dyDescent="0.25">
      <c r="A123" s="114"/>
      <c r="B123" s="119"/>
      <c r="C123" s="137"/>
      <c r="D123" s="9"/>
      <c r="E123" s="72"/>
      <c r="F123" s="114"/>
      <c r="G123" s="114"/>
      <c r="H123" s="114"/>
      <c r="I123" s="9"/>
      <c r="J123" s="9"/>
      <c r="K123" s="147"/>
    </row>
    <row r="124" spans="1:11" x14ac:dyDescent="0.25">
      <c r="A124" s="114"/>
      <c r="B124" s="121" t="s">
        <v>521</v>
      </c>
      <c r="C124" s="134">
        <f>+SUBTOTAL(9,C116:C122)</f>
        <v>126409394.47</v>
      </c>
      <c r="D124" s="134">
        <f>+SUBTOTAL(9,D116:D122)</f>
        <v>3135547.5500000007</v>
      </c>
      <c r="E124" s="317">
        <f>D124/C124</f>
        <v>2.4804703504407197E-2</v>
      </c>
      <c r="F124" s="231">
        <f>D124/C124</f>
        <v>2.4804703504407197E-2</v>
      </c>
      <c r="G124" s="231">
        <f>I124/C124</f>
        <v>2.6601885037019914E-2</v>
      </c>
      <c r="H124" s="231">
        <f t="shared" ref="H124" si="33">G124/F124</f>
        <v>1.0724532559840274</v>
      </c>
      <c r="I124" s="134">
        <f>+SUBTOTAL(9,I116:I122)</f>
        <v>3362728.1792902406</v>
      </c>
      <c r="J124" s="134">
        <f>+SUBTOTAL(9,J116:J122)</f>
        <v>227180.62929024003</v>
      </c>
      <c r="K124" s="128">
        <f>H124*D124-I124</f>
        <v>0</v>
      </c>
    </row>
    <row r="125" spans="1:11" x14ac:dyDescent="0.25">
      <c r="A125" s="114"/>
      <c r="B125" s="119"/>
      <c r="C125" s="137"/>
      <c r="D125" s="9"/>
      <c r="E125" s="72"/>
      <c r="F125" s="114"/>
      <c r="G125" s="114"/>
      <c r="H125" s="114"/>
      <c r="I125" s="312"/>
      <c r="J125" s="318"/>
      <c r="K125" s="147"/>
    </row>
    <row r="126" spans="1:11" x14ac:dyDescent="0.25">
      <c r="A126" s="114">
        <v>334</v>
      </c>
      <c r="B126" s="119" t="s">
        <v>5</v>
      </c>
      <c r="C126" s="137"/>
      <c r="D126" s="9"/>
      <c r="E126" s="72"/>
      <c r="F126" s="114"/>
      <c r="G126" s="114"/>
      <c r="H126" s="114"/>
      <c r="I126" s="9"/>
      <c r="J126" s="9"/>
      <c r="K126" s="147"/>
    </row>
    <row r="127" spans="1:11" x14ac:dyDescent="0.25">
      <c r="A127" s="114"/>
      <c r="B127" s="119" t="s">
        <v>522</v>
      </c>
      <c r="C127" s="134">
        <f>'Elec Study Rpt'!K132</f>
        <v>15578198.470000001</v>
      </c>
      <c r="D127" s="510">
        <v>27321.24</v>
      </c>
      <c r="E127" s="72">
        <v>1.34</v>
      </c>
      <c r="F127" s="231">
        <v>1.34E-2</v>
      </c>
      <c r="G127" s="231">
        <f>'Elec Study Rpt'!V132</f>
        <v>2.2076301098762414E-2</v>
      </c>
      <c r="H127" s="231">
        <f t="shared" ref="H127:H131" si="34">G127/F127</f>
        <v>1.6474851566240607</v>
      </c>
      <c r="I127" s="313">
        <f t="shared" ref="I127:I129" si="35">D127*H127</f>
        <v>45011.337360563557</v>
      </c>
      <c r="J127" s="313">
        <f t="shared" ref="J127:J130" si="36">I127-D127</f>
        <v>17690.097360563555</v>
      </c>
      <c r="K127" s="147"/>
    </row>
    <row r="128" spans="1:11" x14ac:dyDescent="0.25">
      <c r="A128" s="114"/>
      <c r="B128" s="119"/>
      <c r="C128" s="134"/>
      <c r="D128" s="510">
        <v>296510.64</v>
      </c>
      <c r="E128" s="72">
        <v>2.19</v>
      </c>
      <c r="F128" s="231">
        <v>2.1899999999999999E-2</v>
      </c>
      <c r="G128" s="231">
        <f>G127</f>
        <v>2.2076301098762414E-2</v>
      </c>
      <c r="H128" s="231">
        <f t="shared" si="34"/>
        <v>1.008050278482302</v>
      </c>
      <c r="I128" s="313">
        <f t="shared" si="35"/>
        <v>298897.6332249656</v>
      </c>
      <c r="J128" s="313">
        <f t="shared" si="36"/>
        <v>2386.9932249655831</v>
      </c>
      <c r="K128" s="147"/>
    </row>
    <row r="129" spans="1:12" x14ac:dyDescent="0.25">
      <c r="A129" s="114"/>
      <c r="B129" s="119" t="s">
        <v>518</v>
      </c>
      <c r="C129" s="134">
        <f>'Elec Study Rpt'!K133</f>
        <v>2738077.7</v>
      </c>
      <c r="D129" s="510">
        <v>300.29999999999995</v>
      </c>
      <c r="E129" s="72">
        <v>0.01</v>
      </c>
      <c r="F129" s="231">
        <v>1E-4</v>
      </c>
      <c r="G129" s="231">
        <f>'Elec Study Rpt'!V133</f>
        <v>1.4018959359699689E-2</v>
      </c>
      <c r="H129" s="231">
        <f>G129/F129</f>
        <v>140.1895935969969</v>
      </c>
      <c r="I129" s="313">
        <f t="shared" si="35"/>
        <v>42098.934957178164</v>
      </c>
      <c r="J129" s="313">
        <f t="shared" si="36"/>
        <v>41798.634957178161</v>
      </c>
      <c r="K129" s="147"/>
      <c r="L129" s="311"/>
    </row>
    <row r="130" spans="1:12" x14ac:dyDescent="0.25">
      <c r="A130" s="114"/>
      <c r="B130" s="119" t="s">
        <v>523</v>
      </c>
      <c r="C130" s="134">
        <f>'Elec Study Rpt'!K134</f>
        <v>16156295.24</v>
      </c>
      <c r="D130" s="510">
        <v>515339.29000000004</v>
      </c>
      <c r="E130" s="72">
        <v>3.19</v>
      </c>
      <c r="F130" s="231">
        <v>3.1899999999999998E-2</v>
      </c>
      <c r="G130" s="231">
        <f>'Elec Study Rpt'!V134</f>
        <v>3.4739461718328937E-2</v>
      </c>
      <c r="H130" s="231">
        <f t="shared" si="34"/>
        <v>1.0890113391325686</v>
      </c>
      <c r="I130" s="313">
        <f>D130*H130</f>
        <v>561210.33031052724</v>
      </c>
      <c r="J130" s="313">
        <f t="shared" si="36"/>
        <v>45871.040310527198</v>
      </c>
      <c r="K130" s="147"/>
    </row>
    <row r="131" spans="1:12" x14ac:dyDescent="0.25">
      <c r="A131" s="114"/>
      <c r="B131" s="119" t="s">
        <v>524</v>
      </c>
      <c r="C131" s="134">
        <f>'Elec Study Rpt'!K135</f>
        <v>11055386.449999999</v>
      </c>
      <c r="D131" s="511">
        <v>352675.23000000004</v>
      </c>
      <c r="E131" s="95">
        <v>3.19</v>
      </c>
      <c r="F131" s="231">
        <v>3.1899999999999998E-2</v>
      </c>
      <c r="G131" s="371">
        <f>'Elec Study Rpt'!V135</f>
        <v>3.5134366560293333E-2</v>
      </c>
      <c r="H131" s="371">
        <f t="shared" si="34"/>
        <v>1.1013908012631139</v>
      </c>
      <c r="I131" s="364">
        <f>D131*H131</f>
        <v>388433.25415535306</v>
      </c>
      <c r="J131" s="364">
        <f>I131-D131</f>
        <v>35758.024155353021</v>
      </c>
      <c r="K131" s="147"/>
    </row>
    <row r="132" spans="1:12" x14ac:dyDescent="0.25">
      <c r="A132" s="114"/>
      <c r="B132" s="119"/>
      <c r="C132" s="135"/>
      <c r="D132" s="314"/>
      <c r="E132" s="73"/>
      <c r="F132" s="232"/>
      <c r="G132" s="232"/>
      <c r="H132" s="232"/>
      <c r="I132" s="314"/>
      <c r="J132" s="314"/>
      <c r="K132" s="147"/>
    </row>
    <row r="133" spans="1:12" x14ac:dyDescent="0.25">
      <c r="A133" s="114"/>
      <c r="B133" s="119"/>
      <c r="C133" s="137"/>
      <c r="D133" s="9"/>
      <c r="E133" s="72"/>
      <c r="F133" s="114"/>
      <c r="G133" s="114"/>
      <c r="H133" s="114"/>
      <c r="I133" s="9"/>
      <c r="J133" s="9"/>
      <c r="K133" s="147"/>
    </row>
    <row r="134" spans="1:12" x14ac:dyDescent="0.25">
      <c r="A134" s="114"/>
      <c r="B134" s="121" t="s">
        <v>494</v>
      </c>
      <c r="C134" s="134">
        <f>+SUBTOTAL(9,C127:C132)</f>
        <v>45527957.859999999</v>
      </c>
      <c r="D134" s="134">
        <f>+SUBTOTAL(9,D127:D132)</f>
        <v>1192146.7</v>
      </c>
      <c r="E134" s="317">
        <f>D134/C134</f>
        <v>2.6184936817633928E-2</v>
      </c>
      <c r="F134" s="231">
        <f>E134</f>
        <v>2.6184936817633928E-2</v>
      </c>
      <c r="G134" s="231">
        <f>I134/C134</f>
        <v>2.9336951464323541E-2</v>
      </c>
      <c r="H134" s="231">
        <f t="shared" ref="H134" si="37">G134/F134</f>
        <v>1.1203751098825232</v>
      </c>
      <c r="I134" s="134">
        <f>+SUBTOTAL(9,I127:I132)</f>
        <v>1335651.4900085875</v>
      </c>
      <c r="J134" s="134">
        <f>+SUBTOTAL(9,J127:J132)</f>
        <v>143504.79000858753</v>
      </c>
      <c r="K134" s="128">
        <f>H134*D134-I134</f>
        <v>0</v>
      </c>
    </row>
    <row r="135" spans="1:12" x14ac:dyDescent="0.25">
      <c r="A135" s="114"/>
      <c r="B135" s="134"/>
      <c r="C135" s="137"/>
      <c r="D135" s="9"/>
      <c r="E135" s="72"/>
      <c r="F135" s="114"/>
      <c r="G135" s="114"/>
      <c r="H135" s="114"/>
      <c r="I135" s="312"/>
      <c r="J135" s="318"/>
      <c r="K135" s="147"/>
    </row>
    <row r="136" spans="1:12" x14ac:dyDescent="0.25">
      <c r="A136" s="114">
        <v>335</v>
      </c>
      <c r="B136" s="119" t="s">
        <v>495</v>
      </c>
      <c r="C136" s="137"/>
      <c r="D136" s="9"/>
      <c r="E136" s="72"/>
      <c r="F136" s="114"/>
      <c r="G136" s="114"/>
      <c r="H136" s="114"/>
      <c r="I136" s="9"/>
      <c r="J136" s="9"/>
      <c r="K136" s="147"/>
    </row>
    <row r="137" spans="1:12" x14ac:dyDescent="0.25">
      <c r="A137" s="114"/>
      <c r="B137" s="119" t="s">
        <v>517</v>
      </c>
      <c r="C137" s="134">
        <f>'Elec Study Rpt'!K140</f>
        <v>8012780.46</v>
      </c>
      <c r="D137" s="510">
        <v>1354.08</v>
      </c>
      <c r="E137" s="72">
        <v>0.18</v>
      </c>
      <c r="F137" s="231">
        <f t="shared" ref="F137:F142" si="38">E137*0.01</f>
        <v>1.8E-3</v>
      </c>
      <c r="G137" s="231">
        <f>'Elec Study Rpt'!V140</f>
        <v>2.703518473785815E-2</v>
      </c>
      <c r="H137" s="231">
        <f>G137/F137</f>
        <v>15.019547076587861</v>
      </c>
      <c r="I137" s="313">
        <f>D137*H137</f>
        <v>20337.66830546609</v>
      </c>
      <c r="J137" s="313">
        <f t="shared" ref="J137:J142" si="39">I137-D137</f>
        <v>18983.588305466088</v>
      </c>
      <c r="K137" s="147"/>
      <c r="L137" s="143"/>
    </row>
    <row r="138" spans="1:12" x14ac:dyDescent="0.25">
      <c r="A138" s="114"/>
      <c r="B138" s="119"/>
      <c r="C138" s="134"/>
      <c r="D138" s="510">
        <v>159005.88000000003</v>
      </c>
      <c r="E138" s="72">
        <v>2.19</v>
      </c>
      <c r="F138" s="231">
        <f t="shared" si="38"/>
        <v>2.1899999999999999E-2</v>
      </c>
      <c r="G138" s="231">
        <f>G137</f>
        <v>2.703518473785815E-2</v>
      </c>
      <c r="H138" s="231">
        <f t="shared" ref="H138:H142" si="40">G138/F138</f>
        <v>1.2344833213633859</v>
      </c>
      <c r="I138" s="313">
        <f>D138*H138</f>
        <v>196290.10685870802</v>
      </c>
      <c r="J138" s="313">
        <f t="shared" si="39"/>
        <v>37284.226858707989</v>
      </c>
      <c r="K138" s="147"/>
    </row>
    <row r="139" spans="1:12" x14ac:dyDescent="0.25">
      <c r="A139" s="114"/>
      <c r="B139" s="119" t="s">
        <v>518</v>
      </c>
      <c r="C139" s="134">
        <f>'Elec Study Rpt'!K141</f>
        <v>1115022.1000000001</v>
      </c>
      <c r="D139" s="510">
        <v>23749.919999999998</v>
      </c>
      <c r="E139" s="72">
        <v>2.13</v>
      </c>
      <c r="F139" s="231">
        <f t="shared" si="38"/>
        <v>2.1299999999999999E-2</v>
      </c>
      <c r="G139" s="231">
        <f>'Elec Study Rpt'!V141</f>
        <v>1.9748487496346483E-2</v>
      </c>
      <c r="H139" s="231">
        <f t="shared" si="40"/>
        <v>0.92715903738715888</v>
      </c>
      <c r="I139" s="313">
        <f t="shared" ref="I139:I141" si="41">D139*H139</f>
        <v>22019.95296522203</v>
      </c>
      <c r="J139" s="313">
        <f t="shared" si="39"/>
        <v>-1729.9670347779684</v>
      </c>
      <c r="K139" s="147"/>
    </row>
    <row r="140" spans="1:12" x14ac:dyDescent="0.25">
      <c r="A140" s="114"/>
      <c r="B140" s="119" t="s">
        <v>519</v>
      </c>
      <c r="C140" s="134">
        <f>'Elec Study Rpt'!K142</f>
        <v>1548648.53</v>
      </c>
      <c r="D140" s="510">
        <v>46326.039999999994</v>
      </c>
      <c r="E140" s="72">
        <v>3.19</v>
      </c>
      <c r="F140" s="231">
        <f t="shared" si="38"/>
        <v>3.1899999999999998E-2</v>
      </c>
      <c r="G140" s="231">
        <f>'Elec Study Rpt'!V142</f>
        <v>3.6163144131870904E-2</v>
      </c>
      <c r="H140" s="231">
        <f t="shared" si="40"/>
        <v>1.1336408818768309</v>
      </c>
      <c r="I140" s="313">
        <f t="shared" si="41"/>
        <v>52517.092839461337</v>
      </c>
      <c r="J140" s="313">
        <f t="shared" si="39"/>
        <v>6191.052839461343</v>
      </c>
      <c r="K140" s="147"/>
    </row>
    <row r="141" spans="1:12" x14ac:dyDescent="0.25">
      <c r="A141" s="114"/>
      <c r="B141" s="119" t="s">
        <v>520</v>
      </c>
      <c r="C141" s="134">
        <f>'Elec Study Rpt'!K143</f>
        <v>1592310.85</v>
      </c>
      <c r="D141" s="511">
        <v>50767.15</v>
      </c>
      <c r="E141" s="95">
        <v>3.48</v>
      </c>
      <c r="F141" s="231">
        <f t="shared" si="38"/>
        <v>3.4799999999999998E-2</v>
      </c>
      <c r="G141" s="231">
        <f>'Elec Study Rpt'!V143</f>
        <v>3.5563407735367751E-2</v>
      </c>
      <c r="H141" s="231">
        <f t="shared" si="40"/>
        <v>1.0219370038898781</v>
      </c>
      <c r="I141" s="364">
        <f t="shared" si="41"/>
        <v>51880.829167028023</v>
      </c>
      <c r="J141" s="364">
        <f t="shared" si="39"/>
        <v>1113.6791670280218</v>
      </c>
      <c r="K141" s="147"/>
    </row>
    <row r="142" spans="1:12" x14ac:dyDescent="0.25">
      <c r="A142" s="114"/>
      <c r="B142" s="119"/>
      <c r="C142" s="135"/>
      <c r="D142" s="513">
        <v>17.399999999999995</v>
      </c>
      <c r="E142" s="73">
        <v>3.48</v>
      </c>
      <c r="F142" s="232">
        <f t="shared" si="38"/>
        <v>3.4799999999999998E-2</v>
      </c>
      <c r="G142" s="232">
        <f>G141</f>
        <v>3.5563407735367751E-2</v>
      </c>
      <c r="H142" s="232">
        <f t="shared" si="40"/>
        <v>1.0219370038898781</v>
      </c>
      <c r="I142" s="314">
        <f>D142*H142</f>
        <v>17.781703867683873</v>
      </c>
      <c r="J142" s="314">
        <f t="shared" si="39"/>
        <v>0.38170386768387843</v>
      </c>
      <c r="K142" s="147"/>
    </row>
    <row r="143" spans="1:12" x14ac:dyDescent="0.25">
      <c r="A143" s="114"/>
      <c r="B143" s="119"/>
      <c r="C143" s="137"/>
      <c r="D143" s="9"/>
      <c r="E143" s="72"/>
      <c r="F143" s="114"/>
      <c r="G143" s="114"/>
      <c r="H143" s="114"/>
      <c r="I143" s="9"/>
      <c r="J143" s="9"/>
      <c r="K143" s="147"/>
    </row>
    <row r="144" spans="1:12" x14ac:dyDescent="0.25">
      <c r="A144" s="114"/>
      <c r="B144" s="121" t="s">
        <v>503</v>
      </c>
      <c r="C144" s="134">
        <f>+SUBTOTAL(9,C137:C142)</f>
        <v>12268761.939999999</v>
      </c>
      <c r="D144" s="134">
        <f>+SUBTOTAL(9,D137:D142)</f>
        <v>281220.47000000003</v>
      </c>
      <c r="E144" s="317">
        <f>D144/C144</f>
        <v>2.2921666536142769E-2</v>
      </c>
      <c r="F144" s="231">
        <f>E144</f>
        <v>2.2921666536142769E-2</v>
      </c>
      <c r="G144" s="231">
        <f>I144/C144</f>
        <v>2.7962351337281973E-2</v>
      </c>
      <c r="H144" s="231">
        <f t="shared" ref="H144" si="42">G144/F144</f>
        <v>1.2199091760274532</v>
      </c>
      <c r="I144" s="134">
        <f>+SUBTOTAL(9,I137:I142)</f>
        <v>343063.43183975318</v>
      </c>
      <c r="J144" s="134">
        <f>+SUBTOTAL(9,J137:J142)</f>
        <v>61842.961839753159</v>
      </c>
      <c r="K144" s="128">
        <f>H144*D144-I144</f>
        <v>0</v>
      </c>
      <c r="L144" s="146"/>
    </row>
    <row r="145" spans="1:11" x14ac:dyDescent="0.25">
      <c r="A145" s="114"/>
      <c r="B145" s="119"/>
      <c r="C145" s="137"/>
      <c r="D145" s="9"/>
      <c r="E145" s="72"/>
      <c r="F145" s="114"/>
      <c r="G145" s="114"/>
      <c r="H145" s="114"/>
      <c r="I145" s="312"/>
      <c r="J145" s="318"/>
      <c r="K145" s="147"/>
    </row>
    <row r="146" spans="1:11" x14ac:dyDescent="0.25">
      <c r="A146" s="114">
        <v>335.1</v>
      </c>
      <c r="B146" s="119" t="s">
        <v>32</v>
      </c>
      <c r="C146" s="137"/>
      <c r="D146" s="9"/>
      <c r="E146" s="72"/>
      <c r="F146" s="114"/>
      <c r="G146" s="114"/>
      <c r="H146" s="114"/>
      <c r="I146" s="9"/>
      <c r="J146" s="9"/>
      <c r="K146" s="147"/>
    </row>
    <row r="147" spans="1:11" x14ac:dyDescent="0.25">
      <c r="A147" s="114"/>
      <c r="B147" s="119" t="s">
        <v>525</v>
      </c>
      <c r="C147" s="134">
        <f>'Elec Study Rpt'!K148</f>
        <v>846482.91</v>
      </c>
      <c r="D147" s="510">
        <v>30.79</v>
      </c>
      <c r="E147" s="72">
        <v>2.19</v>
      </c>
      <c r="F147" s="231">
        <f t="shared" ref="F147:F151" si="43">E147*0.01</f>
        <v>2.1899999999999999E-2</v>
      </c>
      <c r="G147" s="231">
        <f>'Elec Study Rpt'!V148</f>
        <v>1.7746371276414784E-2</v>
      </c>
      <c r="H147" s="231">
        <f t="shared" ref="H147:H150" si="44">G147/F147</f>
        <v>0.81033658796414543</v>
      </c>
      <c r="I147" s="313">
        <f>D147*H147</f>
        <v>24.950263543416035</v>
      </c>
      <c r="J147" s="313">
        <f t="shared" ref="J147:J150" si="45">I147-D147</f>
        <v>-5.8397364565839638</v>
      </c>
      <c r="K147" s="147"/>
    </row>
    <row r="148" spans="1:11" x14ac:dyDescent="0.25">
      <c r="A148" s="114"/>
      <c r="B148" s="119"/>
      <c r="C148" s="134"/>
      <c r="D148" s="510">
        <v>34204</v>
      </c>
      <c r="E148" s="72">
        <v>4.21</v>
      </c>
      <c r="F148" s="231">
        <f t="shared" si="43"/>
        <v>4.2099999999999999E-2</v>
      </c>
      <c r="G148" s="231">
        <f>G147</f>
        <v>1.7746371276414784E-2</v>
      </c>
      <c r="H148" s="231">
        <f t="shared" si="44"/>
        <v>0.42152900894096873</v>
      </c>
      <c r="I148" s="313">
        <f>D148*H148</f>
        <v>14417.978221816895</v>
      </c>
      <c r="J148" s="313">
        <f t="shared" si="45"/>
        <v>-19786.021778183105</v>
      </c>
      <c r="K148" s="147"/>
    </row>
    <row r="149" spans="1:11" x14ac:dyDescent="0.25">
      <c r="A149" s="114"/>
      <c r="B149" s="119" t="s">
        <v>526</v>
      </c>
      <c r="C149" s="134">
        <f>'Elec Study Rpt'!K149</f>
        <v>597432.9</v>
      </c>
      <c r="D149" s="510">
        <v>9459.93</v>
      </c>
      <c r="E149" s="72">
        <v>1.66</v>
      </c>
      <c r="F149" s="231">
        <f t="shared" si="43"/>
        <v>1.66E-2</v>
      </c>
      <c r="G149" s="231">
        <f>'Elec Study Rpt'!V149</f>
        <v>0.10362837399815109</v>
      </c>
      <c r="H149" s="231">
        <f t="shared" si="44"/>
        <v>6.2426731324187399</v>
      </c>
      <c r="I149" s="313">
        <f>D149*H149</f>
        <v>59055.250845562012</v>
      </c>
      <c r="J149" s="313">
        <f t="shared" si="45"/>
        <v>49595.320845562012</v>
      </c>
      <c r="K149" s="147"/>
    </row>
    <row r="150" spans="1:11" x14ac:dyDescent="0.25">
      <c r="A150" s="114"/>
      <c r="B150" s="119" t="s">
        <v>527</v>
      </c>
      <c r="C150" s="134">
        <f>'Elec Study Rpt'!K150</f>
        <v>674571.58</v>
      </c>
      <c r="D150" s="510">
        <v>20342.730000000003</v>
      </c>
      <c r="E150" s="72">
        <v>3.19</v>
      </c>
      <c r="F150" s="231">
        <f t="shared" si="43"/>
        <v>3.1899999999999998E-2</v>
      </c>
      <c r="G150" s="231">
        <f>'Elec Study Rpt'!V150</f>
        <v>1.3168357907992508E-2</v>
      </c>
      <c r="H150" s="231">
        <f t="shared" si="44"/>
        <v>0.41280118833832313</v>
      </c>
      <c r="I150" s="313">
        <f t="shared" ref="I150:I151" si="46">D150*H150</f>
        <v>8397.5031180456572</v>
      </c>
      <c r="J150" s="313">
        <f t="shared" si="45"/>
        <v>-11945.226881954346</v>
      </c>
      <c r="K150" s="147"/>
    </row>
    <row r="151" spans="1:11" x14ac:dyDescent="0.25">
      <c r="A151" s="114"/>
      <c r="B151" s="119" t="s">
        <v>528</v>
      </c>
      <c r="C151" s="135">
        <f>'Elec Study Rpt'!K151</f>
        <v>80300.259999999995</v>
      </c>
      <c r="D151" s="513">
        <v>9033.7200000000012</v>
      </c>
      <c r="E151" s="73">
        <v>11.25</v>
      </c>
      <c r="F151" s="232">
        <f t="shared" si="43"/>
        <v>0.1125</v>
      </c>
      <c r="G151" s="232">
        <f>'Elec Study Rpt'!V151</f>
        <v>2.5653715193450183E-3</v>
      </c>
      <c r="H151" s="232">
        <f>G151/F151</f>
        <v>2.2803302394177941E-2</v>
      </c>
      <c r="I151" s="314">
        <f t="shared" si="46"/>
        <v>205.99864890433318</v>
      </c>
      <c r="J151" s="314">
        <f>I151-D151</f>
        <v>-8827.7213510956681</v>
      </c>
      <c r="K151" s="147"/>
    </row>
    <row r="152" spans="1:11" x14ac:dyDescent="0.25">
      <c r="A152" s="114"/>
      <c r="B152" s="119"/>
      <c r="C152" s="137"/>
      <c r="D152" s="9"/>
      <c r="E152" s="72"/>
      <c r="F152" s="114"/>
      <c r="G152" s="114"/>
      <c r="H152" s="114"/>
      <c r="I152" s="9"/>
      <c r="J152" s="9"/>
      <c r="K152" s="147"/>
    </row>
    <row r="153" spans="1:11" x14ac:dyDescent="0.25">
      <c r="A153" s="114"/>
      <c r="B153" s="121" t="s">
        <v>529</v>
      </c>
      <c r="C153" s="134">
        <f>+SUBTOTAL(9,C147:C151)</f>
        <v>2198787.65</v>
      </c>
      <c r="D153" s="134">
        <f>+SUBTOTAL(9,D147:D151)</f>
        <v>73071.170000000013</v>
      </c>
      <c r="E153" s="317">
        <f>D153/C153</f>
        <v>3.3232481545000497E-2</v>
      </c>
      <c r="F153" s="231">
        <f>E153</f>
        <v>3.3232481545000497E-2</v>
      </c>
      <c r="G153" s="231">
        <f>I153/C153</f>
        <v>3.733952257639446E-2</v>
      </c>
      <c r="H153" s="231">
        <f t="shared" ref="H153" si="47">G153/F153</f>
        <v>1.1235851444266227</v>
      </c>
      <c r="I153" s="134">
        <f>+SUBTOTAL(9,I147:I151)</f>
        <v>82101.681097872322</v>
      </c>
      <c r="J153" s="134">
        <f>+SUBTOTAL(9,J147:J151)</f>
        <v>9030.5110978723096</v>
      </c>
      <c r="K153" s="128">
        <f>H153*D153-I153</f>
        <v>0</v>
      </c>
    </row>
    <row r="154" spans="1:11" x14ac:dyDescent="0.25">
      <c r="A154" s="114"/>
      <c r="B154" s="119"/>
      <c r="C154" s="137"/>
      <c r="D154" s="9"/>
      <c r="E154" s="72"/>
      <c r="F154" s="114"/>
      <c r="G154" s="114"/>
      <c r="H154" s="114"/>
      <c r="I154" s="312"/>
      <c r="J154" s="318"/>
      <c r="K154" s="147"/>
    </row>
    <row r="155" spans="1:11" x14ac:dyDescent="0.25">
      <c r="A155" s="114">
        <v>336</v>
      </c>
      <c r="B155" s="119" t="s">
        <v>530</v>
      </c>
      <c r="C155" s="137"/>
      <c r="D155" s="9"/>
      <c r="E155" s="72"/>
      <c r="F155" s="114"/>
      <c r="G155" s="114"/>
      <c r="H155" s="114"/>
      <c r="I155" s="9"/>
      <c r="J155" s="9"/>
      <c r="K155" s="147"/>
    </row>
    <row r="156" spans="1:11" x14ac:dyDescent="0.25">
      <c r="A156" s="114"/>
      <c r="B156" s="119" t="s">
        <v>511</v>
      </c>
      <c r="C156" s="134">
        <f>'Elec Study Rpt'!K156</f>
        <v>1588315.74</v>
      </c>
      <c r="D156" s="510">
        <v>469.92000000000013</v>
      </c>
      <c r="E156" s="72">
        <v>0.45</v>
      </c>
      <c r="F156" s="231">
        <v>4.4999999999999997E-3</v>
      </c>
      <c r="G156" s="231">
        <f>'Elec Study Rpt'!V156</f>
        <v>2.2983465491565297E-2</v>
      </c>
      <c r="H156" s="231">
        <f>G156/F156</f>
        <v>5.1074367759034001</v>
      </c>
      <c r="I156" s="313">
        <f>D156*H156</f>
        <v>2400.0866897325263</v>
      </c>
      <c r="J156" s="313">
        <f t="shared" ref="J156:J157" si="48">I156-D156</f>
        <v>1930.1666897325263</v>
      </c>
      <c r="K156" s="147"/>
    </row>
    <row r="157" spans="1:11" x14ac:dyDescent="0.25">
      <c r="A157" s="114"/>
      <c r="B157" s="119"/>
      <c r="C157" s="134"/>
      <c r="D157" s="510">
        <v>32497.439999999991</v>
      </c>
      <c r="E157" s="72"/>
      <c r="F157" s="231">
        <v>2.1899999999999999E-2</v>
      </c>
      <c r="G157" s="231">
        <f>G156</f>
        <v>2.2983465491565297E-2</v>
      </c>
      <c r="H157" s="231">
        <f t="shared" ref="H157" si="49">G157/F157</f>
        <v>1.049473310117137</v>
      </c>
      <c r="I157" s="313">
        <f>D157*H157</f>
        <v>34105.195927133042</v>
      </c>
      <c r="J157" s="313">
        <f t="shared" si="48"/>
        <v>1607.7559271330501</v>
      </c>
      <c r="K157" s="147"/>
    </row>
    <row r="158" spans="1:11" x14ac:dyDescent="0.25">
      <c r="A158" s="114"/>
      <c r="B158" s="119" t="s">
        <v>518</v>
      </c>
      <c r="C158" s="134">
        <f>'Elec Study Rpt'!K157</f>
        <v>2648181.67</v>
      </c>
      <c r="D158" s="9"/>
      <c r="E158" s="72">
        <v>0</v>
      </c>
      <c r="F158" s="231">
        <f t="shared" ref="F158" si="50">E158*0.01</f>
        <v>0</v>
      </c>
      <c r="G158" s="231">
        <f>'Elec Study Rpt'!V157</f>
        <v>2.5278854830227716E-2</v>
      </c>
      <c r="H158" s="231"/>
      <c r="I158" s="313">
        <v>0</v>
      </c>
      <c r="J158" s="313">
        <f>I158-D158</f>
        <v>0</v>
      </c>
      <c r="K158" s="147"/>
    </row>
    <row r="159" spans="1:11" x14ac:dyDescent="0.25">
      <c r="A159" s="114"/>
      <c r="B159" s="119" t="s">
        <v>531</v>
      </c>
      <c r="C159" s="134">
        <f>'Elec Study Rpt'!K158</f>
        <v>637500.65</v>
      </c>
      <c r="D159" s="510">
        <v>20334.46</v>
      </c>
      <c r="E159" s="72">
        <v>3.19</v>
      </c>
      <c r="F159" s="231">
        <v>3.1899999999999998E-2</v>
      </c>
      <c r="G159" s="231">
        <f>'Elec Study Rpt'!V158</f>
        <v>3.3814867482880213E-2</v>
      </c>
      <c r="H159" s="231">
        <f>G159/F159</f>
        <v>1.0600271938206964</v>
      </c>
      <c r="I159" s="364">
        <f>D159*H159</f>
        <v>21555.080571659197</v>
      </c>
      <c r="J159" s="313">
        <f>I159-D159</f>
        <v>1220.6205716591976</v>
      </c>
      <c r="K159" s="147"/>
    </row>
    <row r="160" spans="1:11" x14ac:dyDescent="0.25">
      <c r="A160" s="114"/>
      <c r="B160" s="119" t="s">
        <v>520</v>
      </c>
      <c r="C160" s="134">
        <f>'Elec Study Rpt'!K159</f>
        <v>157935.07</v>
      </c>
      <c r="D160" s="511">
        <v>5038.2300000000005</v>
      </c>
      <c r="E160" s="95">
        <v>3.19</v>
      </c>
      <c r="F160" s="371">
        <v>3.1899999999999998E-2</v>
      </c>
      <c r="G160" s="371">
        <f>'Elec Study Rpt'!V159</f>
        <v>3.3817694828640651E-2</v>
      </c>
      <c r="H160" s="231">
        <f>G160/F160</f>
        <v>1.0601158253492369</v>
      </c>
      <c r="I160" s="364">
        <f>D160*H160</f>
        <v>5341.1073547492861</v>
      </c>
      <c r="J160" s="364">
        <f>I160-D160</f>
        <v>302.87735474928559</v>
      </c>
      <c r="K160" s="147"/>
    </row>
    <row r="161" spans="1:12" x14ac:dyDescent="0.25">
      <c r="A161" s="114"/>
      <c r="B161" s="119"/>
      <c r="C161" s="135"/>
      <c r="D161" s="314"/>
      <c r="E161" s="73"/>
      <c r="F161" s="232"/>
      <c r="G161" s="232"/>
      <c r="H161" s="232"/>
      <c r="I161" s="314"/>
      <c r="J161" s="314"/>
      <c r="K161" s="147"/>
    </row>
    <row r="162" spans="1:12" x14ac:dyDescent="0.25">
      <c r="A162" s="114"/>
      <c r="B162" s="119"/>
      <c r="C162" s="137"/>
      <c r="D162" s="9"/>
      <c r="E162" s="72"/>
      <c r="F162" s="114"/>
      <c r="G162" s="114"/>
      <c r="H162" s="114"/>
      <c r="I162" s="9"/>
      <c r="J162" s="9"/>
      <c r="K162" s="147"/>
    </row>
    <row r="163" spans="1:12" x14ac:dyDescent="0.25">
      <c r="A163" s="114"/>
      <c r="B163" s="121" t="s">
        <v>532</v>
      </c>
      <c r="C163" s="135">
        <f>+SUBTOTAL(9,C156:C161)</f>
        <v>5031933.1300000008</v>
      </c>
      <c r="D163" s="135">
        <f>+SUBTOTAL(9,D156:D161)</f>
        <v>58340.049999999996</v>
      </c>
      <c r="E163" s="317">
        <f>D163/C163</f>
        <v>1.1593963690054042E-2</v>
      </c>
      <c r="F163" s="232">
        <f>E163</f>
        <v>1.1593963690054042E-2</v>
      </c>
      <c r="G163" s="232">
        <f>I163/C163</f>
        <v>1.2599823746718596E-2</v>
      </c>
      <c r="H163" s="231">
        <f t="shared" ref="H163:H165" si="51">G163/F163</f>
        <v>1.0867572198390993</v>
      </c>
      <c r="I163" s="135">
        <f>+SUBTOTAL(9,I156:I161)</f>
        <v>63401.470543274045</v>
      </c>
      <c r="J163" s="135">
        <f>+SUBTOTAL(9,J156:J161)</f>
        <v>5061.42054327406</v>
      </c>
      <c r="K163" s="128">
        <f>H163*D163-I163</f>
        <v>0</v>
      </c>
    </row>
    <row r="164" spans="1:12" x14ac:dyDescent="0.25">
      <c r="A164" s="114"/>
      <c r="B164" s="119"/>
      <c r="C164" s="137"/>
      <c r="D164" s="9"/>
      <c r="F164" s="114"/>
      <c r="G164" s="114"/>
      <c r="H164" s="381"/>
      <c r="I164" s="312"/>
      <c r="J164" s="199"/>
      <c r="K164" s="147"/>
    </row>
    <row r="165" spans="1:12" x14ac:dyDescent="0.25">
      <c r="A165" s="117"/>
      <c r="B165" s="116" t="s">
        <v>533</v>
      </c>
      <c r="C165" s="136">
        <f>SUBTOTAL(9,C91:C163)</f>
        <v>704883822.71000016</v>
      </c>
      <c r="D165" s="136">
        <f>SUBTOTAL(9,D91:D163)</f>
        <v>14991781.260000002</v>
      </c>
      <c r="F165" s="233">
        <f>D165/C165</f>
        <v>2.1268442794392016E-2</v>
      </c>
      <c r="G165" s="233">
        <f>I165/C165</f>
        <v>2.6565436816679153E-2</v>
      </c>
      <c r="H165" s="231">
        <f t="shared" si="51"/>
        <v>1.2490541537758386</v>
      </c>
      <c r="I165" s="136">
        <f>SUBTOTAL(9,I91:I163)</f>
        <v>18725546.65530178</v>
      </c>
      <c r="J165" s="136">
        <f>SUBTOTAL(9,J91:J163)</f>
        <v>3733765.3953017858</v>
      </c>
      <c r="K165" s="128">
        <f>H165*D165-I165</f>
        <v>0</v>
      </c>
    </row>
    <row r="166" spans="1:12" x14ac:dyDescent="0.25">
      <c r="A166" s="114"/>
      <c r="B166" s="119"/>
      <c r="C166" s="138"/>
      <c r="D166" s="138"/>
      <c r="F166" s="114"/>
      <c r="G166" s="114"/>
      <c r="H166" s="114"/>
      <c r="I166" s="138"/>
      <c r="J166" s="138"/>
      <c r="K166" s="147"/>
    </row>
    <row r="167" spans="1:12" x14ac:dyDescent="0.25">
      <c r="A167" s="114"/>
      <c r="B167" s="104"/>
      <c r="C167" s="137"/>
      <c r="D167" s="9"/>
      <c r="F167" s="114"/>
      <c r="G167" s="114"/>
      <c r="H167" s="114"/>
      <c r="I167" s="9"/>
      <c r="K167" s="147"/>
    </row>
    <row r="168" spans="1:12" x14ac:dyDescent="0.25">
      <c r="A168" s="114"/>
      <c r="B168" s="105" t="s">
        <v>45</v>
      </c>
      <c r="C168" s="137"/>
      <c r="D168" s="9"/>
      <c r="F168" s="114"/>
      <c r="G168" s="114"/>
      <c r="H168" s="114"/>
      <c r="I168" s="9"/>
      <c r="K168" s="147"/>
    </row>
    <row r="169" spans="1:12" x14ac:dyDescent="0.25">
      <c r="A169" s="114"/>
      <c r="B169" s="122"/>
      <c r="C169" s="137"/>
      <c r="D169" s="9"/>
      <c r="F169" s="114"/>
      <c r="G169" s="114"/>
      <c r="H169" s="114"/>
      <c r="I169" s="9"/>
      <c r="K169" s="147"/>
    </row>
    <row r="170" spans="1:12" x14ac:dyDescent="0.25">
      <c r="A170" s="114">
        <v>340.1</v>
      </c>
      <c r="B170" s="119" t="s">
        <v>38</v>
      </c>
      <c r="C170" s="134">
        <f>'Elec Study Rpt'!K172</f>
        <v>221928.75</v>
      </c>
      <c r="D170" s="313">
        <v>8477.6400000000012</v>
      </c>
      <c r="E170" s="72">
        <v>3.82</v>
      </c>
      <c r="F170" s="231">
        <f t="shared" ref="F170:F182" si="52">E170*0.01</f>
        <v>3.8199999999999998E-2</v>
      </c>
      <c r="G170" s="231">
        <f>'Elec Study Rpt'!V172</f>
        <v>1.1665906287490918E-2</v>
      </c>
      <c r="H170" s="231">
        <f t="shared" ref="H170:H184" si="53">G170/F170</f>
        <v>0.30539021695002405</v>
      </c>
      <c r="I170" s="313">
        <f t="shared" ref="I170:I182" si="54">D170*H170</f>
        <v>2588.9883188242025</v>
      </c>
      <c r="J170" s="143">
        <f t="shared" ref="J170" si="55">I170-D170</f>
        <v>-5888.6516811757992</v>
      </c>
      <c r="K170" s="128">
        <f>H170*D170-I170</f>
        <v>0</v>
      </c>
    </row>
    <row r="171" spans="1:12" x14ac:dyDescent="0.25">
      <c r="A171" s="110">
        <v>341</v>
      </c>
      <c r="B171" s="113" t="s">
        <v>2</v>
      </c>
      <c r="C171" s="134" t="s">
        <v>534</v>
      </c>
      <c r="D171" s="9"/>
      <c r="E171" s="72"/>
      <c r="F171" s="111"/>
      <c r="G171" s="111"/>
      <c r="H171" s="111"/>
      <c r="I171" s="312"/>
      <c r="J171" s="318"/>
      <c r="K171" s="231"/>
      <c r="L171" s="9"/>
    </row>
    <row r="172" spans="1:12" x14ac:dyDescent="0.25">
      <c r="A172" s="110"/>
      <c r="B172" s="113" t="s">
        <v>535</v>
      </c>
      <c r="C172" s="134">
        <f>'Elec Study Rpt'!K174</f>
        <v>9238362.0500000007</v>
      </c>
      <c r="D172" s="313">
        <v>196114.46000000002</v>
      </c>
      <c r="E172" s="72">
        <v>2.15</v>
      </c>
      <c r="F172" s="231">
        <f t="shared" si="52"/>
        <v>2.1499999999999998E-2</v>
      </c>
      <c r="G172" s="231">
        <f>'Elec Study Rpt'!V174</f>
        <v>2.5093409280273874E-2</v>
      </c>
      <c r="H172" s="231">
        <f t="shared" si="53"/>
        <v>1.1671353153615756</v>
      </c>
      <c r="I172" s="313">
        <f>D172*H172</f>
        <v>228892.11211906513</v>
      </c>
      <c r="J172" s="143">
        <f t="shared" ref="J172:J182" si="56">I172-D172</f>
        <v>32777.652119065111</v>
      </c>
      <c r="K172" s="147"/>
    </row>
    <row r="173" spans="1:12" x14ac:dyDescent="0.25">
      <c r="A173" s="110"/>
      <c r="B173" s="113" t="s">
        <v>468</v>
      </c>
      <c r="C173" s="134">
        <f>'Elec Study Rpt'!K175</f>
        <v>5774386.75</v>
      </c>
      <c r="D173" s="313">
        <v>164725.16999999998</v>
      </c>
      <c r="E173" s="72">
        <v>3.33</v>
      </c>
      <c r="F173" s="231">
        <f t="shared" si="52"/>
        <v>3.3300000000000003E-2</v>
      </c>
      <c r="G173" s="231">
        <f>'Elec Study Rpt'!V175</f>
        <v>2.4667381345733382E-2</v>
      </c>
      <c r="H173" s="231">
        <f t="shared" si="53"/>
        <v>0.74076220257457592</v>
      </c>
      <c r="I173" s="313">
        <f t="shared" si="54"/>
        <v>122022.17974867145</v>
      </c>
      <c r="J173" s="143">
        <f t="shared" si="56"/>
        <v>-42702.990251328534</v>
      </c>
      <c r="K173" s="147"/>
    </row>
    <row r="174" spans="1:12" x14ac:dyDescent="0.25">
      <c r="A174" s="110"/>
      <c r="B174" s="113" t="s">
        <v>469</v>
      </c>
      <c r="C174" s="134">
        <f>'Elec Study Rpt'!K176</f>
        <v>34450809.719999999</v>
      </c>
      <c r="D174" s="313">
        <v>533367.84000000008</v>
      </c>
      <c r="E174" s="72">
        <v>1.55</v>
      </c>
      <c r="F174" s="231">
        <f t="shared" si="52"/>
        <v>1.5500000000000002E-2</v>
      </c>
      <c r="G174" s="231">
        <f>'Elec Study Rpt'!V176</f>
        <v>1.0127076920269264E-2</v>
      </c>
      <c r="H174" s="231">
        <f t="shared" si="53"/>
        <v>0.65335980130769433</v>
      </c>
      <c r="I174" s="313">
        <f t="shared" si="54"/>
        <v>348481.10596631415</v>
      </c>
      <c r="J174" s="143">
        <f t="shared" si="56"/>
        <v>-184886.73403368593</v>
      </c>
      <c r="K174" s="147"/>
    </row>
    <row r="175" spans="1:12" x14ac:dyDescent="0.25">
      <c r="A175" s="110"/>
      <c r="B175" s="113" t="s">
        <v>470</v>
      </c>
      <c r="C175" s="134">
        <f>'Elec Study Rpt'!K177</f>
        <v>11003157.439999999</v>
      </c>
      <c r="D175" s="313">
        <v>306992.58999999997</v>
      </c>
      <c r="E175" s="72">
        <v>2.7987099999999998</v>
      </c>
      <c r="F175" s="231">
        <f t="shared" si="52"/>
        <v>2.7987099999999997E-2</v>
      </c>
      <c r="G175" s="231">
        <f>'Elec Study Rpt'!V177</f>
        <v>2.5891749850304787E-2</v>
      </c>
      <c r="H175" s="231">
        <f t="shared" si="53"/>
        <v>0.92513157312850525</v>
      </c>
      <c r="I175" s="313">
        <f t="shared" si="54"/>
        <v>284008.53772549418</v>
      </c>
      <c r="J175" s="143">
        <f t="shared" si="56"/>
        <v>-22984.052274505782</v>
      </c>
      <c r="K175" s="147"/>
    </row>
    <row r="176" spans="1:12" x14ac:dyDescent="0.25">
      <c r="A176" s="110"/>
      <c r="B176" s="113" t="s">
        <v>471</v>
      </c>
      <c r="C176" s="134">
        <f>'Elec Study Rpt'!K178</f>
        <v>2897941.9</v>
      </c>
      <c r="D176" s="313">
        <v>50424.12000000001</v>
      </c>
      <c r="E176" s="72">
        <v>1.74</v>
      </c>
      <c r="F176" s="231">
        <f t="shared" si="52"/>
        <v>1.7399999999999999E-2</v>
      </c>
      <c r="G176" s="231">
        <f>'Elec Study Rpt'!V178</f>
        <v>1.4921969277575924E-2</v>
      </c>
      <c r="H176" s="231">
        <f t="shared" si="53"/>
        <v>0.85758444123999567</v>
      </c>
      <c r="I176" s="313">
        <f>D176*H176</f>
        <v>43242.9407752185</v>
      </c>
      <c r="J176" s="143">
        <f t="shared" si="56"/>
        <v>-7181.1792247815101</v>
      </c>
      <c r="K176" s="147"/>
    </row>
    <row r="177" spans="1:12" x14ac:dyDescent="0.25">
      <c r="A177" s="110"/>
      <c r="B177" s="113" t="s">
        <v>536</v>
      </c>
      <c r="C177" s="134">
        <f>'Elec Study Rpt'!K179</f>
        <v>811209.69</v>
      </c>
      <c r="D177" s="313">
        <v>42695.640000000007</v>
      </c>
      <c r="E177" s="72">
        <v>5.26</v>
      </c>
      <c r="F177" s="231">
        <f t="shared" si="52"/>
        <v>5.2600000000000001E-2</v>
      </c>
      <c r="G177" s="231">
        <f>'Elec Study Rpt'!V179</f>
        <v>5.0461675328360545E-2</v>
      </c>
      <c r="H177" s="231">
        <f t="shared" si="53"/>
        <v>0.95934743970267189</v>
      </c>
      <c r="I177" s="313">
        <f>D177*H177</f>
        <v>40959.952920466989</v>
      </c>
      <c r="J177" s="313">
        <f t="shared" si="56"/>
        <v>-1735.6870795330178</v>
      </c>
      <c r="K177" s="147"/>
    </row>
    <row r="178" spans="1:12" x14ac:dyDescent="0.25">
      <c r="A178" s="110"/>
      <c r="B178" s="113" t="s">
        <v>537</v>
      </c>
      <c r="C178" s="134">
        <f>'Elec Study Rpt'!K180</f>
        <v>5035526.76</v>
      </c>
      <c r="D178" s="510">
        <v>157366.32</v>
      </c>
      <c r="E178" s="72">
        <v>4.16</v>
      </c>
      <c r="F178" s="231">
        <f t="shared" si="52"/>
        <v>4.1600000000000005E-2</v>
      </c>
      <c r="G178" s="231">
        <f>'Elec Study Rpt'!V180</f>
        <v>1.8007252135027876E-2</v>
      </c>
      <c r="H178" s="231">
        <f t="shared" si="53"/>
        <v>0.43286663786124696</v>
      </c>
      <c r="I178" s="313">
        <f>D178*H178</f>
        <v>68118.629850997109</v>
      </c>
      <c r="J178" s="313">
        <f t="shared" si="56"/>
        <v>-89247.690149002898</v>
      </c>
      <c r="K178" s="147"/>
    </row>
    <row r="179" spans="1:12" x14ac:dyDescent="0.25">
      <c r="A179" s="110"/>
      <c r="B179" s="113"/>
      <c r="C179" s="134"/>
      <c r="D179" s="510">
        <v>28889.279999999995</v>
      </c>
      <c r="E179" s="72">
        <v>2.31</v>
      </c>
      <c r="F179" s="231">
        <f t="shared" si="52"/>
        <v>2.3100000000000002E-2</v>
      </c>
      <c r="G179" s="231">
        <f>G178</f>
        <v>1.8007252135027876E-2</v>
      </c>
      <c r="H179" s="231">
        <f t="shared" si="53"/>
        <v>0.7795347244600811</v>
      </c>
      <c r="I179" s="313">
        <f>D179*H179</f>
        <v>22520.196924650128</v>
      </c>
      <c r="J179" s="313">
        <f t="shared" si="56"/>
        <v>-6369.0830753498667</v>
      </c>
      <c r="K179" s="147"/>
    </row>
    <row r="180" spans="1:12" x14ac:dyDescent="0.25">
      <c r="A180" s="110"/>
      <c r="B180" s="113" t="s">
        <v>538</v>
      </c>
      <c r="C180" s="134">
        <f>'Elec Study Rpt'!K181</f>
        <v>2735279.15</v>
      </c>
      <c r="D180" s="313">
        <v>87181.56</v>
      </c>
      <c r="E180" s="72">
        <v>3.22</v>
      </c>
      <c r="F180" s="231">
        <f t="shared" si="52"/>
        <v>3.2199999999999999E-2</v>
      </c>
      <c r="G180" s="231">
        <f>'Elec Study Rpt'!V181</f>
        <v>9.0612323791522346E-3</v>
      </c>
      <c r="H180" s="231">
        <f t="shared" si="53"/>
        <v>0.28140473227180851</v>
      </c>
      <c r="I180" s="313">
        <f t="shared" si="54"/>
        <v>24533.303550838609</v>
      </c>
      <c r="J180" s="143">
        <f t="shared" si="56"/>
        <v>-62648.256449161388</v>
      </c>
      <c r="K180" s="147"/>
    </row>
    <row r="181" spans="1:12" x14ac:dyDescent="0.25">
      <c r="A181" s="110"/>
      <c r="B181" s="113" t="s">
        <v>539</v>
      </c>
      <c r="C181" s="134">
        <f>'Elec Study Rpt'!K182</f>
        <v>1010183.43</v>
      </c>
      <c r="D181" s="313">
        <v>72602.559999999998</v>
      </c>
      <c r="E181" s="72">
        <v>7.69</v>
      </c>
      <c r="F181" s="231">
        <f t="shared" si="52"/>
        <v>7.690000000000001E-2</v>
      </c>
      <c r="G181" s="231">
        <f>'Elec Study Rpt'!V182</f>
        <v>2.8258234249595639E-2</v>
      </c>
      <c r="H181" s="231">
        <f t="shared" si="53"/>
        <v>0.36746728543037238</v>
      </c>
      <c r="I181" s="313">
        <f t="shared" si="54"/>
        <v>26679.065638495736</v>
      </c>
      <c r="J181" s="143">
        <f t="shared" si="56"/>
        <v>-45923.494361504258</v>
      </c>
      <c r="K181" s="147"/>
    </row>
    <row r="182" spans="1:12" x14ac:dyDescent="0.25">
      <c r="A182" s="110"/>
      <c r="B182" s="113" t="s">
        <v>472</v>
      </c>
      <c r="C182" s="135">
        <f>'Elec Study Rpt'!K183</f>
        <v>5927075</v>
      </c>
      <c r="D182" s="314">
        <v>-11975.909999999998</v>
      </c>
      <c r="E182" s="72">
        <v>1.5044219999999999</v>
      </c>
      <c r="F182" s="232">
        <f t="shared" si="52"/>
        <v>1.5044219999999999E-2</v>
      </c>
      <c r="G182" s="232">
        <f>'Elec Study Rpt'!V183</f>
        <v>2.2802478456911714E-2</v>
      </c>
      <c r="H182" s="232">
        <f t="shared" si="53"/>
        <v>1.5156969558349795</v>
      </c>
      <c r="I182" s="314">
        <f t="shared" si="54"/>
        <v>-18151.850330353685</v>
      </c>
      <c r="J182" s="145">
        <f t="shared" si="56"/>
        <v>-6175.9403303536874</v>
      </c>
      <c r="K182" s="147"/>
    </row>
    <row r="183" spans="1:12" x14ac:dyDescent="0.25">
      <c r="A183" s="110"/>
      <c r="B183" s="113"/>
      <c r="C183" s="134"/>
      <c r="D183" s="9"/>
      <c r="E183" s="72"/>
      <c r="F183" s="110"/>
      <c r="G183" s="110"/>
      <c r="H183" s="110"/>
      <c r="I183" s="9"/>
      <c r="K183" s="147"/>
    </row>
    <row r="184" spans="1:12" x14ac:dyDescent="0.25">
      <c r="A184" s="110"/>
      <c r="B184" s="115" t="s">
        <v>428</v>
      </c>
      <c r="C184" s="134">
        <f>+SUBTOTAL(9,C172:C182)</f>
        <v>78883931.890000001</v>
      </c>
      <c r="D184" s="134">
        <f>+SUBTOTAL(9,D172:D182)</f>
        <v>1628383.6300000004</v>
      </c>
      <c r="E184" s="317">
        <f>D184/C184</f>
        <v>2.0642779726937371E-2</v>
      </c>
      <c r="F184" s="231">
        <f>E184</f>
        <v>2.0642779726937371E-2</v>
      </c>
      <c r="G184" s="231">
        <f>I184/C184</f>
        <v>1.5102013126717365E-2</v>
      </c>
      <c r="H184" s="231">
        <f t="shared" si="53"/>
        <v>0.73158815462291171</v>
      </c>
      <c r="I184" s="134">
        <f t="shared" ref="I184:J184" si="57">+SUBTOTAL(9,I172:I182)</f>
        <v>1191306.1748898586</v>
      </c>
      <c r="J184" s="134">
        <f t="shared" si="57"/>
        <v>-437077.45511014177</v>
      </c>
      <c r="K184" s="128">
        <f>H184*D184-I184</f>
        <v>0</v>
      </c>
    </row>
    <row r="185" spans="1:12" x14ac:dyDescent="0.25">
      <c r="A185" s="110"/>
      <c r="B185" s="115"/>
      <c r="C185" s="134"/>
      <c r="D185" s="9"/>
      <c r="E185" s="72"/>
      <c r="F185" s="114"/>
      <c r="G185" s="114"/>
      <c r="H185" s="114"/>
      <c r="I185" s="312"/>
      <c r="J185" s="199"/>
      <c r="K185" s="147"/>
    </row>
    <row r="186" spans="1:12" x14ac:dyDescent="0.25">
      <c r="A186" s="110">
        <v>341.01</v>
      </c>
      <c r="B186" s="113" t="s">
        <v>540</v>
      </c>
      <c r="C186" s="134"/>
      <c r="D186" s="9"/>
      <c r="E186" s="72"/>
      <c r="F186" s="114"/>
      <c r="G186" s="114"/>
      <c r="H186" s="114"/>
      <c r="I186" s="9"/>
      <c r="K186" s="147"/>
    </row>
    <row r="187" spans="1:12" x14ac:dyDescent="0.25">
      <c r="A187" s="110"/>
      <c r="B187" s="115" t="s">
        <v>541</v>
      </c>
      <c r="C187" s="134">
        <f>'Elec Study Rpt'!K188</f>
        <v>31416965.73</v>
      </c>
      <c r="D187" s="313">
        <v>1292129.48</v>
      </c>
      <c r="E187" s="72">
        <v>4.24</v>
      </c>
      <c r="F187" s="231">
        <f t="shared" ref="F187:F189" si="58">E187*0.01</f>
        <v>4.24E-2</v>
      </c>
      <c r="G187" s="231">
        <f>'Elec Study Rpt'!V188</f>
        <v>4.37185440441323E-2</v>
      </c>
      <c r="H187" s="231">
        <f t="shared" ref="H187:H189" si="59">G187/F187</f>
        <v>1.0310977368899128</v>
      </c>
      <c r="I187" s="313">
        <f t="shared" ref="I187:I189" si="60">D187*H187</f>
        <v>1332311.7825967397</v>
      </c>
      <c r="J187" s="143">
        <f t="shared" ref="J187:J189" si="61">I187-D187</f>
        <v>40182.302596739726</v>
      </c>
      <c r="K187" s="147"/>
    </row>
    <row r="188" spans="1:12" x14ac:dyDescent="0.25">
      <c r="A188" s="110"/>
      <c r="B188" s="113" t="s">
        <v>542</v>
      </c>
      <c r="C188" s="134">
        <f>'Elec Study Rpt'!K189</f>
        <v>3413471.97</v>
      </c>
      <c r="D188" s="313">
        <v>-538411.54</v>
      </c>
      <c r="E188" s="72">
        <v>4.24</v>
      </c>
      <c r="F188" s="231">
        <f t="shared" si="58"/>
        <v>4.24E-2</v>
      </c>
      <c r="G188" s="231">
        <f>'Elec Study Rpt'!V189</f>
        <v>6.8764003941710991E-2</v>
      </c>
      <c r="H188" s="231">
        <f t="shared" si="59"/>
        <v>1.6217925457950706</v>
      </c>
      <c r="I188" s="313">
        <f t="shared" si="60"/>
        <v>-873191.82214204455</v>
      </c>
      <c r="J188" s="143">
        <f t="shared" si="61"/>
        <v>-334780.28214204451</v>
      </c>
      <c r="K188" s="147"/>
      <c r="L188" s="146"/>
    </row>
    <row r="189" spans="1:12" x14ac:dyDescent="0.25">
      <c r="A189" s="110"/>
      <c r="B189" s="113" t="s">
        <v>543</v>
      </c>
      <c r="C189" s="135">
        <f>'Elec Study Rpt'!K190</f>
        <v>15120072.09</v>
      </c>
      <c r="D189" s="314">
        <v>-14913.250000000029</v>
      </c>
      <c r="E189" s="72">
        <v>4.28</v>
      </c>
      <c r="F189" s="232">
        <f t="shared" si="58"/>
        <v>4.2800000000000005E-2</v>
      </c>
      <c r="G189" s="232">
        <f>'Elec Study Rpt'!V190</f>
        <v>5.702307468297263E-2</v>
      </c>
      <c r="H189" s="232">
        <f t="shared" si="59"/>
        <v>1.3323148290414164</v>
      </c>
      <c r="I189" s="314">
        <f t="shared" si="60"/>
        <v>-19869.144124201943</v>
      </c>
      <c r="J189" s="145">
        <f t="shared" si="61"/>
        <v>-4955.8941242019137</v>
      </c>
      <c r="K189" s="147"/>
    </row>
    <row r="190" spans="1:12" x14ac:dyDescent="0.25">
      <c r="A190" s="110"/>
      <c r="B190" s="113"/>
      <c r="C190" s="134"/>
      <c r="D190" s="9"/>
      <c r="E190" s="72"/>
      <c r="F190" s="114"/>
      <c r="G190" s="114"/>
      <c r="H190" s="114"/>
      <c r="I190" s="9"/>
      <c r="K190" s="147"/>
    </row>
    <row r="191" spans="1:12" x14ac:dyDescent="0.25">
      <c r="A191" s="110"/>
      <c r="B191" s="115" t="s">
        <v>544</v>
      </c>
      <c r="C191" s="134">
        <f>+SUBTOTAL(9,C187:C189)</f>
        <v>49950509.790000007</v>
      </c>
      <c r="D191" s="134">
        <f>+SUBTOTAL(9,D187:D189)</f>
        <v>738804.69</v>
      </c>
      <c r="E191" s="317">
        <f>D191/C191</f>
        <v>1.4790733730367397E-2</v>
      </c>
      <c r="F191" s="231">
        <f>E191</f>
        <v>1.4790733730367397E-2</v>
      </c>
      <c r="G191" s="231">
        <f>I191/C191</f>
        <v>8.7937203879835148E-3</v>
      </c>
      <c r="H191" s="231">
        <f t="shared" ref="H191" si="62">G191/F191</f>
        <v>0.5945425391526592</v>
      </c>
      <c r="I191" s="134">
        <f>+SUBTOTAL(9,I187:I189)</f>
        <v>439250.81633049319</v>
      </c>
      <c r="J191" s="134">
        <f t="shared" ref="J191" si="63">+SUBTOTAL(9,J187:J189)</f>
        <v>-299553.87366950669</v>
      </c>
      <c r="K191" s="128">
        <f>H191*D191-I191</f>
        <v>0</v>
      </c>
    </row>
    <row r="192" spans="1:12" x14ac:dyDescent="0.25">
      <c r="A192" s="110"/>
      <c r="B192" s="115"/>
      <c r="C192" s="134"/>
      <c r="D192" s="312"/>
      <c r="F192" s="114"/>
      <c r="G192" s="114"/>
      <c r="H192" s="114"/>
      <c r="I192" s="312"/>
      <c r="J192" s="199"/>
      <c r="K192" s="147"/>
    </row>
    <row r="193" spans="1:11" x14ac:dyDescent="0.25">
      <c r="A193" s="110">
        <v>342</v>
      </c>
      <c r="B193" s="113" t="s">
        <v>545</v>
      </c>
      <c r="C193" s="134" t="s">
        <v>534</v>
      </c>
      <c r="D193" s="9"/>
      <c r="F193" s="123"/>
      <c r="G193" s="123"/>
      <c r="H193" s="123"/>
      <c r="I193" s="9"/>
      <c r="K193" s="147"/>
    </row>
    <row r="194" spans="1:11" x14ac:dyDescent="0.25">
      <c r="A194" s="110"/>
      <c r="B194" s="113" t="s">
        <v>546</v>
      </c>
      <c r="C194" s="134">
        <f>'Elec Study Rpt'!K195</f>
        <v>8121641.0800000001</v>
      </c>
      <c r="D194" s="313">
        <v>168930.12</v>
      </c>
      <c r="E194" s="128">
        <v>2.08</v>
      </c>
      <c r="F194" s="231">
        <f t="shared" ref="F194:F204" si="64">E194*0.01</f>
        <v>2.0800000000000003E-2</v>
      </c>
      <c r="G194" s="231">
        <f>'Elec Study Rpt'!V195</f>
        <v>1.5449463816985125E-2</v>
      </c>
      <c r="H194" s="231">
        <f t="shared" ref="H194:H204" si="65">G194/F194</f>
        <v>0.74276268350890018</v>
      </c>
      <c r="I194" s="313">
        <f t="shared" ref="I194:I204" si="66">D194*H194</f>
        <v>125474.98925668052</v>
      </c>
      <c r="J194" s="143">
        <f t="shared" ref="J194:J204" si="67">I194-D194</f>
        <v>-43455.130743319474</v>
      </c>
      <c r="K194" s="147"/>
    </row>
    <row r="195" spans="1:11" x14ac:dyDescent="0.25">
      <c r="A195" s="110"/>
      <c r="B195" s="113" t="s">
        <v>468</v>
      </c>
      <c r="C195" s="134">
        <f>'Elec Study Rpt'!K196</f>
        <v>1804662.8</v>
      </c>
      <c r="D195" s="313">
        <v>54500.760000000017</v>
      </c>
      <c r="E195" s="128">
        <v>3.02</v>
      </c>
      <c r="F195" s="231">
        <f t="shared" si="64"/>
        <v>3.0200000000000001E-2</v>
      </c>
      <c r="G195" s="231">
        <f>'Elec Study Rpt'!V196</f>
        <v>2.8122705249978001E-2</v>
      </c>
      <c r="H195" s="231">
        <f t="shared" si="65"/>
        <v>0.93121540562841065</v>
      </c>
      <c r="I195" s="313">
        <f t="shared" si="66"/>
        <v>50751.947330456671</v>
      </c>
      <c r="J195" s="143">
        <f t="shared" si="67"/>
        <v>-3748.8126695433457</v>
      </c>
      <c r="K195" s="147"/>
    </row>
    <row r="196" spans="1:11" x14ac:dyDescent="0.25">
      <c r="A196" s="110"/>
      <c r="B196" s="113" t="s">
        <v>469</v>
      </c>
      <c r="C196" s="134">
        <f>'Elec Study Rpt'!K197</f>
        <v>1887875</v>
      </c>
      <c r="D196" s="313">
        <v>29262.12000000001</v>
      </c>
      <c r="E196" s="128">
        <v>1.55</v>
      </c>
      <c r="F196" s="231">
        <f t="shared" si="64"/>
        <v>1.5500000000000002E-2</v>
      </c>
      <c r="G196" s="231">
        <f>'Elec Study Rpt'!V197</f>
        <v>1.0400582665695558E-2</v>
      </c>
      <c r="H196" s="231">
        <f t="shared" si="65"/>
        <v>0.67100533327068113</v>
      </c>
      <c r="I196" s="313">
        <f t="shared" si="66"/>
        <v>19635.038582806672</v>
      </c>
      <c r="J196" s="143">
        <f t="shared" si="67"/>
        <v>-9627.081417193338</v>
      </c>
      <c r="K196" s="147"/>
    </row>
    <row r="197" spans="1:11" x14ac:dyDescent="0.25">
      <c r="A197" s="110"/>
      <c r="B197" s="113" t="s">
        <v>470</v>
      </c>
      <c r="C197" s="134">
        <f>'Elec Study Rpt'!K198</f>
        <v>1457862</v>
      </c>
      <c r="D197" s="313">
        <v>40801.32</v>
      </c>
      <c r="E197" s="128">
        <v>2.7987099999999998</v>
      </c>
      <c r="F197" s="231">
        <f t="shared" si="64"/>
        <v>2.7987099999999997E-2</v>
      </c>
      <c r="G197" s="231">
        <f>'Elec Study Rpt'!V198</f>
        <v>2.707114939548462E-2</v>
      </c>
      <c r="H197" s="231">
        <f t="shared" si="65"/>
        <v>0.96727240033746342</v>
      </c>
      <c r="I197" s="313">
        <f t="shared" si="66"/>
        <v>39465.990733336956</v>
      </c>
      <c r="J197" s="143">
        <f t="shared" si="67"/>
        <v>-1335.3292666630441</v>
      </c>
      <c r="K197" s="147"/>
    </row>
    <row r="198" spans="1:11" x14ac:dyDescent="0.25">
      <c r="A198" s="110"/>
      <c r="B198" s="113" t="s">
        <v>471</v>
      </c>
      <c r="C198" s="134">
        <f>'Elec Study Rpt'!K199</f>
        <v>3889943.37</v>
      </c>
      <c r="D198" s="313">
        <v>67685.039999999994</v>
      </c>
      <c r="E198" s="128">
        <v>1.74</v>
      </c>
      <c r="F198" s="231">
        <f t="shared" si="64"/>
        <v>1.7399999999999999E-2</v>
      </c>
      <c r="G198" s="231">
        <f>'Elec Study Rpt'!V199</f>
        <v>9.9417899752098447E-3</v>
      </c>
      <c r="H198" s="231">
        <f t="shared" si="65"/>
        <v>0.57136723995458882</v>
      </c>
      <c r="I198" s="313">
        <f t="shared" si="66"/>
        <v>38673.014491015936</v>
      </c>
      <c r="J198" s="143">
        <f t="shared" si="67"/>
        <v>-29012.025508984058</v>
      </c>
      <c r="K198" s="147"/>
    </row>
    <row r="199" spans="1:11" x14ac:dyDescent="0.25">
      <c r="A199" s="110"/>
      <c r="B199" s="113" t="s">
        <v>547</v>
      </c>
      <c r="C199" s="134">
        <f>'Elec Study Rpt'!K200</f>
        <v>476309.45</v>
      </c>
      <c r="D199" s="313">
        <v>20576.519999999993</v>
      </c>
      <c r="E199" s="128">
        <v>4.32</v>
      </c>
      <c r="F199" s="231">
        <f t="shared" si="64"/>
        <v>4.3200000000000002E-2</v>
      </c>
      <c r="G199" s="231">
        <f>'Elec Study Rpt'!V200</f>
        <v>7.8411209351399599E-2</v>
      </c>
      <c r="H199" s="231">
        <f t="shared" si="65"/>
        <v>1.8150742905416573</v>
      </c>
      <c r="I199" s="313">
        <f t="shared" si="66"/>
        <v>37347.91244081621</v>
      </c>
      <c r="J199" s="143">
        <f t="shared" si="67"/>
        <v>16771.392440816217</v>
      </c>
      <c r="K199" s="147"/>
    </row>
    <row r="200" spans="1:11" x14ac:dyDescent="0.25">
      <c r="A200" s="110"/>
      <c r="B200" s="113" t="s">
        <v>548</v>
      </c>
      <c r="C200" s="134">
        <f>'Elec Study Rpt'!K201</f>
        <v>3739991.62</v>
      </c>
      <c r="D200" s="510">
        <v>23391.960000000006</v>
      </c>
      <c r="E200" s="72">
        <v>2.31</v>
      </c>
      <c r="F200" s="231">
        <f t="shared" si="64"/>
        <v>2.3100000000000002E-2</v>
      </c>
      <c r="G200" s="231">
        <f>'Elec Study Rpt'!V201</f>
        <v>3.2697399466365649E-2</v>
      </c>
      <c r="H200" s="231">
        <f t="shared" si="65"/>
        <v>1.4154718383708071</v>
      </c>
      <c r="I200" s="313">
        <f>D200*H200</f>
        <v>33110.660624296397</v>
      </c>
      <c r="J200" s="313">
        <f t="shared" si="67"/>
        <v>9718.7006242963907</v>
      </c>
      <c r="K200" s="147"/>
    </row>
    <row r="201" spans="1:11" x14ac:dyDescent="0.25">
      <c r="A201" s="110"/>
      <c r="B201" s="113"/>
      <c r="C201" s="134"/>
      <c r="D201" s="510">
        <v>129470.04</v>
      </c>
      <c r="E201" s="72">
        <v>4.75</v>
      </c>
      <c r="F201" s="231">
        <f t="shared" si="64"/>
        <v>4.7500000000000001E-2</v>
      </c>
      <c r="G201" s="231">
        <f>G200</f>
        <v>3.2697399466365649E-2</v>
      </c>
      <c r="H201" s="231">
        <f t="shared" si="65"/>
        <v>0.68836630455506631</v>
      </c>
      <c r="I201" s="313">
        <f>D201*H201</f>
        <v>89122.812985396609</v>
      </c>
      <c r="J201" s="313">
        <f t="shared" si="67"/>
        <v>-40347.227014603384</v>
      </c>
      <c r="K201" s="147"/>
    </row>
    <row r="202" spans="1:11" x14ac:dyDescent="0.25">
      <c r="A202" s="110"/>
      <c r="B202" s="111" t="s">
        <v>549</v>
      </c>
      <c r="C202" s="134">
        <f>'Elec Study Rpt'!K202</f>
        <v>3702107.48</v>
      </c>
      <c r="D202" s="313">
        <v>71450.64</v>
      </c>
      <c r="E202" s="128">
        <v>1.93</v>
      </c>
      <c r="F202" s="231">
        <f t="shared" si="64"/>
        <v>1.9300000000000001E-2</v>
      </c>
      <c r="G202" s="231">
        <f>'Elec Study Rpt'!V202</f>
        <v>5.5895189731228444E-3</v>
      </c>
      <c r="H202" s="231">
        <f t="shared" si="65"/>
        <v>0.28961238202709039</v>
      </c>
      <c r="I202" s="313">
        <f t="shared" si="66"/>
        <v>20692.990047760104</v>
      </c>
      <c r="J202" s="143">
        <f t="shared" si="67"/>
        <v>-50757.649952239895</v>
      </c>
      <c r="K202" s="147"/>
    </row>
    <row r="203" spans="1:11" x14ac:dyDescent="0.25">
      <c r="A203" s="110"/>
      <c r="B203" s="113" t="s">
        <v>550</v>
      </c>
      <c r="C203" s="134">
        <f>'Elec Study Rpt'!K203</f>
        <v>134194.70000000001</v>
      </c>
      <c r="D203" s="313">
        <v>7823.52</v>
      </c>
      <c r="E203" s="128">
        <v>5.83</v>
      </c>
      <c r="F203" s="231">
        <f t="shared" si="64"/>
        <v>5.8300000000000005E-2</v>
      </c>
      <c r="G203" s="231">
        <f>'Elec Study Rpt'!V203</f>
        <v>9.9854912302795853E-4</v>
      </c>
      <c r="H203" s="231">
        <f t="shared" si="65"/>
        <v>1.7127772264630504E-2</v>
      </c>
      <c r="I203" s="313">
        <f t="shared" si="66"/>
        <v>133.99946886778204</v>
      </c>
      <c r="J203" s="143">
        <f t="shared" si="67"/>
        <v>-7689.5205311322188</v>
      </c>
      <c r="K203" s="147"/>
    </row>
    <row r="204" spans="1:11" x14ac:dyDescent="0.25">
      <c r="A204" s="110"/>
      <c r="B204" s="113" t="s">
        <v>472</v>
      </c>
      <c r="C204" s="135">
        <f>'Elec Study Rpt'!K204</f>
        <v>418443</v>
      </c>
      <c r="D204" s="314">
        <v>6295.0800000000008</v>
      </c>
      <c r="E204" s="128">
        <v>1.5044219999999999</v>
      </c>
      <c r="F204" s="232">
        <f t="shared" si="64"/>
        <v>1.5044219999999999E-2</v>
      </c>
      <c r="G204" s="232">
        <f>'Elec Study Rpt'!V204</f>
        <v>2.0941920404929704E-2</v>
      </c>
      <c r="H204" s="232">
        <f t="shared" si="65"/>
        <v>1.3920243392432248</v>
      </c>
      <c r="I204" s="314">
        <f t="shared" si="66"/>
        <v>8762.9045774832412</v>
      </c>
      <c r="J204" s="145">
        <f t="shared" si="67"/>
        <v>2467.8245774832403</v>
      </c>
      <c r="K204" s="147"/>
    </row>
    <row r="205" spans="1:11" x14ac:dyDescent="0.25">
      <c r="A205" s="110"/>
      <c r="B205" s="113"/>
      <c r="C205" s="134"/>
      <c r="D205" s="9"/>
      <c r="F205" s="123"/>
      <c r="G205" s="123"/>
      <c r="H205" s="123"/>
      <c r="I205" s="9"/>
      <c r="K205" s="147"/>
    </row>
    <row r="206" spans="1:11" x14ac:dyDescent="0.25">
      <c r="A206" s="110"/>
      <c r="B206" s="115" t="s">
        <v>551</v>
      </c>
      <c r="C206" s="134">
        <f>+SUBTOTAL(9,C194:C204)</f>
        <v>25633030.5</v>
      </c>
      <c r="D206" s="134">
        <f>+SUBTOTAL(9,D194:D204)</f>
        <v>620187.12</v>
      </c>
      <c r="E206" s="198">
        <f>D206/C206</f>
        <v>2.4194841885745815E-2</v>
      </c>
      <c r="F206" s="231">
        <f>E206</f>
        <v>2.4194841885745815E-2</v>
      </c>
      <c r="G206" s="231">
        <f>I206/C206</f>
        <v>1.8069352374816435E-2</v>
      </c>
      <c r="H206" s="231">
        <f t="shared" ref="H206" si="68">G206/F206</f>
        <v>0.74682663603029542</v>
      </c>
      <c r="I206" s="134">
        <f t="shared" ref="I206:J206" si="69">+SUBTOTAL(9,I194:I204)</f>
        <v>463172.26053891709</v>
      </c>
      <c r="J206" s="134">
        <f t="shared" si="69"/>
        <v>-157014.85946108293</v>
      </c>
      <c r="K206" s="128">
        <f>H206*D206-I206</f>
        <v>0</v>
      </c>
    </row>
    <row r="207" spans="1:11" x14ac:dyDescent="0.25">
      <c r="A207" s="110"/>
      <c r="B207" s="113"/>
      <c r="C207" s="134"/>
      <c r="D207" s="9"/>
      <c r="F207" s="123"/>
      <c r="G207" s="123"/>
      <c r="H207" s="123"/>
      <c r="I207" s="312"/>
      <c r="J207" s="199"/>
      <c r="K207" s="147"/>
    </row>
    <row r="208" spans="1:11" x14ac:dyDescent="0.25">
      <c r="A208" s="110">
        <v>344</v>
      </c>
      <c r="B208" s="113" t="s">
        <v>552</v>
      </c>
      <c r="C208" s="134" t="s">
        <v>534</v>
      </c>
      <c r="D208" s="9"/>
      <c r="F208" s="114"/>
      <c r="G208" s="114" t="s">
        <v>534</v>
      </c>
      <c r="H208" s="114"/>
      <c r="I208" s="9"/>
      <c r="K208" s="147"/>
    </row>
    <row r="209" spans="1:11" x14ac:dyDescent="0.25">
      <c r="A209" s="110"/>
      <c r="B209" s="113" t="s">
        <v>553</v>
      </c>
      <c r="C209" s="134">
        <f>'Elec Study Rpt'!K209</f>
        <v>575842.91</v>
      </c>
      <c r="D209" s="313">
        <v>25740.12000000001</v>
      </c>
      <c r="E209" s="128">
        <v>4.47</v>
      </c>
      <c r="F209" s="231">
        <f t="shared" ref="F209:F214" si="70">E209*0.01</f>
        <v>4.4699999999999997E-2</v>
      </c>
      <c r="G209" s="231">
        <f>'Elec Study Rpt'!V209</f>
        <v>3.0006447418098797E-2</v>
      </c>
      <c r="H209" s="231">
        <f t="shared" ref="H209:H214" si="71">G209/F209</f>
        <v>0.67128517713867564</v>
      </c>
      <c r="I209" s="313">
        <f t="shared" ref="I209:I214" si="72">D209*H209</f>
        <v>17278.961013770775</v>
      </c>
      <c r="J209" s="143">
        <f t="shared" ref="J209:J214" si="73">I209-D209</f>
        <v>-8461.1589862292349</v>
      </c>
      <c r="K209" s="147"/>
    </row>
    <row r="210" spans="1:11" x14ac:dyDescent="0.25">
      <c r="A210" s="110"/>
      <c r="B210" s="113" t="s">
        <v>554</v>
      </c>
      <c r="C210" s="134">
        <f>'Elec Study Rpt'!K210</f>
        <v>99010602.659999996</v>
      </c>
      <c r="D210" s="510">
        <v>934955.7300000001</v>
      </c>
      <c r="E210" s="72">
        <v>2.06</v>
      </c>
      <c r="F210" s="231">
        <f t="shared" si="70"/>
        <v>2.06E-2</v>
      </c>
      <c r="G210" s="231">
        <f>'Elec Study Rpt'!V210</f>
        <v>2.7660057876876275E-2</v>
      </c>
      <c r="H210" s="231">
        <f t="shared" si="71"/>
        <v>1.3427212561590425</v>
      </c>
      <c r="I210" s="313">
        <f>D210*H210</f>
        <v>1255384.9322386947</v>
      </c>
      <c r="J210" s="313">
        <f t="shared" si="73"/>
        <v>320429.20223869465</v>
      </c>
      <c r="K210" s="147"/>
    </row>
    <row r="211" spans="1:11" x14ac:dyDescent="0.25">
      <c r="A211" s="110"/>
      <c r="B211" s="113"/>
      <c r="C211" s="134"/>
      <c r="D211" s="510">
        <v>1236406.32</v>
      </c>
      <c r="E211" s="72">
        <v>2.31</v>
      </c>
      <c r="F211" s="231">
        <f t="shared" si="70"/>
        <v>2.3100000000000002E-2</v>
      </c>
      <c r="G211" s="231">
        <f>G210</f>
        <v>2.7660057876876275E-2</v>
      </c>
      <c r="H211" s="231">
        <f t="shared" si="71"/>
        <v>1.1974051028950767</v>
      </c>
      <c r="I211" s="313">
        <f>D211*H211</f>
        <v>1480479.2368197232</v>
      </c>
      <c r="J211" s="313">
        <f t="shared" si="73"/>
        <v>244072.91681972309</v>
      </c>
      <c r="K211" s="147"/>
    </row>
    <row r="212" spans="1:11" x14ac:dyDescent="0.25">
      <c r="A212" s="110"/>
      <c r="B212" s="113" t="s">
        <v>555</v>
      </c>
      <c r="C212" s="134">
        <f>'Elec Study Rpt'!K211</f>
        <v>30004024.960000001</v>
      </c>
      <c r="D212" s="313">
        <v>744015.47999999986</v>
      </c>
      <c r="E212" s="128">
        <v>2.48</v>
      </c>
      <c r="F212" s="231">
        <f t="shared" si="70"/>
        <v>2.4799999999999999E-2</v>
      </c>
      <c r="G212" s="231">
        <f>'Elec Study Rpt'!V211</f>
        <v>1.6864670679170104E-2</v>
      </c>
      <c r="H212" s="231">
        <f t="shared" si="71"/>
        <v>0.6800270435149236</v>
      </c>
      <c r="I212" s="313">
        <f t="shared" si="72"/>
        <v>505950.64719373669</v>
      </c>
      <c r="J212" s="143">
        <f t="shared" si="73"/>
        <v>-238064.83280626318</v>
      </c>
      <c r="K212" s="147"/>
    </row>
    <row r="213" spans="1:11" x14ac:dyDescent="0.25">
      <c r="A213" s="110"/>
      <c r="B213" s="113" t="s">
        <v>556</v>
      </c>
      <c r="C213" s="134">
        <f>'Elec Study Rpt'!K212</f>
        <v>33087674.329999998</v>
      </c>
      <c r="D213" s="364">
        <v>804697.56</v>
      </c>
      <c r="E213" s="95">
        <v>2.85</v>
      </c>
      <c r="F213" s="371">
        <f t="shared" si="70"/>
        <v>2.8500000000000001E-2</v>
      </c>
      <c r="G213" s="231">
        <f>'Elec Study Rpt'!V212</f>
        <v>6.531042280117849E-3</v>
      </c>
      <c r="H213" s="371">
        <f t="shared" si="71"/>
        <v>0.22915937824974908</v>
      </c>
      <c r="I213" s="364">
        <f t="shared" si="72"/>
        <v>184403.99252869017</v>
      </c>
      <c r="J213" s="364">
        <f t="shared" si="73"/>
        <v>-620293.56747130991</v>
      </c>
      <c r="K213" s="147"/>
    </row>
    <row r="214" spans="1:11" x14ac:dyDescent="0.25">
      <c r="A214" s="110"/>
      <c r="B214" s="113"/>
      <c r="C214" s="135"/>
      <c r="D214" s="314">
        <v>344539.91999999993</v>
      </c>
      <c r="E214" s="72">
        <v>7.1</v>
      </c>
      <c r="F214" s="232">
        <f t="shared" si="70"/>
        <v>7.0999999999999994E-2</v>
      </c>
      <c r="G214" s="232">
        <f>G213</f>
        <v>6.531042280117849E-3</v>
      </c>
      <c r="H214" s="232">
        <f t="shared" si="71"/>
        <v>9.1986510987575348E-2</v>
      </c>
      <c r="I214" s="314">
        <f t="shared" si="72"/>
        <v>31693.025136738324</v>
      </c>
      <c r="J214" s="314">
        <f t="shared" si="73"/>
        <v>-312846.89486326161</v>
      </c>
      <c r="K214" s="147"/>
    </row>
    <row r="215" spans="1:11" x14ac:dyDescent="0.25">
      <c r="A215" s="110"/>
      <c r="B215" s="113"/>
      <c r="C215" s="134"/>
      <c r="D215" s="9"/>
      <c r="F215" s="110"/>
      <c r="G215" s="110"/>
      <c r="H215" s="110"/>
      <c r="I215" s="9"/>
      <c r="K215" s="147"/>
    </row>
    <row r="216" spans="1:11" x14ac:dyDescent="0.25">
      <c r="A216" s="110"/>
      <c r="B216" s="115" t="s">
        <v>557</v>
      </c>
      <c r="C216" s="134">
        <f>+SUBTOTAL(9,C209:C213)</f>
        <v>162678144.86000001</v>
      </c>
      <c r="D216" s="134">
        <f>+SUBTOTAL(9,D209:D214)</f>
        <v>4090355.13</v>
      </c>
      <c r="E216" s="198">
        <f>D216/C216</f>
        <v>2.5143851582031126E-2</v>
      </c>
      <c r="F216" s="231">
        <f>E216</f>
        <v>2.5143851582031126E-2</v>
      </c>
      <c r="G216" s="231">
        <f>I216/C216</f>
        <v>2.1362370451925707E-2</v>
      </c>
      <c r="H216" s="231">
        <f t="shared" ref="H216" si="74">G216/F216</f>
        <v>0.84960613063720802</v>
      </c>
      <c r="I216" s="134">
        <f>+SUBTOTAL(9,I209:I214)</f>
        <v>3475190.794931354</v>
      </c>
      <c r="J216" s="134">
        <f>+SUBTOTAL(9,J209:J214)</f>
        <v>-615164.33506864612</v>
      </c>
      <c r="K216" s="128">
        <f>H216*D216-I216</f>
        <v>0</v>
      </c>
    </row>
    <row r="217" spans="1:11" x14ac:dyDescent="0.25">
      <c r="A217" s="110"/>
      <c r="B217" s="115"/>
      <c r="C217" s="134"/>
      <c r="D217" s="312"/>
      <c r="F217" s="114"/>
      <c r="G217" s="114"/>
      <c r="H217" s="114"/>
      <c r="I217" s="312"/>
      <c r="J217" s="199"/>
      <c r="K217" s="147"/>
    </row>
    <row r="218" spans="1:11" x14ac:dyDescent="0.25">
      <c r="A218" s="110">
        <v>344.01</v>
      </c>
      <c r="B218" s="113" t="s">
        <v>558</v>
      </c>
      <c r="C218" s="134"/>
      <c r="D218" s="9"/>
      <c r="F218" s="114"/>
      <c r="G218" s="114"/>
      <c r="H218" s="114"/>
      <c r="I218" s="9"/>
      <c r="K218" s="147"/>
    </row>
    <row r="219" spans="1:11" x14ac:dyDescent="0.25">
      <c r="A219" s="110"/>
      <c r="B219" s="113" t="s">
        <v>541</v>
      </c>
      <c r="C219" s="134">
        <f>'Elec Study Rpt'!K217</f>
        <v>583581424.75999999</v>
      </c>
      <c r="D219" s="313">
        <v>24159123.089999996</v>
      </c>
      <c r="E219" s="128">
        <v>4.24</v>
      </c>
      <c r="F219" s="231">
        <f t="shared" ref="F219:F221" si="75">E219*0.01</f>
        <v>4.24E-2</v>
      </c>
      <c r="G219" s="231">
        <f>'Elec Study Rpt'!V217</f>
        <v>4.3281175391056151E-2</v>
      </c>
      <c r="H219" s="231">
        <f t="shared" ref="H219:H221" si="76">G219/F219</f>
        <v>1.0207824384683055</v>
      </c>
      <c r="I219" s="313">
        <f t="shared" ref="I219:I221" si="77">D219*H219</f>
        <v>24661208.579066139</v>
      </c>
      <c r="J219" s="143">
        <f t="shared" ref="J219:J221" si="78">I219-D219</f>
        <v>502085.48906614259</v>
      </c>
      <c r="K219" s="147"/>
    </row>
    <row r="220" spans="1:11" x14ac:dyDescent="0.25">
      <c r="A220" s="110"/>
      <c r="B220" s="113" t="s">
        <v>542</v>
      </c>
      <c r="C220" s="134">
        <f>'Elec Study Rpt'!K218</f>
        <v>153525782.00999999</v>
      </c>
      <c r="D220" s="313">
        <v>6666129.0999999996</v>
      </c>
      <c r="E220" s="128">
        <v>4.24</v>
      </c>
      <c r="F220" s="231">
        <f t="shared" si="75"/>
        <v>4.24E-2</v>
      </c>
      <c r="G220" s="231">
        <f>'Elec Study Rpt'!V218</f>
        <v>4.8820295209516001E-2</v>
      </c>
      <c r="H220" s="231">
        <f t="shared" si="76"/>
        <v>1.1514220568282076</v>
      </c>
      <c r="I220" s="313">
        <f t="shared" si="77"/>
        <v>7675528.0794043681</v>
      </c>
      <c r="J220" s="143">
        <f t="shared" si="78"/>
        <v>1009398.9794043684</v>
      </c>
      <c r="K220" s="147"/>
    </row>
    <row r="221" spans="1:11" x14ac:dyDescent="0.25">
      <c r="A221" s="110"/>
      <c r="B221" s="113" t="s">
        <v>543</v>
      </c>
      <c r="C221" s="135">
        <f>'Elec Study Rpt'!K219</f>
        <v>372345403.38</v>
      </c>
      <c r="D221" s="314">
        <v>16191337.950000003</v>
      </c>
      <c r="E221" s="128">
        <v>4.28</v>
      </c>
      <c r="F221" s="232">
        <f t="shared" si="75"/>
        <v>4.2800000000000005E-2</v>
      </c>
      <c r="G221" s="232">
        <f>'Elec Study Rpt'!V219</f>
        <v>4.8424185813296612E-2</v>
      </c>
      <c r="H221" s="232">
        <f t="shared" si="76"/>
        <v>1.1314062105910423</v>
      </c>
      <c r="I221" s="314">
        <f t="shared" si="77"/>
        <v>18318980.31440844</v>
      </c>
      <c r="J221" s="145">
        <f t="shared" si="78"/>
        <v>2127642.3644084372</v>
      </c>
      <c r="K221" s="147"/>
    </row>
    <row r="222" spans="1:11" x14ac:dyDescent="0.25">
      <c r="A222" s="110"/>
      <c r="B222" s="113"/>
      <c r="C222" s="134"/>
      <c r="D222" s="9"/>
      <c r="F222" s="114"/>
      <c r="G222" s="114"/>
      <c r="H222" s="114"/>
      <c r="I222" s="9"/>
      <c r="K222" s="147"/>
    </row>
    <row r="223" spans="1:11" x14ac:dyDescent="0.25">
      <c r="A223" s="110"/>
      <c r="B223" s="124" t="s">
        <v>559</v>
      </c>
      <c r="C223" s="134">
        <f>+SUBTOTAL(9,C219:C221)</f>
        <v>1109452610.1500001</v>
      </c>
      <c r="D223" s="134">
        <f>+SUBTOTAL(9,D219:D221)</f>
        <v>47016590.140000001</v>
      </c>
      <c r="E223" s="198">
        <f>D223/C223</f>
        <v>4.2378186963428092E-2</v>
      </c>
      <c r="F223" s="231">
        <f>E223</f>
        <v>4.2378186963428092E-2</v>
      </c>
      <c r="G223" s="231">
        <f>I223/C223</f>
        <v>4.5658297172359801E-2</v>
      </c>
      <c r="H223" s="231">
        <f t="shared" ref="H223" si="79">G223/F223</f>
        <v>1.0774009093820462</v>
      </c>
      <c r="I223" s="134">
        <f t="shared" ref="I223:J223" si="80">+SUBTOTAL(9,I219:I221)</f>
        <v>50655716.972878948</v>
      </c>
      <c r="J223" s="134">
        <f t="shared" si="80"/>
        <v>3639126.8328789482</v>
      </c>
      <c r="K223" s="128">
        <f>H223*D223-I223</f>
        <v>0</v>
      </c>
    </row>
    <row r="224" spans="1:11" x14ac:dyDescent="0.25">
      <c r="A224" s="110"/>
      <c r="B224" s="111"/>
      <c r="C224" s="134"/>
      <c r="D224" s="9"/>
      <c r="F224" s="111"/>
      <c r="G224" s="111"/>
      <c r="H224" s="111"/>
      <c r="I224" s="312"/>
      <c r="J224" s="199"/>
      <c r="K224" s="147"/>
    </row>
    <row r="225" spans="1:12" x14ac:dyDescent="0.25">
      <c r="A225" s="110">
        <v>344.2</v>
      </c>
      <c r="B225" s="111" t="s">
        <v>560</v>
      </c>
      <c r="C225" s="134"/>
      <c r="D225" s="9"/>
      <c r="F225" s="111"/>
      <c r="G225" s="111"/>
      <c r="H225" s="111"/>
      <c r="I225" s="9"/>
      <c r="K225" s="147"/>
    </row>
    <row r="226" spans="1:12" x14ac:dyDescent="0.25">
      <c r="A226" s="110"/>
      <c r="B226" s="113" t="s">
        <v>561</v>
      </c>
      <c r="C226" s="134">
        <f>'Elec Study Rpt'!K224</f>
        <v>74375981.069999993</v>
      </c>
      <c r="D226" s="313">
        <v>1368518.04</v>
      </c>
      <c r="E226" s="128">
        <v>1.84</v>
      </c>
      <c r="F226" s="231">
        <f t="shared" ref="F226:F231" si="81">E226*0.01</f>
        <v>1.84E-2</v>
      </c>
      <c r="G226" s="231">
        <f>'Elec Study Rpt'!V224</f>
        <v>7.2651949221541889E-3</v>
      </c>
      <c r="H226" s="231">
        <f t="shared" ref="H226:H231" si="82">G226/F226</f>
        <v>0.39484755011707551</v>
      </c>
      <c r="I226" s="313">
        <f t="shared" ref="I226:I231" si="83">D226*H226</f>
        <v>540355.9953850219</v>
      </c>
      <c r="J226" s="143">
        <f t="shared" ref="J226:J231" si="84">I226-D226</f>
        <v>-828162.04461497813</v>
      </c>
      <c r="K226" s="147"/>
    </row>
    <row r="227" spans="1:12" x14ac:dyDescent="0.25">
      <c r="A227" s="110"/>
      <c r="B227" s="113" t="s">
        <v>468</v>
      </c>
      <c r="C227" s="134">
        <f>'Elec Study Rpt'!K225</f>
        <v>26006934.52</v>
      </c>
      <c r="D227" s="313">
        <v>746399.04</v>
      </c>
      <c r="E227" s="128">
        <v>2.87</v>
      </c>
      <c r="F227" s="231">
        <f t="shared" si="81"/>
        <v>2.8700000000000003E-2</v>
      </c>
      <c r="G227" s="231">
        <f>'Elec Study Rpt'!V225</f>
        <v>0.11532877885678623</v>
      </c>
      <c r="H227" s="231">
        <f t="shared" si="82"/>
        <v>4.0184243504106698</v>
      </c>
      <c r="I227" s="313">
        <f t="shared" si="83"/>
        <v>2999348.0774591477</v>
      </c>
      <c r="J227" s="143">
        <f t="shared" si="84"/>
        <v>2252949.0374591476</v>
      </c>
      <c r="K227" s="147"/>
    </row>
    <row r="228" spans="1:12" x14ac:dyDescent="0.25">
      <c r="A228" s="110"/>
      <c r="B228" s="113" t="s">
        <v>469</v>
      </c>
      <c r="C228" s="134">
        <f>'Elec Study Rpt'!K226</f>
        <v>83514274.030000001</v>
      </c>
      <c r="D228" s="313">
        <v>1381030.28</v>
      </c>
      <c r="E228" s="128">
        <v>1.55</v>
      </c>
      <c r="F228" s="231">
        <f t="shared" si="81"/>
        <v>1.5500000000000002E-2</v>
      </c>
      <c r="G228" s="231">
        <f>'Elec Study Rpt'!V226</f>
        <v>8.5587680465645549E-2</v>
      </c>
      <c r="H228" s="231">
        <f t="shared" si="82"/>
        <v>5.5217858364932608</v>
      </c>
      <c r="I228" s="313">
        <f t="shared" si="83"/>
        <v>7625753.4398723226</v>
      </c>
      <c r="J228" s="143">
        <f t="shared" si="84"/>
        <v>6244723.1598723223</v>
      </c>
      <c r="K228" s="147"/>
    </row>
    <row r="229" spans="1:12" x14ac:dyDescent="0.25">
      <c r="A229" s="110"/>
      <c r="B229" s="113" t="s">
        <v>470</v>
      </c>
      <c r="C229" s="134">
        <f>'Elec Study Rpt'!K227</f>
        <v>32380061.68</v>
      </c>
      <c r="D229" s="313">
        <v>906224.03999999992</v>
      </c>
      <c r="E229" s="128">
        <v>2.7987099999999998</v>
      </c>
      <c r="F229" s="231">
        <f t="shared" si="81"/>
        <v>2.7987099999999997E-2</v>
      </c>
      <c r="G229" s="231">
        <f>'Elec Study Rpt'!V227</f>
        <v>8.9649705695063392E-2</v>
      </c>
      <c r="H229" s="231">
        <f t="shared" si="82"/>
        <v>3.2032509868855081</v>
      </c>
      <c r="I229" s="313">
        <f t="shared" si="83"/>
        <v>2902863.050469372</v>
      </c>
      <c r="J229" s="143">
        <f t="shared" si="84"/>
        <v>1996639.0104693719</v>
      </c>
      <c r="K229" s="147"/>
    </row>
    <row r="230" spans="1:12" x14ac:dyDescent="0.25">
      <c r="A230" s="110"/>
      <c r="B230" s="113" t="s">
        <v>471</v>
      </c>
      <c r="C230" s="134">
        <f>'Elec Study Rpt'!K228</f>
        <v>27973570.460000001</v>
      </c>
      <c r="D230" s="313">
        <v>486272.28000000009</v>
      </c>
      <c r="E230" s="128">
        <v>1.74</v>
      </c>
      <c r="F230" s="231">
        <f t="shared" si="81"/>
        <v>1.7399999999999999E-2</v>
      </c>
      <c r="G230" s="231">
        <f>'Elec Study Rpt'!V228</f>
        <v>9.5722139003631499E-3</v>
      </c>
      <c r="H230" s="231">
        <f t="shared" si="82"/>
        <v>0.55012723565305466</v>
      </c>
      <c r="I230" s="313">
        <f t="shared" si="83"/>
        <v>267511.62517110823</v>
      </c>
      <c r="J230" s="143">
        <f t="shared" si="84"/>
        <v>-218760.65482889186</v>
      </c>
      <c r="K230" s="147"/>
    </row>
    <row r="231" spans="1:12" x14ac:dyDescent="0.25">
      <c r="A231" s="110"/>
      <c r="B231" s="113" t="s">
        <v>472</v>
      </c>
      <c r="C231" s="135">
        <f>'Elec Study Rpt'!K229</f>
        <v>53610403.710000001</v>
      </c>
      <c r="D231" s="314">
        <v>806087.52000000025</v>
      </c>
      <c r="E231" s="128">
        <v>1.5044219999999999</v>
      </c>
      <c r="F231" s="232">
        <f t="shared" si="81"/>
        <v>1.5044219999999999E-2</v>
      </c>
      <c r="G231" s="231">
        <f>'Elec Study Rpt'!V229</f>
        <v>1.5943882919138719E-2</v>
      </c>
      <c r="H231" s="232">
        <f t="shared" si="82"/>
        <v>1.0598012339050293</v>
      </c>
      <c r="I231" s="314">
        <f t="shared" si="83"/>
        <v>854292.54833144532</v>
      </c>
      <c r="J231" s="145">
        <f t="shared" si="84"/>
        <v>48205.028331445064</v>
      </c>
      <c r="K231" s="147"/>
      <c r="L231" s="146"/>
    </row>
    <row r="232" spans="1:12" x14ac:dyDescent="0.25">
      <c r="A232" s="110"/>
      <c r="B232" s="111"/>
      <c r="C232" s="134"/>
      <c r="D232" s="9"/>
      <c r="F232" s="111"/>
      <c r="G232" s="405"/>
      <c r="H232" s="111"/>
      <c r="I232" s="9"/>
      <c r="K232" s="147"/>
    </row>
    <row r="233" spans="1:12" x14ac:dyDescent="0.25">
      <c r="A233" s="110"/>
      <c r="B233" s="124" t="s">
        <v>562</v>
      </c>
      <c r="C233" s="134">
        <f>+SUBTOTAL(9,C226:C231)</f>
        <v>297861225.47000003</v>
      </c>
      <c r="D233" s="134">
        <f>+SUBTOTAL(9,D226:D231)</f>
        <v>5694531.2000000011</v>
      </c>
      <c r="E233" s="198">
        <f>D233/C233</f>
        <v>1.9118068123887253E-2</v>
      </c>
      <c r="F233" s="231">
        <f>E233</f>
        <v>1.9118068123887253E-2</v>
      </c>
      <c r="G233" s="231">
        <f>I233/C233</f>
        <v>5.099732169811521E-2</v>
      </c>
      <c r="H233" s="231">
        <f t="shared" ref="H233" si="85">G233/F233</f>
        <v>2.6674934605132052</v>
      </c>
      <c r="I233" s="134">
        <f t="shared" ref="I233:J233" si="86">+SUBTOTAL(9,I226:I231)</f>
        <v>15190124.736688418</v>
      </c>
      <c r="J233" s="134">
        <f t="shared" si="86"/>
        <v>9495593.5366884172</v>
      </c>
      <c r="K233" s="128">
        <f>H233*D233-I233</f>
        <v>0</v>
      </c>
    </row>
    <row r="234" spans="1:12" x14ac:dyDescent="0.25">
      <c r="A234" s="110"/>
      <c r="B234" s="111"/>
      <c r="C234" s="134"/>
      <c r="D234" s="9"/>
      <c r="F234" s="111"/>
      <c r="G234" s="111"/>
      <c r="H234" s="111"/>
      <c r="I234" s="312"/>
      <c r="J234" s="199"/>
      <c r="K234" s="147"/>
    </row>
    <row r="235" spans="1:12" x14ac:dyDescent="0.25">
      <c r="A235" s="110">
        <v>345</v>
      </c>
      <c r="B235" s="113" t="s">
        <v>5</v>
      </c>
      <c r="C235" s="134" t="s">
        <v>534</v>
      </c>
      <c r="D235" s="9"/>
      <c r="F235" s="114"/>
      <c r="G235" s="114" t="s">
        <v>534</v>
      </c>
      <c r="H235" s="114"/>
      <c r="I235" s="9"/>
      <c r="K235" s="147"/>
    </row>
    <row r="236" spans="1:12" x14ac:dyDescent="0.25">
      <c r="A236" s="110"/>
      <c r="B236" s="113" t="s">
        <v>563</v>
      </c>
      <c r="C236" s="134">
        <f>'Elec Study Rpt'!K234</f>
        <v>2021517.63</v>
      </c>
      <c r="D236" s="313">
        <v>37195.919999999998</v>
      </c>
      <c r="E236" s="128">
        <v>1.84</v>
      </c>
      <c r="F236" s="231">
        <f t="shared" ref="F236:F246" si="87">E236*0.01</f>
        <v>1.84E-2</v>
      </c>
      <c r="G236" s="231">
        <f>'Elec Study Rpt'!V234</f>
        <v>1.6471288454704202E-2</v>
      </c>
      <c r="H236" s="231">
        <f t="shared" ref="H236:H246" si="88">G236/F236</f>
        <v>0.89517872036435886</v>
      </c>
      <c r="I236" s="313">
        <f t="shared" ref="I236:I246" si="89">D236*H236</f>
        <v>33296.996068375061</v>
      </c>
      <c r="J236" s="143">
        <f t="shared" ref="J236:J246" si="90">I236-D236</f>
        <v>-3898.9239316249368</v>
      </c>
      <c r="K236" s="147"/>
    </row>
    <row r="237" spans="1:12" x14ac:dyDescent="0.25">
      <c r="A237" s="110"/>
      <c r="B237" s="113" t="s">
        <v>468</v>
      </c>
      <c r="C237" s="134">
        <f>'Elec Study Rpt'!K235</f>
        <v>296766.71999999997</v>
      </c>
      <c r="D237" s="313">
        <v>8517.2400000000016</v>
      </c>
      <c r="E237" s="128">
        <v>2.87</v>
      </c>
      <c r="F237" s="231">
        <f t="shared" si="87"/>
        <v>2.8700000000000003E-2</v>
      </c>
      <c r="G237" s="231">
        <f>'Elec Study Rpt'!V235</f>
        <v>2.9905644406488709E-2</v>
      </c>
      <c r="H237" s="231">
        <f t="shared" si="88"/>
        <v>1.0420085159055299</v>
      </c>
      <c r="I237" s="313">
        <f t="shared" si="89"/>
        <v>8875.0366120112176</v>
      </c>
      <c r="J237" s="143">
        <f t="shared" si="90"/>
        <v>357.79661201121598</v>
      </c>
      <c r="K237" s="147"/>
    </row>
    <row r="238" spans="1:12" x14ac:dyDescent="0.25">
      <c r="A238" s="110"/>
      <c r="B238" s="113" t="s">
        <v>469</v>
      </c>
      <c r="C238" s="134">
        <f>'Elec Study Rpt'!K236</f>
        <v>9468135</v>
      </c>
      <c r="D238" s="313">
        <v>146756.04</v>
      </c>
      <c r="E238" s="128">
        <v>1.55</v>
      </c>
      <c r="F238" s="231">
        <f t="shared" si="87"/>
        <v>1.5500000000000002E-2</v>
      </c>
      <c r="G238" s="231">
        <f>'Elec Study Rpt'!V236</f>
        <v>1.076928032817445E-2</v>
      </c>
      <c r="H238" s="231">
        <f t="shared" si="88"/>
        <v>0.69479227923706122</v>
      </c>
      <c r="I238" s="313">
        <f t="shared" si="89"/>
        <v>101964.96352340533</v>
      </c>
      <c r="J238" s="143">
        <f t="shared" si="90"/>
        <v>-44791.076476594681</v>
      </c>
      <c r="K238" s="147"/>
    </row>
    <row r="239" spans="1:12" x14ac:dyDescent="0.25">
      <c r="A239" s="104"/>
      <c r="B239" s="113" t="s">
        <v>470</v>
      </c>
      <c r="C239" s="134">
        <f>'Elec Study Rpt'!K237</f>
        <v>2823972</v>
      </c>
      <c r="D239" s="313">
        <v>79034.760000000009</v>
      </c>
      <c r="E239" s="128">
        <v>2.7987099999999998</v>
      </c>
      <c r="F239" s="231">
        <f t="shared" si="87"/>
        <v>2.7987099999999997E-2</v>
      </c>
      <c r="G239" s="231">
        <f>'Elec Study Rpt'!V237</f>
        <v>2.8253467102365037E-2</v>
      </c>
      <c r="H239" s="231">
        <f t="shared" si="88"/>
        <v>1.0095174956449593</v>
      </c>
      <c r="I239" s="313">
        <f t="shared" si="89"/>
        <v>79786.972984100415</v>
      </c>
      <c r="J239" s="143">
        <f t="shared" si="90"/>
        <v>752.21298410040617</v>
      </c>
      <c r="K239" s="147"/>
    </row>
    <row r="240" spans="1:12" x14ac:dyDescent="0.25">
      <c r="A240" s="110"/>
      <c r="B240" s="113" t="s">
        <v>471</v>
      </c>
      <c r="C240" s="134">
        <f>'Elec Study Rpt'!K238</f>
        <v>4392925.1399999997</v>
      </c>
      <c r="D240" s="313">
        <v>76436.88</v>
      </c>
      <c r="E240" s="128">
        <v>1.74</v>
      </c>
      <c r="F240" s="231">
        <f t="shared" si="87"/>
        <v>1.7399999999999999E-2</v>
      </c>
      <c r="G240" s="231">
        <f>'Elec Study Rpt'!V238</f>
        <v>1.267014534192586E-2</v>
      </c>
      <c r="H240" s="231">
        <f t="shared" si="88"/>
        <v>0.72816927252447472</v>
      </c>
      <c r="I240" s="313">
        <f t="shared" si="89"/>
        <v>55658.987303640577</v>
      </c>
      <c r="J240" s="143">
        <f t="shared" si="90"/>
        <v>-20777.892696359428</v>
      </c>
      <c r="K240" s="147"/>
    </row>
    <row r="241" spans="1:12" x14ac:dyDescent="0.25">
      <c r="A241" s="110"/>
      <c r="B241" s="113" t="s">
        <v>564</v>
      </c>
      <c r="C241" s="134">
        <f>'Elec Study Rpt'!K239</f>
        <v>406679.71</v>
      </c>
      <c r="D241" s="313">
        <v>20618.64</v>
      </c>
      <c r="E241" s="72">
        <v>5.07</v>
      </c>
      <c r="F241" s="231">
        <f t="shared" si="87"/>
        <v>5.0700000000000002E-2</v>
      </c>
      <c r="G241" s="231">
        <f>'Elec Study Rpt'!V239</f>
        <v>5.1199997167303966E-2</v>
      </c>
      <c r="H241" s="231">
        <f t="shared" si="88"/>
        <v>1.0098618770671393</v>
      </c>
      <c r="I241" s="313">
        <f t="shared" si="89"/>
        <v>20821.978492971601</v>
      </c>
      <c r="J241" s="313">
        <f t="shared" si="90"/>
        <v>203.33849297160123</v>
      </c>
      <c r="K241" s="147"/>
    </row>
    <row r="242" spans="1:12" x14ac:dyDescent="0.25">
      <c r="A242" s="110"/>
      <c r="B242" s="113" t="s">
        <v>565</v>
      </c>
      <c r="C242" s="134">
        <f>'Elec Study Rpt'!K240</f>
        <v>7187907.9199999999</v>
      </c>
      <c r="D242" s="510">
        <v>63030.48</v>
      </c>
      <c r="E242" s="72">
        <v>3.06</v>
      </c>
      <c r="F242" s="231">
        <f t="shared" si="87"/>
        <v>3.0600000000000002E-2</v>
      </c>
      <c r="G242" s="231">
        <f>'Elec Study Rpt'!V240</f>
        <v>4.30109850377716E-2</v>
      </c>
      <c r="H242" s="231">
        <f t="shared" si="88"/>
        <v>1.4055877463324051</v>
      </c>
      <c r="I242" s="313">
        <f t="shared" si="89"/>
        <v>88594.87033344974</v>
      </c>
      <c r="J242" s="313">
        <f t="shared" si="90"/>
        <v>25564.390333449737</v>
      </c>
      <c r="K242" s="147"/>
    </row>
    <row r="243" spans="1:12" x14ac:dyDescent="0.25">
      <c r="A243" s="110"/>
      <c r="B243" s="113"/>
      <c r="C243" s="134"/>
      <c r="D243" s="510">
        <v>118263.96</v>
      </c>
      <c r="E243" s="72">
        <v>2.31</v>
      </c>
      <c r="F243" s="231">
        <f t="shared" si="87"/>
        <v>2.3100000000000002E-2</v>
      </c>
      <c r="G243" s="231">
        <f>G242</f>
        <v>4.30109850377716E-2</v>
      </c>
      <c r="H243" s="231">
        <f t="shared" si="88"/>
        <v>1.8619474042325366</v>
      </c>
      <c r="I243" s="313">
        <f t="shared" si="89"/>
        <v>220201.27333626055</v>
      </c>
      <c r="J243" s="313">
        <f t="shared" si="90"/>
        <v>101937.31333626054</v>
      </c>
      <c r="K243" s="147"/>
    </row>
    <row r="244" spans="1:12" x14ac:dyDescent="0.25">
      <c r="A244" s="110"/>
      <c r="B244" s="113" t="s">
        <v>566</v>
      </c>
      <c r="C244" s="134">
        <f>'Elec Study Rpt'!K241</f>
        <v>2438637.16</v>
      </c>
      <c r="D244" s="313">
        <v>163111.64999999997</v>
      </c>
      <c r="E244" s="128">
        <v>6.75</v>
      </c>
      <c r="F244" s="231">
        <f t="shared" si="87"/>
        <v>6.7500000000000004E-2</v>
      </c>
      <c r="G244" s="231">
        <f>'Elec Study Rpt'!V241</f>
        <v>2.4316860651791262E-2</v>
      </c>
      <c r="H244" s="231">
        <f t="shared" si="88"/>
        <v>0.36024978743394459</v>
      </c>
      <c r="I244" s="313">
        <f t="shared" si="89"/>
        <v>58760.937240499952</v>
      </c>
      <c r="J244" s="143">
        <f t="shared" si="90"/>
        <v>-104350.71275950002</v>
      </c>
      <c r="K244" s="147"/>
    </row>
    <row r="245" spans="1:12" x14ac:dyDescent="0.25">
      <c r="A245" s="110"/>
      <c r="B245" s="113" t="s">
        <v>567</v>
      </c>
      <c r="C245" s="134">
        <f>'Elec Study Rpt'!K242</f>
        <v>201938.39</v>
      </c>
      <c r="D245" s="313">
        <v>10207.750000000002</v>
      </c>
      <c r="E245" s="128">
        <v>5.0199999999999996</v>
      </c>
      <c r="F245" s="231">
        <f t="shared" si="87"/>
        <v>5.0199999999999995E-2</v>
      </c>
      <c r="G245" s="231">
        <f>'Elec Study Rpt'!V242</f>
        <v>9.9386748601887932E-3</v>
      </c>
      <c r="H245" s="231">
        <f t="shared" si="88"/>
        <v>0.1979815709200955</v>
      </c>
      <c r="I245" s="313">
        <f t="shared" si="89"/>
        <v>2020.9463805596051</v>
      </c>
      <c r="J245" s="143">
        <f t="shared" si="90"/>
        <v>-8186.8036194403967</v>
      </c>
      <c r="K245" s="147"/>
    </row>
    <row r="246" spans="1:12" x14ac:dyDescent="0.25">
      <c r="A246" s="110"/>
      <c r="B246" s="113" t="s">
        <v>472</v>
      </c>
      <c r="C246" s="135">
        <f>'Elec Study Rpt'!K243</f>
        <v>3521060.99</v>
      </c>
      <c r="D246" s="314">
        <v>52971.600000000013</v>
      </c>
      <c r="E246" s="128">
        <v>1.5044219999999999</v>
      </c>
      <c r="F246" s="232">
        <f t="shared" si="87"/>
        <v>1.5044219999999999E-2</v>
      </c>
      <c r="G246" s="232">
        <f>'Elec Study Rpt'!V243</f>
        <v>2.1099322110861816E-2</v>
      </c>
      <c r="H246" s="232">
        <f t="shared" si="88"/>
        <v>1.4024869425508149</v>
      </c>
      <c r="I246" s="314">
        <f t="shared" si="89"/>
        <v>74291.97732602476</v>
      </c>
      <c r="J246" s="145">
        <f t="shared" si="90"/>
        <v>21320.377326024747</v>
      </c>
      <c r="K246" s="147"/>
    </row>
    <row r="247" spans="1:12" x14ac:dyDescent="0.25">
      <c r="A247" s="110"/>
      <c r="B247" s="113"/>
      <c r="C247" s="134"/>
      <c r="D247" s="9"/>
      <c r="F247" s="110"/>
      <c r="G247" s="110"/>
      <c r="H247" s="110"/>
      <c r="I247" s="9"/>
      <c r="K247" s="147"/>
    </row>
    <row r="248" spans="1:12" x14ac:dyDescent="0.25">
      <c r="A248" s="110"/>
      <c r="B248" s="115" t="s">
        <v>494</v>
      </c>
      <c r="C248" s="134">
        <f>+SUBTOTAL(9,C236:C246)</f>
        <v>32759540.659999996</v>
      </c>
      <c r="D248" s="134">
        <f>+SUBTOTAL(9,D236:D246)</f>
        <v>776144.92</v>
      </c>
      <c r="E248" s="198">
        <f>D248/C248</f>
        <v>2.3692179571604535E-2</v>
      </c>
      <c r="F248" s="231">
        <f>E248</f>
        <v>2.3692179571604535E-2</v>
      </c>
      <c r="G248" s="231">
        <f>I248/C248</f>
        <v>2.2719333806474042E-2</v>
      </c>
      <c r="H248" s="231">
        <f t="shared" ref="H248" si="91">G248/F248</f>
        <v>0.95893810604506535</v>
      </c>
      <c r="I248" s="134">
        <f t="shared" ref="I248:J248" si="92">+SUBTOTAL(9,I236:I246)</f>
        <v>744274.93960129889</v>
      </c>
      <c r="J248" s="134">
        <f t="shared" si="92"/>
        <v>-31869.980398701213</v>
      </c>
      <c r="K248" s="128">
        <f>H248*D248-I248</f>
        <v>0</v>
      </c>
    </row>
    <row r="249" spans="1:12" x14ac:dyDescent="0.25">
      <c r="A249" s="110"/>
      <c r="B249" s="115"/>
      <c r="C249" s="134"/>
      <c r="D249" s="312"/>
      <c r="F249" s="114"/>
      <c r="G249" s="114"/>
      <c r="H249" s="114"/>
      <c r="I249" s="312"/>
      <c r="J249" s="199"/>
      <c r="K249" s="147"/>
    </row>
    <row r="250" spans="1:12" x14ac:dyDescent="0.25">
      <c r="A250" s="110">
        <v>345.01</v>
      </c>
      <c r="B250" s="113" t="s">
        <v>568</v>
      </c>
      <c r="C250" s="134"/>
      <c r="D250" s="9"/>
      <c r="F250" s="114"/>
      <c r="G250" s="114"/>
      <c r="H250" s="114"/>
      <c r="I250" s="9"/>
      <c r="K250" s="147"/>
      <c r="L250" s="9"/>
    </row>
    <row r="251" spans="1:12" x14ac:dyDescent="0.25">
      <c r="A251" s="110"/>
      <c r="B251" s="113" t="s">
        <v>541</v>
      </c>
      <c r="C251" s="134">
        <f>'Elec Study Rpt'!K248</f>
        <v>68432625.079999998</v>
      </c>
      <c r="D251" s="313">
        <v>2901543.3599999994</v>
      </c>
      <c r="E251" s="72">
        <v>4.24</v>
      </c>
      <c r="F251" s="231">
        <f t="shared" ref="F251:F253" si="93">E251*0.01</f>
        <v>4.24E-2</v>
      </c>
      <c r="G251" s="231">
        <f>'Elec Study Rpt'!V248</f>
        <v>4.2688439857230739E-2</v>
      </c>
      <c r="H251" s="231">
        <f t="shared" ref="H251:H253" si="94">G251/F251</f>
        <v>1.0068028268214797</v>
      </c>
      <c r="I251" s="313">
        <f>D251*H251</f>
        <v>2921282.0569930938</v>
      </c>
      <c r="J251" s="313">
        <f t="shared" ref="J251:J253" si="95">I251-D251</f>
        <v>19738.696993094403</v>
      </c>
      <c r="K251" s="147"/>
      <c r="L251" s="313"/>
    </row>
    <row r="252" spans="1:12" x14ac:dyDescent="0.25">
      <c r="A252" s="110"/>
      <c r="B252" s="113" t="s">
        <v>542</v>
      </c>
      <c r="C252" s="134">
        <f>'Elec Study Rpt'!K249</f>
        <v>13903072.539999999</v>
      </c>
      <c r="D252" s="313">
        <v>599873.4</v>
      </c>
      <c r="E252" s="72">
        <v>4.24</v>
      </c>
      <c r="F252" s="231">
        <f t="shared" si="93"/>
        <v>4.24E-2</v>
      </c>
      <c r="G252" s="231">
        <f>'Elec Study Rpt'!V249</f>
        <v>4.7889486161020928E-2</v>
      </c>
      <c r="H252" s="231">
        <f t="shared" si="94"/>
        <v>1.1294690132316256</v>
      </c>
      <c r="I252" s="313">
        <f t="shared" ref="I252:I253" si="96">D252*H252</f>
        <v>677538.41716190032</v>
      </c>
      <c r="J252" s="143">
        <f t="shared" si="95"/>
        <v>77665.017161900294</v>
      </c>
      <c r="K252" s="147"/>
    </row>
    <row r="253" spans="1:12" x14ac:dyDescent="0.25">
      <c r="A253" s="110"/>
      <c r="B253" s="113" t="s">
        <v>543</v>
      </c>
      <c r="C253" s="135">
        <f>'Elec Study Rpt'!K250</f>
        <v>36997247.700000003</v>
      </c>
      <c r="D253" s="314">
        <v>1594454.3699999999</v>
      </c>
      <c r="E253" s="72">
        <v>4.28</v>
      </c>
      <c r="F253" s="231">
        <f t="shared" si="93"/>
        <v>4.2800000000000005E-2</v>
      </c>
      <c r="G253" s="232">
        <f>'Elec Study Rpt'!V250</f>
        <v>4.7899644167314639E-2</v>
      </c>
      <c r="H253" s="232">
        <f t="shared" si="94"/>
        <v>1.119150564656884</v>
      </c>
      <c r="I253" s="314">
        <f t="shared" si="96"/>
        <v>1784434.508505136</v>
      </c>
      <c r="J253" s="145">
        <f t="shared" si="95"/>
        <v>189980.13850513613</v>
      </c>
      <c r="K253" s="147"/>
    </row>
    <row r="254" spans="1:12" x14ac:dyDescent="0.25">
      <c r="A254" s="110"/>
      <c r="B254" s="113"/>
      <c r="C254" s="134"/>
      <c r="D254" s="9"/>
      <c r="E254" s="72"/>
      <c r="F254" s="381"/>
      <c r="G254" s="114"/>
      <c r="H254" s="114"/>
      <c r="I254" s="9"/>
      <c r="K254" s="147"/>
    </row>
    <row r="255" spans="1:12" x14ac:dyDescent="0.25">
      <c r="A255" s="110"/>
      <c r="B255" s="113" t="s">
        <v>569</v>
      </c>
      <c r="C255" s="134">
        <f>+SUBTOTAL(9,C251:C253)</f>
        <v>119332945.32000001</v>
      </c>
      <c r="D255" s="134">
        <f>+SUBTOTAL(9,D251:D253)</f>
        <v>5095871.129999999</v>
      </c>
      <c r="E255" s="317">
        <f>D255/C255</f>
        <v>4.2702969547387337E-2</v>
      </c>
      <c r="F255" s="231">
        <f>E255</f>
        <v>4.2702969547387337E-2</v>
      </c>
      <c r="G255" s="231">
        <f>I255/C255</f>
        <v>4.5111221953204439E-2</v>
      </c>
      <c r="H255" s="231">
        <f t="shared" ref="H255" si="97">G255/F255</f>
        <v>1.056395431777752</v>
      </c>
      <c r="I255" s="134">
        <f t="shared" ref="I255:J255" si="98">+SUBTOTAL(9,I251:I253)</f>
        <v>5383254.9826601297</v>
      </c>
      <c r="J255" s="134">
        <f t="shared" si="98"/>
        <v>287383.85266013083</v>
      </c>
      <c r="K255" s="128">
        <f>H255*D255-I255</f>
        <v>0</v>
      </c>
      <c r="L255" s="146"/>
    </row>
    <row r="256" spans="1:12" x14ac:dyDescent="0.25">
      <c r="A256" s="110"/>
      <c r="B256" s="111"/>
      <c r="C256" s="134"/>
      <c r="D256" s="9"/>
      <c r="E256" s="72"/>
      <c r="F256" s="110"/>
      <c r="G256" s="110"/>
      <c r="H256" s="110"/>
      <c r="I256" s="312"/>
      <c r="J256" s="199"/>
      <c r="K256" s="147"/>
    </row>
    <row r="257" spans="1:11" x14ac:dyDescent="0.25">
      <c r="A257" s="110">
        <v>346</v>
      </c>
      <c r="B257" s="113" t="s">
        <v>495</v>
      </c>
      <c r="C257" s="134" t="s">
        <v>534</v>
      </c>
      <c r="D257" s="9"/>
      <c r="E257" s="72"/>
      <c r="F257" s="110"/>
      <c r="G257" s="110"/>
      <c r="H257" s="110"/>
      <c r="I257" s="9"/>
      <c r="K257" s="147"/>
    </row>
    <row r="258" spans="1:11" x14ac:dyDescent="0.25">
      <c r="A258" s="110"/>
      <c r="B258" s="111" t="s">
        <v>570</v>
      </c>
      <c r="C258" s="134">
        <f>'Elec Study Rpt'!K255</f>
        <v>792720.88</v>
      </c>
      <c r="D258" s="313">
        <v>16647.12</v>
      </c>
      <c r="E258" s="72">
        <v>2.1</v>
      </c>
      <c r="F258" s="231">
        <f t="shared" ref="F258:F266" si="99">E258*0.01</f>
        <v>2.1000000000000001E-2</v>
      </c>
      <c r="G258" s="231">
        <f>'Elec Study Rpt'!V255</f>
        <v>5.676651282353002E-2</v>
      </c>
      <c r="H258" s="231">
        <f t="shared" ref="H258:H266" si="100">G258/F258</f>
        <v>2.703167277310953</v>
      </c>
      <c r="I258" s="313">
        <f t="shared" ref="I258:I266" si="101">D258*H258</f>
        <v>44999.950045468708</v>
      </c>
      <c r="J258" s="143">
        <f t="shared" ref="J258:J266" si="102">I258-D258</f>
        <v>28352.830045468709</v>
      </c>
      <c r="K258" s="147"/>
    </row>
    <row r="259" spans="1:11" x14ac:dyDescent="0.25">
      <c r="A259" s="110"/>
      <c r="B259" s="113" t="s">
        <v>469</v>
      </c>
      <c r="C259" s="134">
        <f>'Elec Study Rpt'!K256</f>
        <v>2134388</v>
      </c>
      <c r="D259" s="313">
        <v>33083.039999999994</v>
      </c>
      <c r="E259" s="72">
        <v>1.55</v>
      </c>
      <c r="F259" s="231">
        <f t="shared" si="99"/>
        <v>1.5500000000000002E-2</v>
      </c>
      <c r="G259" s="231">
        <f>'Elec Study Rpt'!V256</f>
        <v>1.0812935604960298E-2</v>
      </c>
      <c r="H259" s="231">
        <f t="shared" si="100"/>
        <v>0.69760874870711598</v>
      </c>
      <c r="I259" s="313">
        <f t="shared" si="101"/>
        <v>23079.018137827461</v>
      </c>
      <c r="J259" s="143">
        <f t="shared" si="102"/>
        <v>-10004.021862172533</v>
      </c>
      <c r="K259" s="147"/>
    </row>
    <row r="260" spans="1:11" x14ac:dyDescent="0.25">
      <c r="A260" s="110"/>
      <c r="B260" s="113" t="s">
        <v>470</v>
      </c>
      <c r="C260" s="134">
        <f>'Elec Study Rpt'!K257</f>
        <v>717365.05</v>
      </c>
      <c r="D260" s="313">
        <v>20076.959999999995</v>
      </c>
      <c r="E260" s="72">
        <v>2.7987099999999998</v>
      </c>
      <c r="F260" s="231">
        <f t="shared" si="99"/>
        <v>2.7987099999999997E-2</v>
      </c>
      <c r="G260" s="231">
        <f>'Elec Study Rpt'!V257</f>
        <v>2.8472254119433334E-2</v>
      </c>
      <c r="H260" s="231">
        <f t="shared" si="100"/>
        <v>1.0173349192818597</v>
      </c>
      <c r="I260" s="313">
        <f t="shared" si="101"/>
        <v>20424.992481025121</v>
      </c>
      <c r="J260" s="143">
        <f t="shared" si="102"/>
        <v>348.03248102512589</v>
      </c>
      <c r="K260" s="147"/>
    </row>
    <row r="261" spans="1:11" x14ac:dyDescent="0.25">
      <c r="A261" s="110"/>
      <c r="B261" s="113" t="s">
        <v>471</v>
      </c>
      <c r="C261" s="134">
        <f>'Elec Study Rpt'!K258</f>
        <v>2005074.48</v>
      </c>
      <c r="D261" s="313">
        <v>34832.9</v>
      </c>
      <c r="E261" s="72">
        <v>1.74</v>
      </c>
      <c r="F261" s="231">
        <f t="shared" si="99"/>
        <v>1.7399999999999999E-2</v>
      </c>
      <c r="G261" s="231">
        <f>'Elec Study Rpt'!V258</f>
        <v>1.0206603397595484E-2</v>
      </c>
      <c r="H261" s="231">
        <f t="shared" si="100"/>
        <v>0.58658640216066005</v>
      </c>
      <c r="I261" s="313">
        <f t="shared" si="101"/>
        <v>20432.505487822054</v>
      </c>
      <c r="J261" s="143">
        <f t="shared" si="102"/>
        <v>-14400.394512177947</v>
      </c>
      <c r="K261" s="147"/>
    </row>
    <row r="262" spans="1:11" x14ac:dyDescent="0.25">
      <c r="A262" s="110"/>
      <c r="B262" s="111" t="s">
        <v>571</v>
      </c>
      <c r="C262" s="134">
        <f>'Elec Study Rpt'!K259</f>
        <v>353337.64</v>
      </c>
      <c r="D262" s="510">
        <v>7258.3199999999988</v>
      </c>
      <c r="E262" s="72">
        <v>3.9</v>
      </c>
      <c r="F262" s="231">
        <f t="shared" si="99"/>
        <v>3.9E-2</v>
      </c>
      <c r="G262" s="231">
        <f>'Elec Study Rpt'!V259</f>
        <v>2.2315765736138384E-2</v>
      </c>
      <c r="H262" s="231">
        <f t="shared" si="100"/>
        <v>0.57219912143944573</v>
      </c>
      <c r="I262" s="313">
        <f t="shared" si="101"/>
        <v>4153.2043271263574</v>
      </c>
      <c r="J262" s="313">
        <f t="shared" si="102"/>
        <v>-3105.1156728736414</v>
      </c>
      <c r="K262" s="147"/>
    </row>
    <row r="263" spans="1:11" x14ac:dyDescent="0.25">
      <c r="A263" s="110"/>
      <c r="B263" s="111"/>
      <c r="C263" s="134"/>
      <c r="D263" s="510">
        <v>3856.5600000000009</v>
      </c>
      <c r="E263" s="72">
        <v>2.31</v>
      </c>
      <c r="F263" s="231">
        <f t="shared" si="99"/>
        <v>2.3100000000000002E-2</v>
      </c>
      <c r="G263" s="231">
        <f>G262</f>
        <v>2.2315765736138384E-2</v>
      </c>
      <c r="H263" s="231">
        <f t="shared" si="100"/>
        <v>0.96605046476789536</v>
      </c>
      <c r="I263" s="313">
        <f t="shared" si="101"/>
        <v>3725.6315804052751</v>
      </c>
      <c r="J263" s="313">
        <f t="shared" si="102"/>
        <v>-130.92841959472571</v>
      </c>
      <c r="K263" s="147"/>
    </row>
    <row r="264" spans="1:11" x14ac:dyDescent="0.25">
      <c r="A264" s="110"/>
      <c r="B264" s="113" t="s">
        <v>572</v>
      </c>
      <c r="C264" s="134">
        <f>'Elec Study Rpt'!K260</f>
        <v>156087.78</v>
      </c>
      <c r="D264" s="313">
        <v>7835.6400000000021</v>
      </c>
      <c r="E264" s="72">
        <v>5.0199999999999996</v>
      </c>
      <c r="F264" s="231">
        <f t="shared" si="99"/>
        <v>5.0199999999999995E-2</v>
      </c>
      <c r="G264" s="231">
        <f>'Elec Study Rpt'!V260</f>
        <v>2.6972002548822207E-3</v>
      </c>
      <c r="H264" s="231">
        <f t="shared" si="100"/>
        <v>5.3729088742673722E-2</v>
      </c>
      <c r="I264" s="313">
        <f t="shared" si="101"/>
        <v>421.00179691564404</v>
      </c>
      <c r="J264" s="143">
        <f t="shared" si="102"/>
        <v>-7414.6382030843579</v>
      </c>
      <c r="K264" s="147"/>
    </row>
    <row r="265" spans="1:11" x14ac:dyDescent="0.25">
      <c r="A265" s="110"/>
      <c r="B265" s="113" t="s">
        <v>567</v>
      </c>
      <c r="C265" s="134">
        <f>'Elec Study Rpt'!K261</f>
        <v>46462.34</v>
      </c>
      <c r="D265" s="313">
        <v>2425.3200000000006</v>
      </c>
      <c r="E265" s="72">
        <v>5.22</v>
      </c>
      <c r="F265" s="231">
        <f t="shared" si="99"/>
        <v>5.2199999999999996E-2</v>
      </c>
      <c r="G265" s="231">
        <f>'Elec Study Rpt'!V261</f>
        <v>2.5396912854582874E-2</v>
      </c>
      <c r="H265" s="231">
        <f t="shared" si="100"/>
        <v>0.48653089759737311</v>
      </c>
      <c r="I265" s="313">
        <f t="shared" si="101"/>
        <v>1179.9931165608612</v>
      </c>
      <c r="J265" s="143">
        <f t="shared" si="102"/>
        <v>-1245.3268834391395</v>
      </c>
      <c r="K265" s="147"/>
    </row>
    <row r="266" spans="1:11" x14ac:dyDescent="0.25">
      <c r="A266" s="110"/>
      <c r="B266" s="113" t="s">
        <v>472</v>
      </c>
      <c r="C266" s="135">
        <f>'Elec Study Rpt'!K262</f>
        <v>665876</v>
      </c>
      <c r="D266" s="314">
        <v>10017.599999999999</v>
      </c>
      <c r="E266" s="72">
        <v>1.5044219999999999</v>
      </c>
      <c r="F266" s="232">
        <f t="shared" si="99"/>
        <v>1.5044219999999999E-2</v>
      </c>
      <c r="G266" s="232">
        <f>'Elec Study Rpt'!V262</f>
        <v>2.1098522848097843E-2</v>
      </c>
      <c r="H266" s="232">
        <f t="shared" si="100"/>
        <v>1.4024338149866091</v>
      </c>
      <c r="I266" s="314">
        <f t="shared" si="101"/>
        <v>14049.020985009853</v>
      </c>
      <c r="J266" s="145">
        <f t="shared" si="102"/>
        <v>4031.4209850098541</v>
      </c>
      <c r="K266" s="147"/>
    </row>
    <row r="267" spans="1:11" x14ac:dyDescent="0.25">
      <c r="A267" s="110"/>
      <c r="B267" s="113"/>
      <c r="C267" s="134"/>
      <c r="D267" s="9"/>
      <c r="E267" s="72"/>
      <c r="F267" s="110"/>
      <c r="G267" s="110"/>
      <c r="H267" s="110"/>
      <c r="I267" s="9"/>
      <c r="K267" s="147"/>
    </row>
    <row r="268" spans="1:11" x14ac:dyDescent="0.25">
      <c r="A268" s="110"/>
      <c r="B268" s="121" t="s">
        <v>503</v>
      </c>
      <c r="C268" s="134">
        <f>+SUBTOTAL(9,C258:C266)</f>
        <v>6871312.1699999999</v>
      </c>
      <c r="D268" s="134">
        <f>+SUBTOTAL(9,D258:D266)</f>
        <v>136033.46</v>
      </c>
      <c r="E268" s="317">
        <f>D268/C268</f>
        <v>1.9797304595462733E-2</v>
      </c>
      <c r="F268" s="231">
        <f>E268</f>
        <v>1.9797304595462733E-2</v>
      </c>
      <c r="G268" s="231">
        <f>I268/C268</f>
        <v>1.9278023568264302E-2</v>
      </c>
      <c r="H268" s="231">
        <f t="shared" ref="H268" si="103">G268/F268</f>
        <v>0.97377011478029984</v>
      </c>
      <c r="I268" s="134">
        <f t="shared" ref="I268:J268" si="104">+SUBTOTAL(9,I258:I266)</f>
        <v>132465.31795816132</v>
      </c>
      <c r="J268" s="134">
        <f t="shared" si="104"/>
        <v>-3568.1420418386551</v>
      </c>
      <c r="K268" s="128">
        <f>H268*D268-I268</f>
        <v>0</v>
      </c>
    </row>
    <row r="269" spans="1:11" x14ac:dyDescent="0.25">
      <c r="A269" s="110"/>
      <c r="B269" s="121"/>
      <c r="C269" s="134"/>
      <c r="D269" s="9"/>
      <c r="E269" s="72"/>
      <c r="F269" s="114"/>
      <c r="G269" s="114"/>
      <c r="H269" s="114"/>
      <c r="I269" s="312"/>
      <c r="J269" s="199"/>
      <c r="K269" s="147"/>
    </row>
    <row r="270" spans="1:11" x14ac:dyDescent="0.25">
      <c r="A270" s="110">
        <v>346.01</v>
      </c>
      <c r="B270" s="113" t="s">
        <v>573</v>
      </c>
      <c r="C270" s="134"/>
      <c r="D270" s="9"/>
      <c r="E270" s="72"/>
      <c r="F270" s="114"/>
      <c r="G270" s="114"/>
      <c r="H270" s="114"/>
      <c r="I270" s="9"/>
      <c r="K270" s="147"/>
    </row>
    <row r="271" spans="1:11" x14ac:dyDescent="0.25">
      <c r="A271" s="110"/>
      <c r="B271" s="113" t="s">
        <v>541</v>
      </c>
      <c r="C271" s="134">
        <f>'Elec Study Rpt'!K267</f>
        <v>2820158.96</v>
      </c>
      <c r="D271" s="313">
        <v>119574.84000000003</v>
      </c>
      <c r="E271" s="72">
        <v>4.24</v>
      </c>
      <c r="F271" s="231">
        <f t="shared" ref="F271:F273" si="105">E271*0.01</f>
        <v>4.24E-2</v>
      </c>
      <c r="G271" s="231">
        <f>'Elec Study Rpt'!V267</f>
        <v>4.2479520374269969E-2</v>
      </c>
      <c r="H271" s="231">
        <f t="shared" ref="H271:H273" si="106">G271/F271</f>
        <v>1.001875480525235</v>
      </c>
      <c r="I271" s="313">
        <f t="shared" ref="I271:I273" si="107">D271*H271</f>
        <v>119799.10028372811</v>
      </c>
      <c r="J271" s="143">
        <f t="shared" ref="J271:J273" si="108">I271-D271</f>
        <v>224.26028372808651</v>
      </c>
      <c r="K271" s="147"/>
    </row>
    <row r="272" spans="1:11" x14ac:dyDescent="0.25">
      <c r="A272" s="110"/>
      <c r="B272" s="113" t="s">
        <v>542</v>
      </c>
      <c r="C272" s="134">
        <f>'Elec Study Rpt'!K268</f>
        <v>479164.8</v>
      </c>
      <c r="D272" s="313">
        <v>20316.599999999995</v>
      </c>
      <c r="E272" s="72">
        <v>4.24</v>
      </c>
      <c r="F272" s="231">
        <f t="shared" si="105"/>
        <v>4.24E-2</v>
      </c>
      <c r="G272" s="231">
        <f>'Elec Study Rpt'!V268</f>
        <v>5.9111186798362483E-2</v>
      </c>
      <c r="H272" s="231">
        <f t="shared" si="106"/>
        <v>1.3941317641123228</v>
      </c>
      <c r="I272" s="313">
        <f t="shared" si="107"/>
        <v>28324.017398764408</v>
      </c>
      <c r="J272" s="143">
        <f t="shared" si="108"/>
        <v>8007.4173987644135</v>
      </c>
      <c r="K272" s="147"/>
    </row>
    <row r="273" spans="1:12" x14ac:dyDescent="0.25">
      <c r="A273" s="110"/>
      <c r="B273" s="113" t="s">
        <v>543</v>
      </c>
      <c r="C273" s="135">
        <f>'Elec Study Rpt'!K269</f>
        <v>706082.18</v>
      </c>
      <c r="D273" s="314">
        <v>30220.32</v>
      </c>
      <c r="E273" s="72">
        <v>4.28</v>
      </c>
      <c r="F273" s="232">
        <f t="shared" si="105"/>
        <v>4.2800000000000005E-2</v>
      </c>
      <c r="G273" s="232">
        <f>'Elec Study Rpt'!V269</f>
        <v>5.6242745001722036E-2</v>
      </c>
      <c r="H273" s="232">
        <f t="shared" si="106"/>
        <v>1.314082827143038</v>
      </c>
      <c r="I273" s="314">
        <f t="shared" si="107"/>
        <v>39712.003542767292</v>
      </c>
      <c r="J273" s="145">
        <f t="shared" si="108"/>
        <v>9491.6835427672922</v>
      </c>
      <c r="K273" s="147"/>
    </row>
    <row r="274" spans="1:12" x14ac:dyDescent="0.25">
      <c r="A274" s="110"/>
      <c r="B274" s="121"/>
      <c r="C274" s="134"/>
      <c r="D274" s="9"/>
      <c r="E274" s="72"/>
      <c r="F274" s="114"/>
      <c r="G274" s="114"/>
      <c r="H274" s="114"/>
      <c r="I274" s="9"/>
      <c r="K274" s="147"/>
    </row>
    <row r="275" spans="1:12" x14ac:dyDescent="0.25">
      <c r="A275" s="110"/>
      <c r="B275" s="121" t="s">
        <v>574</v>
      </c>
      <c r="C275" s="134">
        <f>+SUBTOTAL(9,C271:C273)</f>
        <v>4005405.94</v>
      </c>
      <c r="D275" s="134">
        <f>+SUBTOTAL(9,D271:D273)</f>
        <v>170111.76000000004</v>
      </c>
      <c r="E275" s="317">
        <f>D275/C275</f>
        <v>4.2470541699950654E-2</v>
      </c>
      <c r="F275" s="231">
        <f>E275</f>
        <v>4.2470541699950654E-2</v>
      </c>
      <c r="G275" s="231">
        <f>I275/C275</f>
        <v>4.6895401874113118E-2</v>
      </c>
      <c r="H275" s="231">
        <f t="shared" ref="H275" si="109">G275/F275</f>
        <v>1.1041865725524194</v>
      </c>
      <c r="I275" s="134">
        <f t="shared" ref="I275:J275" si="110">+SUBTOTAL(9,I271:I273)</f>
        <v>187835.12122525982</v>
      </c>
      <c r="J275" s="134">
        <f t="shared" si="110"/>
        <v>17723.361225259792</v>
      </c>
      <c r="K275" s="128">
        <f>H275*D275-I275</f>
        <v>0</v>
      </c>
      <c r="L275" s="146"/>
    </row>
    <row r="276" spans="1:12" x14ac:dyDescent="0.25">
      <c r="A276" s="110"/>
      <c r="B276" s="404"/>
      <c r="C276" s="134"/>
      <c r="D276" s="9"/>
      <c r="E276" s="72"/>
      <c r="F276" s="123"/>
      <c r="G276" s="123"/>
      <c r="H276" s="123"/>
      <c r="I276" s="312"/>
      <c r="J276" s="199"/>
      <c r="K276" s="147"/>
    </row>
    <row r="277" spans="1:12" x14ac:dyDescent="0.25">
      <c r="A277" s="110">
        <v>346.1</v>
      </c>
      <c r="B277" s="113" t="s">
        <v>32</v>
      </c>
      <c r="C277" s="134" t="s">
        <v>534</v>
      </c>
      <c r="D277" s="9"/>
      <c r="E277" s="72"/>
      <c r="F277" s="110"/>
      <c r="G277" s="110"/>
      <c r="H277" s="110"/>
      <c r="I277" s="9"/>
      <c r="K277" s="147"/>
    </row>
    <row r="278" spans="1:12" x14ac:dyDescent="0.25">
      <c r="A278" s="110"/>
      <c r="B278" s="113" t="s">
        <v>561</v>
      </c>
      <c r="C278" s="134">
        <f>'Elec Study Rpt'!K274</f>
        <v>387249.85</v>
      </c>
      <c r="D278" s="313">
        <v>17581.2</v>
      </c>
      <c r="E278" s="72">
        <v>4.54</v>
      </c>
      <c r="F278" s="231">
        <f t="shared" ref="F278:F286" si="111">E278*0.01</f>
        <v>4.5400000000000003E-2</v>
      </c>
      <c r="G278" s="231">
        <f>'Elec Study Rpt'!V274</f>
        <v>9.1602359561921073E-2</v>
      </c>
      <c r="H278" s="231">
        <f t="shared" ref="H278:H286" si="112">G278/F278</f>
        <v>2.0176731181039882</v>
      </c>
      <c r="I278" s="313">
        <f t="shared" ref="I278:I286" si="113">D278*H278</f>
        <v>35473.114624009839</v>
      </c>
      <c r="J278" s="143">
        <f t="shared" ref="J278:J286" si="114">I278-D278</f>
        <v>17891.914624009838</v>
      </c>
      <c r="K278" s="147"/>
    </row>
    <row r="279" spans="1:12" x14ac:dyDescent="0.25">
      <c r="A279" s="110"/>
      <c r="B279" s="113" t="s">
        <v>468</v>
      </c>
      <c r="C279" s="134">
        <f>'Elec Study Rpt'!K275</f>
        <v>44161.55</v>
      </c>
      <c r="D279" s="313">
        <v>2143.8000000000006</v>
      </c>
      <c r="E279" s="72">
        <v>3.65</v>
      </c>
      <c r="F279" s="231">
        <f t="shared" si="111"/>
        <v>3.6499999999999998E-2</v>
      </c>
      <c r="G279" s="231">
        <f>'Elec Study Rpt'!V275</f>
        <v>9.0395377879626052E-2</v>
      </c>
      <c r="H279" s="231">
        <f t="shared" si="112"/>
        <v>2.4765856953322207</v>
      </c>
      <c r="I279" s="313">
        <f t="shared" si="113"/>
        <v>5309.3044136532162</v>
      </c>
      <c r="J279" s="313">
        <f t="shared" si="114"/>
        <v>3165.5044136532156</v>
      </c>
      <c r="K279" s="147"/>
      <c r="L279" s="313"/>
    </row>
    <row r="280" spans="1:12" x14ac:dyDescent="0.25">
      <c r="A280" s="110"/>
      <c r="B280" s="113" t="s">
        <v>469</v>
      </c>
      <c r="C280" s="134">
        <f>'Elec Study Rpt'!K276</f>
        <v>469809.97</v>
      </c>
      <c r="D280" s="313">
        <v>7197.57</v>
      </c>
      <c r="E280" s="72">
        <v>1.55</v>
      </c>
      <c r="F280" s="231">
        <f t="shared" si="111"/>
        <v>1.5500000000000002E-2</v>
      </c>
      <c r="G280" s="231">
        <f>'Elec Study Rpt'!V276</f>
        <v>9.8195021276368408E-2</v>
      </c>
      <c r="H280" s="231">
        <f t="shared" si="112"/>
        <v>6.3351626629915092</v>
      </c>
      <c r="I280" s="313">
        <f t="shared" si="113"/>
        <v>45597.776728267796</v>
      </c>
      <c r="J280" s="143">
        <f t="shared" si="114"/>
        <v>38400.206728267796</v>
      </c>
      <c r="K280" s="147"/>
    </row>
    <row r="281" spans="1:12" x14ac:dyDescent="0.25">
      <c r="A281" s="110"/>
      <c r="B281" s="113" t="s">
        <v>470</v>
      </c>
      <c r="C281" s="134">
        <f>'Elec Study Rpt'!K277</f>
        <v>363626.33</v>
      </c>
      <c r="D281" s="313">
        <v>9986.2199999999993</v>
      </c>
      <c r="E281" s="72">
        <v>2.7987099999999998</v>
      </c>
      <c r="F281" s="231">
        <f t="shared" si="111"/>
        <v>2.7987099999999997E-2</v>
      </c>
      <c r="G281" s="231">
        <f>'Elec Study Rpt'!V277</f>
        <v>9.3398077086442002E-2</v>
      </c>
      <c r="H281" s="231">
        <f t="shared" si="112"/>
        <v>3.3371830981574373</v>
      </c>
      <c r="I281" s="313">
        <f t="shared" si="113"/>
        <v>33325.844598481759</v>
      </c>
      <c r="J281" s="143">
        <f t="shared" si="114"/>
        <v>23339.624598481758</v>
      </c>
      <c r="K281" s="147"/>
    </row>
    <row r="282" spans="1:12" x14ac:dyDescent="0.25">
      <c r="A282" s="110"/>
      <c r="B282" s="113" t="s">
        <v>471</v>
      </c>
      <c r="C282" s="134">
        <f>'Elec Study Rpt'!K278</f>
        <v>310501.03000000003</v>
      </c>
      <c r="D282" s="313">
        <v>5402.76</v>
      </c>
      <c r="E282" s="72">
        <v>1.74</v>
      </c>
      <c r="F282" s="231">
        <f t="shared" si="111"/>
        <v>1.7399999999999999E-2</v>
      </c>
      <c r="G282" s="231">
        <f>'Elec Study Rpt'!V278</f>
        <v>9.8505309306059302E-2</v>
      </c>
      <c r="H282" s="231">
        <f t="shared" si="112"/>
        <v>5.661224672762029</v>
      </c>
      <c r="I282" s="313">
        <f t="shared" si="113"/>
        <v>30586.23821301178</v>
      </c>
      <c r="J282" s="143">
        <f t="shared" si="114"/>
        <v>25183.478213011782</v>
      </c>
      <c r="K282" s="147"/>
    </row>
    <row r="283" spans="1:12" x14ac:dyDescent="0.25">
      <c r="A283" s="110"/>
      <c r="B283" s="113" t="s">
        <v>564</v>
      </c>
      <c r="C283" s="134">
        <f>'Elec Study Rpt'!K279</f>
        <v>10249.280000000001</v>
      </c>
      <c r="D283" s="313">
        <v>189.60000000000002</v>
      </c>
      <c r="E283" s="72">
        <v>1.85</v>
      </c>
      <c r="F283" s="231">
        <f t="shared" si="111"/>
        <v>1.8500000000000003E-2</v>
      </c>
      <c r="G283" s="231">
        <f>'Elec Study Rpt'!V279</f>
        <v>0.19913593930500484</v>
      </c>
      <c r="H283" s="231">
        <f t="shared" si="112"/>
        <v>10.764104827297558</v>
      </c>
      <c r="I283" s="313">
        <f t="shared" si="113"/>
        <v>2040.8742752556172</v>
      </c>
      <c r="J283" s="143">
        <f t="shared" si="114"/>
        <v>1851.2742752556173</v>
      </c>
      <c r="K283" s="147"/>
    </row>
    <row r="284" spans="1:12" x14ac:dyDescent="0.25">
      <c r="A284" s="110"/>
      <c r="B284" s="113" t="s">
        <v>565</v>
      </c>
      <c r="C284" s="134">
        <f>'Elec Study Rpt'!K280</f>
        <v>500057.41</v>
      </c>
      <c r="D284" s="313">
        <v>24841.370000000003</v>
      </c>
      <c r="E284" s="72">
        <v>5.0199999999999996</v>
      </c>
      <c r="F284" s="231">
        <f t="shared" si="111"/>
        <v>5.0199999999999995E-2</v>
      </c>
      <c r="G284" s="231">
        <f>'Elec Study Rpt'!V280</f>
        <v>0.16061155858084375</v>
      </c>
      <c r="H284" s="231">
        <f t="shared" si="112"/>
        <v>3.1994334378654137</v>
      </c>
      <c r="I284" s="313">
        <f t="shared" si="113"/>
        <v>79478.309820386756</v>
      </c>
      <c r="J284" s="143">
        <f t="shared" si="114"/>
        <v>54636.939820386753</v>
      </c>
      <c r="K284" s="147"/>
    </row>
    <row r="285" spans="1:12" x14ac:dyDescent="0.25">
      <c r="A285" s="110"/>
      <c r="B285" s="113" t="s">
        <v>566</v>
      </c>
      <c r="C285" s="134">
        <f>'Elec Study Rpt'!K281</f>
        <v>313151.40000000002</v>
      </c>
      <c r="D285" s="313">
        <v>10832.160000000002</v>
      </c>
      <c r="E285" s="72">
        <v>3.65</v>
      </c>
      <c r="F285" s="231">
        <f t="shared" si="111"/>
        <v>3.6499999999999998E-2</v>
      </c>
      <c r="G285" s="231">
        <f>'Elec Study Rpt'!V281</f>
        <v>0.12376122220753283</v>
      </c>
      <c r="H285" s="231">
        <f t="shared" si="112"/>
        <v>3.3907184166447353</v>
      </c>
      <c r="I285" s="313">
        <f t="shared" si="113"/>
        <v>36728.804404042443</v>
      </c>
      <c r="J285" s="143">
        <f t="shared" si="114"/>
        <v>25896.644404042439</v>
      </c>
      <c r="K285" s="147"/>
    </row>
    <row r="286" spans="1:12" x14ac:dyDescent="0.25">
      <c r="A286" s="110"/>
      <c r="B286" s="113" t="s">
        <v>567</v>
      </c>
      <c r="C286" s="135">
        <f>'Elec Study Rpt'!K282</f>
        <v>252402.76</v>
      </c>
      <c r="D286" s="314">
        <v>16078.08</v>
      </c>
      <c r="E286" s="72">
        <v>6.37</v>
      </c>
      <c r="F286" s="232">
        <f t="shared" si="111"/>
        <v>6.3700000000000007E-2</v>
      </c>
      <c r="G286" s="232">
        <f>'Elec Study Rpt'!V282</f>
        <v>0.10716206114386387</v>
      </c>
      <c r="H286" s="232">
        <f t="shared" si="112"/>
        <v>1.6822929535928393</v>
      </c>
      <c r="I286" s="314">
        <f t="shared" si="113"/>
        <v>27048.040691301958</v>
      </c>
      <c r="J286" s="145">
        <f t="shared" si="114"/>
        <v>10969.960691301958</v>
      </c>
      <c r="K286" s="147"/>
    </row>
    <row r="287" spans="1:12" x14ac:dyDescent="0.25">
      <c r="A287" s="110"/>
      <c r="B287" s="113"/>
      <c r="C287" s="134"/>
      <c r="D287" s="9"/>
      <c r="E287" s="72"/>
      <c r="F287" s="110"/>
      <c r="G287" s="110"/>
      <c r="H287" s="110"/>
      <c r="I287" s="9"/>
      <c r="K287" s="147"/>
    </row>
    <row r="288" spans="1:12" x14ac:dyDescent="0.25">
      <c r="A288" s="110"/>
      <c r="B288" s="115" t="s">
        <v>529</v>
      </c>
      <c r="C288" s="134">
        <f>+SUBTOTAL(9,C278:C286)</f>
        <v>2651209.58</v>
      </c>
      <c r="D288" s="134">
        <f>+SUBTOTAL(9,D278:D286)</f>
        <v>94252.760000000009</v>
      </c>
      <c r="E288" s="317">
        <f>D288/C288</f>
        <v>3.5550852226476942E-2</v>
      </c>
      <c r="F288" s="231">
        <f>E288</f>
        <v>3.5550852226476942E-2</v>
      </c>
      <c r="G288" s="231">
        <f>I288/C288</f>
        <v>0.11149186771134525</v>
      </c>
      <c r="H288" s="231">
        <f t="shared" ref="H288" si="115">G288/F288</f>
        <v>3.1361236293601507</v>
      </c>
      <c r="I288" s="134">
        <f t="shared" ref="I288:J288" si="116">+SUBTOTAL(9,I278:I286)</f>
        <v>295588.30776841124</v>
      </c>
      <c r="J288" s="134">
        <f t="shared" si="116"/>
        <v>201335.54776841117</v>
      </c>
      <c r="K288" s="128">
        <f>H288*D288-I288</f>
        <v>0</v>
      </c>
    </row>
    <row r="289" spans="1:12" x14ac:dyDescent="0.25">
      <c r="A289" s="110"/>
      <c r="B289" s="115"/>
      <c r="C289" s="134"/>
      <c r="D289" s="9"/>
      <c r="E289" s="72"/>
      <c r="F289" s="114"/>
      <c r="G289" s="114"/>
      <c r="H289" s="114"/>
      <c r="I289" s="312"/>
      <c r="J289" s="318"/>
      <c r="K289" s="231"/>
      <c r="L289" s="9"/>
    </row>
    <row r="290" spans="1:12" x14ac:dyDescent="0.25">
      <c r="A290" s="110">
        <v>346.11</v>
      </c>
      <c r="B290" s="113" t="s">
        <v>575</v>
      </c>
      <c r="C290" s="134"/>
      <c r="D290" s="9"/>
      <c r="E290" s="72"/>
      <c r="F290" s="114"/>
      <c r="G290" s="114"/>
      <c r="H290" s="114"/>
      <c r="I290" s="9"/>
      <c r="K290" s="147"/>
    </row>
    <row r="291" spans="1:12" x14ac:dyDescent="0.25">
      <c r="A291" s="110"/>
      <c r="B291" s="113" t="s">
        <v>541</v>
      </c>
      <c r="C291" s="134">
        <f>'Elec Study Rpt'!K287</f>
        <v>124261.07</v>
      </c>
      <c r="D291" s="313">
        <v>5124.2100000000009</v>
      </c>
      <c r="E291" s="72">
        <v>4.24</v>
      </c>
      <c r="F291" s="231">
        <f t="shared" ref="F291:F293" si="117">E291*0.01</f>
        <v>4.24E-2</v>
      </c>
      <c r="G291" s="231">
        <f>'Elec Study Rpt'!V287</f>
        <v>7.1711920716600944E-2</v>
      </c>
      <c r="H291" s="231">
        <f t="shared" ref="H291:H293" si="118">G291/F291</f>
        <v>1.6913188848254939</v>
      </c>
      <c r="I291" s="313">
        <f t="shared" ref="I291:I293" si="119">D291*H291</f>
        <v>8666.6731428116454</v>
      </c>
      <c r="J291" s="143">
        <f t="shared" ref="J291:J293" si="120">I291-D291</f>
        <v>3542.4631428116445</v>
      </c>
      <c r="K291" s="147"/>
    </row>
    <row r="292" spans="1:12" x14ac:dyDescent="0.25">
      <c r="A292" s="110"/>
      <c r="B292" s="113" t="s">
        <v>542</v>
      </c>
      <c r="C292" s="134">
        <f>'Elec Study Rpt'!K288</f>
        <v>324714.64</v>
      </c>
      <c r="D292" s="313">
        <v>13525.970000000001</v>
      </c>
      <c r="E292" s="72">
        <v>4.24</v>
      </c>
      <c r="F292" s="231">
        <f t="shared" si="117"/>
        <v>4.24E-2</v>
      </c>
      <c r="G292" s="231">
        <f>'Elec Study Rpt'!V288</f>
        <v>9.8815994252676745E-2</v>
      </c>
      <c r="H292" s="231">
        <f t="shared" si="118"/>
        <v>2.3305659021857723</v>
      </c>
      <c r="I292" s="313">
        <f>D292*H292</f>
        <v>31523.164475987694</v>
      </c>
      <c r="J292" s="143">
        <f t="shared" si="120"/>
        <v>17997.194475987693</v>
      </c>
      <c r="K292" s="147"/>
    </row>
    <row r="293" spans="1:12" x14ac:dyDescent="0.25">
      <c r="A293" s="110"/>
      <c r="B293" s="113" t="s">
        <v>543</v>
      </c>
      <c r="C293" s="135">
        <f>'Elec Study Rpt'!K289</f>
        <v>333519.96999999997</v>
      </c>
      <c r="D293" s="314">
        <v>14274.719999999996</v>
      </c>
      <c r="E293" s="72">
        <v>4.28</v>
      </c>
      <c r="F293" s="232">
        <f t="shared" si="117"/>
        <v>4.2800000000000005E-2</v>
      </c>
      <c r="G293" s="232">
        <f>'Elec Study Rpt'!V289</f>
        <v>7.6550138811777899E-2</v>
      </c>
      <c r="H293" s="232">
        <f t="shared" si="118"/>
        <v>1.7885546451349974</v>
      </c>
      <c r="I293" s="314">
        <f t="shared" si="119"/>
        <v>25531.116764001443</v>
      </c>
      <c r="J293" s="145">
        <f t="shared" si="120"/>
        <v>11256.396764001447</v>
      </c>
      <c r="K293" s="147"/>
      <c r="L293" s="146"/>
    </row>
    <row r="294" spans="1:12" x14ac:dyDescent="0.25">
      <c r="A294" s="110"/>
      <c r="B294" s="113"/>
      <c r="C294" s="134"/>
      <c r="D294" s="9"/>
      <c r="E294" s="72"/>
      <c r="F294" s="114"/>
      <c r="G294" s="114"/>
      <c r="H294" s="114"/>
      <c r="I294" s="9"/>
      <c r="K294" s="147"/>
    </row>
    <row r="295" spans="1:12" x14ac:dyDescent="0.25">
      <c r="A295" s="110"/>
      <c r="B295" s="115" t="s">
        <v>576</v>
      </c>
      <c r="C295" s="135">
        <f>+SUBTOTAL(9,C291:C293)</f>
        <v>782495.67999999993</v>
      </c>
      <c r="D295" s="135">
        <f>+SUBTOTAL(9,D291:D293)</f>
        <v>32924.899999999994</v>
      </c>
      <c r="E295" s="317">
        <f>D295/C295</f>
        <v>4.2076781816865742E-2</v>
      </c>
      <c r="F295" s="232">
        <f>E295</f>
        <v>4.2076781816865742E-2</v>
      </c>
      <c r="G295" s="232">
        <f>I295/C295</f>
        <v>8.3988903788965064E-2</v>
      </c>
      <c r="H295" s="231">
        <f t="shared" ref="H295" si="121">G295/F295</f>
        <v>1.9960866815935905</v>
      </c>
      <c r="I295" s="135">
        <f>+SUBTOTAL(9,I291:I293)</f>
        <v>65720.954382800788</v>
      </c>
      <c r="J295" s="135">
        <f t="shared" ref="J295" si="122">+SUBTOTAL(9,J291:J293)</f>
        <v>32796.054382800787</v>
      </c>
      <c r="K295" s="128">
        <f>H295*D295-I295</f>
        <v>0</v>
      </c>
    </row>
    <row r="296" spans="1:12" x14ac:dyDescent="0.25">
      <c r="A296" s="110"/>
      <c r="B296" s="115"/>
      <c r="C296" s="134"/>
      <c r="D296" s="134"/>
      <c r="E296" s="317"/>
      <c r="F296" s="371"/>
      <c r="G296" s="371"/>
      <c r="H296" s="231"/>
      <c r="I296" s="134"/>
      <c r="J296" s="134"/>
      <c r="K296" s="128"/>
    </row>
    <row r="297" spans="1:12" x14ac:dyDescent="0.25">
      <c r="A297" s="114">
        <v>348</v>
      </c>
      <c r="B297" s="127" t="s">
        <v>837</v>
      </c>
      <c r="C297" s="134">
        <f>'Elec Study Rpt'!K293</f>
        <v>4776731.5599999996</v>
      </c>
      <c r="D297" s="313">
        <v>95635.35</v>
      </c>
      <c r="E297" s="317">
        <v>0.05</v>
      </c>
      <c r="F297" s="198">
        <f>E297</f>
        <v>0.05</v>
      </c>
      <c r="G297" s="231">
        <f>'Elec Study Rpt'!V293</f>
        <v>4.992242017468531E-2</v>
      </c>
      <c r="H297" s="231">
        <f t="shared" ref="H297" si="123">G297/F297</f>
        <v>0.99844840349370612</v>
      </c>
      <c r="I297" s="143">
        <f>D297*H297</f>
        <v>95486.962525061812</v>
      </c>
      <c r="J297" s="137">
        <f>I297-D297</f>
        <v>-148.38747493819392</v>
      </c>
      <c r="K297" s="147"/>
    </row>
    <row r="298" spans="1:12" x14ac:dyDescent="0.25">
      <c r="A298" s="110"/>
      <c r="B298" s="111"/>
      <c r="C298" s="134"/>
      <c r="D298" s="9"/>
      <c r="F298" s="110"/>
      <c r="G298" s="110"/>
      <c r="H298" s="110"/>
      <c r="I298" s="312"/>
      <c r="J298" s="199"/>
      <c r="K298" s="147"/>
    </row>
    <row r="299" spans="1:12" x14ac:dyDescent="0.25">
      <c r="A299" s="110"/>
      <c r="B299" s="111"/>
      <c r="C299" s="134"/>
      <c r="D299" s="9"/>
      <c r="F299" s="110"/>
      <c r="G299" s="110"/>
      <c r="H299" s="110"/>
      <c r="I299" s="312"/>
      <c r="J299" s="199"/>
      <c r="K299" s="147"/>
    </row>
    <row r="300" spans="1:12" x14ac:dyDescent="0.25">
      <c r="A300" s="114"/>
      <c r="B300" s="125" t="s">
        <v>577</v>
      </c>
      <c r="C300" s="136">
        <f>SUBTOTAL(9,C169:C297)</f>
        <v>1895861022.3200006</v>
      </c>
      <c r="D300" s="136">
        <f>SUBTOTAL(9,D169:D297)</f>
        <v>66198303.829999998</v>
      </c>
      <c r="F300" s="233">
        <f>D300/C300</f>
        <v>3.4917276662501294E-2</v>
      </c>
      <c r="G300" s="233">
        <f>I300/C300</f>
        <v>4.1312087968797317E-2</v>
      </c>
      <c r="H300" s="231">
        <f t="shared" ref="H300" si="124">G300/F300</f>
        <v>1.1831417543844021</v>
      </c>
      <c r="I300" s="136">
        <f t="shared" ref="I300" si="125">SUBTOTAL(9,I169:I297)</f>
        <v>78321977.330697879</v>
      </c>
      <c r="J300" s="136">
        <f>SUBTOTAL(9,J169:J297)</f>
        <v>12123673.500697935</v>
      </c>
      <c r="K300" s="128">
        <f>H300*D300-I300</f>
        <v>0</v>
      </c>
    </row>
    <row r="301" spans="1:12" x14ac:dyDescent="0.25">
      <c r="A301" s="114"/>
      <c r="B301" s="125"/>
      <c r="C301" s="137"/>
      <c r="D301" s="137"/>
      <c r="F301" s="114"/>
      <c r="G301" s="114"/>
      <c r="H301" s="114"/>
      <c r="I301" s="137"/>
      <c r="J301" s="137"/>
      <c r="K301" s="147"/>
    </row>
    <row r="302" spans="1:12" x14ac:dyDescent="0.25">
      <c r="A302" s="114"/>
      <c r="B302" s="104"/>
      <c r="C302" s="137"/>
      <c r="D302" s="9"/>
      <c r="F302" s="114"/>
      <c r="G302" s="114"/>
      <c r="H302" s="114"/>
      <c r="I302" s="9"/>
      <c r="K302" s="147"/>
    </row>
    <row r="303" spans="1:12" x14ac:dyDescent="0.25">
      <c r="A303" s="114"/>
      <c r="B303" s="105" t="s">
        <v>578</v>
      </c>
      <c r="C303" s="137"/>
      <c r="D303" s="9"/>
      <c r="F303" s="114"/>
      <c r="G303" s="114"/>
      <c r="H303" s="114"/>
      <c r="I303" s="312"/>
      <c r="K303" s="147"/>
    </row>
    <row r="304" spans="1:12" x14ac:dyDescent="0.25">
      <c r="A304" s="114"/>
      <c r="B304" s="109"/>
      <c r="C304" s="137"/>
      <c r="D304" s="9"/>
      <c r="F304" s="114"/>
      <c r="G304" s="114"/>
      <c r="H304" s="114"/>
      <c r="I304" s="9"/>
      <c r="K304" s="147"/>
    </row>
    <row r="305" spans="1:11" x14ac:dyDescent="0.25">
      <c r="A305" s="114">
        <v>350.1</v>
      </c>
      <c r="B305" s="119" t="s">
        <v>38</v>
      </c>
      <c r="C305" s="134">
        <f>'Elec Study Rpt'!K300</f>
        <v>13037871.039999999</v>
      </c>
      <c r="D305" s="313">
        <v>247706.78000000006</v>
      </c>
      <c r="E305" s="128">
        <v>1.9</v>
      </c>
      <c r="F305" s="231">
        <f t="shared" ref="F305:F357" si="126">E305*0.01</f>
        <v>1.9E-2</v>
      </c>
      <c r="G305" s="231">
        <f>'Elec Study Rpt'!V300</f>
        <v>1.100217969328833E-2</v>
      </c>
      <c r="H305" s="231">
        <f t="shared" ref="H305:H357" si="127">G305/F305</f>
        <v>0.57906208912043844</v>
      </c>
      <c r="I305" s="313">
        <f>D305*H305</f>
        <v>143437.60551609687</v>
      </c>
      <c r="J305" s="143">
        <f t="shared" ref="J305:J357" si="128">I305-D305</f>
        <v>-104269.17448390319</v>
      </c>
      <c r="K305" s="313"/>
    </row>
    <row r="306" spans="1:11" x14ac:dyDescent="0.25">
      <c r="A306" s="114">
        <v>350.16</v>
      </c>
      <c r="B306" s="119" t="s">
        <v>579</v>
      </c>
      <c r="C306" s="134">
        <f>'Elec Study Rpt'!K301</f>
        <v>2478317.94</v>
      </c>
      <c r="D306" s="313">
        <v>97891.41</v>
      </c>
      <c r="E306" s="128">
        <v>1.9</v>
      </c>
      <c r="F306" s="231">
        <f t="shared" si="126"/>
        <v>1.9E-2</v>
      </c>
      <c r="G306" s="231">
        <f>'Elec Study Rpt'!V301</f>
        <v>1.410472782196783E-2</v>
      </c>
      <c r="H306" s="231">
        <f t="shared" si="127"/>
        <v>0.74235409589304369</v>
      </c>
      <c r="I306" s="313">
        <f t="shared" ref="I306:I357" si="129">D306*H306</f>
        <v>72670.089166245263</v>
      </c>
      <c r="J306" s="143">
        <f t="shared" si="128"/>
        <v>-25221.32083375474</v>
      </c>
      <c r="K306" s="313"/>
    </row>
    <row r="307" spans="1:11" x14ac:dyDescent="0.25">
      <c r="A307" s="114">
        <v>350.17</v>
      </c>
      <c r="B307" s="119" t="s">
        <v>580</v>
      </c>
      <c r="C307" s="134">
        <f>'Elec Study Rpt'!K302</f>
        <v>20438119.84</v>
      </c>
      <c r="D307" s="313">
        <v>457813.92000000004</v>
      </c>
      <c r="E307" s="128">
        <v>2.2400000000000002</v>
      </c>
      <c r="F307" s="231">
        <f t="shared" si="126"/>
        <v>2.2400000000000003E-2</v>
      </c>
      <c r="G307" s="231">
        <f>'Elec Study Rpt'!V302</f>
        <v>1.0591238415989248E-2</v>
      </c>
      <c r="H307" s="231">
        <f t="shared" si="127"/>
        <v>0.47282314357094851</v>
      </c>
      <c r="I307" s="313">
        <f t="shared" si="129"/>
        <v>216465.01682493876</v>
      </c>
      <c r="J307" s="143">
        <f t="shared" si="128"/>
        <v>-241348.90317506128</v>
      </c>
      <c r="K307" s="313"/>
    </row>
    <row r="308" spans="1:11" x14ac:dyDescent="0.25">
      <c r="A308" s="114">
        <v>350.99</v>
      </c>
      <c r="B308" s="119" t="s">
        <v>581</v>
      </c>
      <c r="C308" s="134">
        <f>'Elec Study Rpt'!K303</f>
        <v>172388.53</v>
      </c>
      <c r="D308" s="510">
        <v>660.00000000000011</v>
      </c>
      <c r="E308" s="72">
        <v>2.2400000000000002</v>
      </c>
      <c r="F308" s="231">
        <f t="shared" si="126"/>
        <v>2.2400000000000003E-2</v>
      </c>
      <c r="G308" s="231">
        <f>'Elec Study Rpt'!V303</f>
        <v>1.1984556049059644E-2</v>
      </c>
      <c r="H308" s="231">
        <f t="shared" si="127"/>
        <v>0.53502482361873405</v>
      </c>
      <c r="I308" s="313">
        <f t="shared" si="129"/>
        <v>353.11638358836456</v>
      </c>
      <c r="J308" s="313">
        <f t="shared" si="128"/>
        <v>-306.88361641163556</v>
      </c>
      <c r="K308" s="313"/>
    </row>
    <row r="309" spans="1:11" x14ac:dyDescent="0.25">
      <c r="A309" s="114"/>
      <c r="B309" s="119"/>
      <c r="C309" s="134"/>
      <c r="D309" s="510">
        <v>2715.6000000000008</v>
      </c>
      <c r="E309" s="72">
        <v>1.9</v>
      </c>
      <c r="F309" s="231">
        <f t="shared" si="126"/>
        <v>1.9E-2</v>
      </c>
      <c r="G309" s="231">
        <f>G308</f>
        <v>1.1984556049059644E-2</v>
      </c>
      <c r="H309" s="231">
        <f t="shared" si="127"/>
        <v>0.63076610784524445</v>
      </c>
      <c r="I309" s="313">
        <f t="shared" si="129"/>
        <v>1712.9084424645464</v>
      </c>
      <c r="J309" s="313">
        <f t="shared" si="128"/>
        <v>-1002.6915575354544</v>
      </c>
      <c r="K309" s="313"/>
    </row>
    <row r="310" spans="1:11" x14ac:dyDescent="0.25">
      <c r="A310" s="114">
        <v>352</v>
      </c>
      <c r="B310" s="104" t="s">
        <v>582</v>
      </c>
      <c r="C310" s="134">
        <f>'Elec Study Rpt'!K304</f>
        <v>3818787.78</v>
      </c>
      <c r="D310" s="313">
        <v>64919.400000000009</v>
      </c>
      <c r="E310" s="72">
        <v>1.7</v>
      </c>
      <c r="F310" s="231">
        <f t="shared" si="126"/>
        <v>1.7000000000000001E-2</v>
      </c>
      <c r="G310" s="231">
        <f>'Elec Study Rpt'!V304</f>
        <v>1.5237296061526625E-2</v>
      </c>
      <c r="H310" s="231">
        <f t="shared" si="127"/>
        <v>0.89631153303097788</v>
      </c>
      <c r="I310" s="313">
        <f t="shared" si="129"/>
        <v>58188.006937451275</v>
      </c>
      <c r="J310" s="313">
        <f t="shared" si="128"/>
        <v>-6731.3930625487337</v>
      </c>
      <c r="K310" s="313"/>
    </row>
    <row r="311" spans="1:11" x14ac:dyDescent="0.25">
      <c r="A311" s="114">
        <v>352.6</v>
      </c>
      <c r="B311" s="104" t="s">
        <v>583</v>
      </c>
      <c r="C311" s="134">
        <f>'Elec Study Rpt'!K305</f>
        <v>1759633.82</v>
      </c>
      <c r="D311" s="313">
        <v>52450.45</v>
      </c>
      <c r="E311" s="72">
        <v>1.81</v>
      </c>
      <c r="F311" s="231">
        <f t="shared" si="126"/>
        <v>1.8100000000000002E-2</v>
      </c>
      <c r="G311" s="231">
        <f>'Elec Study Rpt'!V305</f>
        <v>1.5966958398196732E-2</v>
      </c>
      <c r="H311" s="231">
        <f t="shared" si="127"/>
        <v>0.88215239769042708</v>
      </c>
      <c r="I311" s="313">
        <f t="shared" si="129"/>
        <v>46269.290227441859</v>
      </c>
      <c r="J311" s="313">
        <f t="shared" si="128"/>
        <v>-6181.1597725581378</v>
      </c>
      <c r="K311" s="313"/>
    </row>
    <row r="312" spans="1:11" x14ac:dyDescent="0.25">
      <c r="A312" s="114">
        <v>352.7</v>
      </c>
      <c r="B312" s="104" t="s">
        <v>584</v>
      </c>
      <c r="C312" s="134">
        <f>'Elec Study Rpt'!K306</f>
        <v>2270219.17</v>
      </c>
      <c r="D312" s="313">
        <v>41091</v>
      </c>
      <c r="E312" s="72">
        <v>1.81</v>
      </c>
      <c r="F312" s="231">
        <f t="shared" si="126"/>
        <v>1.8100000000000002E-2</v>
      </c>
      <c r="G312" s="231">
        <f>'Elec Study Rpt'!V306</f>
        <v>1.3163046279800377E-2</v>
      </c>
      <c r="H312" s="231">
        <f t="shared" si="127"/>
        <v>0.72724012595582188</v>
      </c>
      <c r="I312" s="313">
        <f t="shared" si="129"/>
        <v>29883.024015650677</v>
      </c>
      <c r="J312" s="313">
        <f t="shared" si="128"/>
        <v>-11207.975984349323</v>
      </c>
      <c r="K312" s="313"/>
    </row>
    <row r="313" spans="1:11" x14ac:dyDescent="0.25">
      <c r="A313" s="114">
        <v>352.9</v>
      </c>
      <c r="B313" s="104" t="s">
        <v>585</v>
      </c>
      <c r="C313" s="134">
        <f>'Elec Study Rpt'!K307</f>
        <v>1956303.54</v>
      </c>
      <c r="D313" s="510">
        <v>2157.2400000000002</v>
      </c>
      <c r="E313" s="72">
        <v>1.81</v>
      </c>
      <c r="F313" s="231">
        <f t="shared" si="126"/>
        <v>1.8100000000000002E-2</v>
      </c>
      <c r="G313" s="231">
        <f>'Elec Study Rpt'!V307</f>
        <v>1.5064124455860259E-2</v>
      </c>
      <c r="H313" s="231">
        <f>G313/F313</f>
        <v>0.83227206938454468</v>
      </c>
      <c r="I313" s="313">
        <f>D313*H313</f>
        <v>1795.4105989591153</v>
      </c>
      <c r="J313" s="313">
        <f t="shared" si="128"/>
        <v>-361.82940104088493</v>
      </c>
      <c r="K313" s="313"/>
    </row>
    <row r="314" spans="1:11" x14ac:dyDescent="0.25">
      <c r="A314" s="114"/>
      <c r="B314" s="104"/>
      <c r="C314" s="134"/>
      <c r="D314" s="510">
        <v>4284.3600000000015</v>
      </c>
      <c r="E314" s="72">
        <v>2.8</v>
      </c>
      <c r="F314" s="231">
        <f t="shared" si="126"/>
        <v>2.7999999999999997E-2</v>
      </c>
      <c r="G314" s="231">
        <f>G313</f>
        <v>1.5064124455860259E-2</v>
      </c>
      <c r="H314" s="231">
        <f t="shared" si="127"/>
        <v>0.53800444485215215</v>
      </c>
      <c r="I314" s="313">
        <f t="shared" si="129"/>
        <v>2305.0047233467676</v>
      </c>
      <c r="J314" s="313">
        <f t="shared" si="128"/>
        <v>-1979.3552766532339</v>
      </c>
      <c r="K314" s="313"/>
    </row>
    <row r="315" spans="1:11" x14ac:dyDescent="0.25">
      <c r="A315" s="114"/>
      <c r="B315" s="104"/>
      <c r="C315" s="134"/>
      <c r="D315" s="510">
        <v>71403.12000000001</v>
      </c>
      <c r="E315" s="72">
        <v>4.24</v>
      </c>
      <c r="F315" s="231">
        <f t="shared" si="126"/>
        <v>4.24E-2</v>
      </c>
      <c r="G315" s="231">
        <f>G314</f>
        <v>1.5064124455860259E-2</v>
      </c>
      <c r="H315" s="231">
        <f t="shared" si="127"/>
        <v>0.35528595414764763</v>
      </c>
      <c r="I315" s="313">
        <f t="shared" si="129"/>
        <v>25368.525618318985</v>
      </c>
      <c r="J315" s="313">
        <f t="shared" si="128"/>
        <v>-46034.594381681025</v>
      </c>
      <c r="K315" s="313"/>
    </row>
    <row r="316" spans="1:11" x14ac:dyDescent="0.25">
      <c r="A316" s="114">
        <v>353</v>
      </c>
      <c r="B316" s="104" t="s">
        <v>586</v>
      </c>
      <c r="C316" s="134">
        <f>'Elec Study Rpt'!K308</f>
        <v>157933119.28999999</v>
      </c>
      <c r="D316" s="313">
        <v>5343701.68</v>
      </c>
      <c r="E316" s="72">
        <v>2.11</v>
      </c>
      <c r="F316" s="231">
        <f t="shared" si="126"/>
        <v>2.1100000000000001E-2</v>
      </c>
      <c r="G316" s="231">
        <f>'Elec Study Rpt'!V308</f>
        <v>2.3063769121861685E-2</v>
      </c>
      <c r="H316" s="231">
        <f>G316/F316</f>
        <v>1.0930696266285158</v>
      </c>
      <c r="I316" s="313">
        <f>D316*H316</f>
        <v>5841038.0001717722</v>
      </c>
      <c r="J316" s="313">
        <f t="shared" si="128"/>
        <v>497336.3201717725</v>
      </c>
      <c r="K316" s="313"/>
    </row>
    <row r="317" spans="1:11" x14ac:dyDescent="0.25">
      <c r="A317" s="114">
        <v>353.6</v>
      </c>
      <c r="B317" s="104" t="s">
        <v>587</v>
      </c>
      <c r="C317" s="134">
        <f>'Elec Study Rpt'!K309</f>
        <v>108797057.09</v>
      </c>
      <c r="D317" s="510">
        <v>9929.8899999999976</v>
      </c>
      <c r="E317" s="72">
        <v>1.74</v>
      </c>
      <c r="F317" s="231">
        <f t="shared" si="126"/>
        <v>1.7399999999999999E-2</v>
      </c>
      <c r="G317" s="231">
        <f>'Elec Study Rpt'!V309</f>
        <v>2.4540875198410202E-2</v>
      </c>
      <c r="H317" s="231">
        <f t="shared" si="127"/>
        <v>1.410395126345414</v>
      </c>
      <c r="I317" s="313">
        <f>D317*H317</f>
        <v>14005.06846114606</v>
      </c>
      <c r="J317" s="313">
        <f t="shared" si="128"/>
        <v>4075.1784611460625</v>
      </c>
      <c r="K317" s="313"/>
    </row>
    <row r="318" spans="1:11" x14ac:dyDescent="0.25">
      <c r="A318" s="114">
        <v>353.7</v>
      </c>
      <c r="B318" s="104" t="s">
        <v>588</v>
      </c>
      <c r="C318" s="134">
        <f>'Elec Study Rpt'!K310</f>
        <v>198771431.59999999</v>
      </c>
      <c r="D318" s="510">
        <v>2.4</v>
      </c>
      <c r="E318" s="72">
        <v>1.74</v>
      </c>
      <c r="F318" s="231">
        <v>1.7399999999999999E-2</v>
      </c>
      <c r="G318" s="231">
        <f>'Elec Study Rpt'!V310</f>
        <v>2.4910128986564084E-2</v>
      </c>
      <c r="H318" s="231">
        <f t="shared" si="127"/>
        <v>1.4316166084232234</v>
      </c>
      <c r="I318" s="313">
        <f>D318*H318</f>
        <v>3.4358798602157359</v>
      </c>
      <c r="J318" s="313">
        <f t="shared" si="128"/>
        <v>1.035879860215736</v>
      </c>
      <c r="K318" s="313"/>
    </row>
    <row r="319" spans="1:11" x14ac:dyDescent="0.25">
      <c r="A319" s="94"/>
      <c r="B319" s="9"/>
      <c r="D319" s="510">
        <v>3855518.29</v>
      </c>
      <c r="E319" s="72">
        <v>1.97</v>
      </c>
      <c r="F319" s="231">
        <v>1.9699999999999999E-2</v>
      </c>
      <c r="G319" s="231">
        <f>G318</f>
        <v>2.4910128986564084E-2</v>
      </c>
      <c r="H319" s="231">
        <f t="shared" si="127"/>
        <v>1.2644735526174662</v>
      </c>
      <c r="I319" s="313">
        <f t="shared" si="129"/>
        <v>4875200.9093379183</v>
      </c>
      <c r="J319" s="313">
        <f>I319-D319</f>
        <v>1019682.6193379182</v>
      </c>
      <c r="K319" s="313"/>
    </row>
    <row r="320" spans="1:11" x14ac:dyDescent="0.25">
      <c r="A320" s="114"/>
      <c r="B320" s="104"/>
      <c r="C320" s="134"/>
      <c r="D320" s="510">
        <v>98652.000000000015</v>
      </c>
      <c r="E320" s="72">
        <v>2.31</v>
      </c>
      <c r="F320" s="231">
        <v>2.3100000000000002E-2</v>
      </c>
      <c r="G320" s="231">
        <f>G319</f>
        <v>2.4910128986564084E-2</v>
      </c>
      <c r="H320" s="231">
        <f t="shared" si="127"/>
        <v>1.0783605621889212</v>
      </c>
      <c r="I320" s="313">
        <f t="shared" si="129"/>
        <v>106382.42618106147</v>
      </c>
      <c r="J320" s="313">
        <f t="shared" si="128"/>
        <v>7730.4261810614553</v>
      </c>
      <c r="K320" s="313"/>
    </row>
    <row r="321" spans="1:11" x14ac:dyDescent="0.25">
      <c r="A321" s="114">
        <v>353.8</v>
      </c>
      <c r="B321" s="104" t="s">
        <v>589</v>
      </c>
      <c r="C321" s="134">
        <f>'Elec Study Rpt'!K311</f>
        <v>405246.36</v>
      </c>
      <c r="D321" s="313">
        <v>7983.3599999999979</v>
      </c>
      <c r="E321" s="72">
        <v>1.97</v>
      </c>
      <c r="F321" s="231">
        <f t="shared" si="126"/>
        <v>1.9699999999999999E-2</v>
      </c>
      <c r="G321" s="231">
        <f>'Elec Study Rpt'!V311</f>
        <v>2.4622059529418105E-2</v>
      </c>
      <c r="H321" s="231">
        <f t="shared" si="127"/>
        <v>1.2498507375339141</v>
      </c>
      <c r="I321" s="313">
        <f t="shared" si="129"/>
        <v>9978.0083839987456</v>
      </c>
      <c r="J321" s="313">
        <f t="shared" si="128"/>
        <v>1994.6483839987477</v>
      </c>
      <c r="K321" s="313"/>
    </row>
    <row r="322" spans="1:11" x14ac:dyDescent="0.25">
      <c r="A322" s="114">
        <v>353.9</v>
      </c>
      <c r="B322" s="104" t="s">
        <v>590</v>
      </c>
      <c r="C322" s="134">
        <f>'Elec Study Rpt'!K312</f>
        <v>129568728.68000001</v>
      </c>
      <c r="D322" s="510">
        <v>84469.439999999988</v>
      </c>
      <c r="E322" s="72">
        <v>1.5</v>
      </c>
      <c r="F322" s="231">
        <f t="shared" si="126"/>
        <v>1.4999999999999999E-2</v>
      </c>
      <c r="G322" s="231">
        <f>'Elec Study Rpt'!V312</f>
        <v>2.0820772322792849E-2</v>
      </c>
      <c r="H322" s="231">
        <f t="shared" si="127"/>
        <v>1.3880514881861901</v>
      </c>
      <c r="I322" s="313">
        <f t="shared" si="129"/>
        <v>117247.93189825407</v>
      </c>
      <c r="J322" s="313">
        <f t="shared" si="128"/>
        <v>32778.491898254084</v>
      </c>
      <c r="K322" s="313"/>
    </row>
    <row r="323" spans="1:11" x14ac:dyDescent="0.25">
      <c r="A323" s="114"/>
      <c r="B323" s="104"/>
      <c r="C323" s="134"/>
      <c r="D323" s="510">
        <v>6371.3999999999987</v>
      </c>
      <c r="E323" s="72">
        <v>1.55</v>
      </c>
      <c r="F323" s="231">
        <f t="shared" si="126"/>
        <v>1.5500000000000002E-2</v>
      </c>
      <c r="G323" s="231">
        <f>G322</f>
        <v>2.0820772322792849E-2</v>
      </c>
      <c r="H323" s="231">
        <f t="shared" si="127"/>
        <v>1.3432756337285707</v>
      </c>
      <c r="I323" s="313">
        <f t="shared" si="129"/>
        <v>8558.5463727382139</v>
      </c>
      <c r="J323" s="313">
        <f t="shared" si="128"/>
        <v>2187.1463727382152</v>
      </c>
      <c r="K323" s="313"/>
    </row>
    <row r="324" spans="1:11" x14ac:dyDescent="0.25">
      <c r="A324" s="114"/>
      <c r="B324" s="104"/>
      <c r="C324" s="134"/>
      <c r="D324" s="510">
        <v>61335</v>
      </c>
      <c r="E324" s="72">
        <v>1.74</v>
      </c>
      <c r="F324" s="231">
        <f t="shared" si="126"/>
        <v>1.7399999999999999E-2</v>
      </c>
      <c r="G324" s="231">
        <f t="shared" ref="G324:G331" si="130">G323</f>
        <v>2.0820772322792849E-2</v>
      </c>
      <c r="H324" s="231">
        <f t="shared" si="127"/>
        <v>1.1965961105053362</v>
      </c>
      <c r="I324" s="313">
        <f t="shared" si="129"/>
        <v>73393.222437844801</v>
      </c>
      <c r="J324" s="313">
        <f t="shared" si="128"/>
        <v>12058.222437844801</v>
      </c>
      <c r="K324" s="313"/>
    </row>
    <row r="325" spans="1:11" x14ac:dyDescent="0.25">
      <c r="A325" s="114"/>
      <c r="B325" s="104"/>
      <c r="C325" s="134"/>
      <c r="D325" s="510">
        <v>764896.49000000011</v>
      </c>
      <c r="E325" s="72">
        <v>1.97</v>
      </c>
      <c r="F325" s="231">
        <f t="shared" si="126"/>
        <v>1.9699999999999999E-2</v>
      </c>
      <c r="G325" s="231">
        <f t="shared" si="130"/>
        <v>2.0820772322792849E-2</v>
      </c>
      <c r="H325" s="231">
        <f t="shared" si="127"/>
        <v>1.0568919960808554</v>
      </c>
      <c r="I325" s="313">
        <f t="shared" si="129"/>
        <v>808412.9781113402</v>
      </c>
      <c r="J325" s="313">
        <f t="shared" si="128"/>
        <v>43516.488111340092</v>
      </c>
      <c r="K325" s="313"/>
    </row>
    <row r="326" spans="1:11" x14ac:dyDescent="0.25">
      <c r="A326" s="114"/>
      <c r="B326" s="104"/>
      <c r="C326" s="134"/>
      <c r="D326" s="510">
        <v>885178.44</v>
      </c>
      <c r="E326" s="72">
        <v>2.11</v>
      </c>
      <c r="F326" s="231">
        <f t="shared" si="126"/>
        <v>2.1100000000000001E-2</v>
      </c>
      <c r="G326" s="231">
        <f t="shared" si="130"/>
        <v>2.0820772322792849E-2</v>
      </c>
      <c r="H326" s="231">
        <f t="shared" si="127"/>
        <v>0.9867664607958696</v>
      </c>
      <c r="I326" s="313">
        <f t="shared" si="129"/>
        <v>873464.3964116089</v>
      </c>
      <c r="J326" s="313">
        <f t="shared" si="128"/>
        <v>-11714.04358839104</v>
      </c>
      <c r="K326" s="313"/>
    </row>
    <row r="327" spans="1:11" x14ac:dyDescent="0.25">
      <c r="A327" s="114"/>
      <c r="B327" s="104"/>
      <c r="C327" s="134"/>
      <c r="D327" s="510">
        <v>62089.68</v>
      </c>
      <c r="E327" s="72">
        <v>2.19</v>
      </c>
      <c r="F327" s="231">
        <f t="shared" si="126"/>
        <v>2.1899999999999999E-2</v>
      </c>
      <c r="G327" s="231">
        <f t="shared" si="130"/>
        <v>2.0820772322792849E-2</v>
      </c>
      <c r="H327" s="231">
        <f t="shared" si="127"/>
        <v>0.95072019738780134</v>
      </c>
      <c r="I327" s="313">
        <f t="shared" si="129"/>
        <v>59029.912825345418</v>
      </c>
      <c r="J327" s="313">
        <f t="shared" si="128"/>
        <v>-3059.767174654582</v>
      </c>
      <c r="K327" s="313"/>
    </row>
    <row r="328" spans="1:11" x14ac:dyDescent="0.25">
      <c r="A328" s="114"/>
      <c r="B328" s="104"/>
      <c r="C328" s="134"/>
      <c r="D328" s="510">
        <v>39967.4</v>
      </c>
      <c r="E328" s="72">
        <v>2.31</v>
      </c>
      <c r="F328" s="231">
        <f t="shared" si="126"/>
        <v>2.3100000000000002E-2</v>
      </c>
      <c r="G328" s="231">
        <f t="shared" si="130"/>
        <v>2.0820772322792849E-2</v>
      </c>
      <c r="H328" s="231">
        <f t="shared" si="127"/>
        <v>0.90133213518583755</v>
      </c>
      <c r="I328" s="313">
        <f t="shared" si="129"/>
        <v>36023.901979826442</v>
      </c>
      <c r="J328" s="313">
        <f t="shared" si="128"/>
        <v>-3943.4980201735598</v>
      </c>
      <c r="K328" s="313"/>
    </row>
    <row r="329" spans="1:11" x14ac:dyDescent="0.25">
      <c r="A329" s="114"/>
      <c r="B329" s="104"/>
      <c r="C329" s="134"/>
      <c r="D329" s="510">
        <v>49900.55999999999</v>
      </c>
      <c r="E329" s="72">
        <v>2.8</v>
      </c>
      <c r="F329" s="231">
        <f t="shared" si="126"/>
        <v>2.7999999999999997E-2</v>
      </c>
      <c r="G329" s="231">
        <f t="shared" si="130"/>
        <v>2.0820772322792849E-2</v>
      </c>
      <c r="H329" s="231">
        <f t="shared" si="127"/>
        <v>0.74359901152831609</v>
      </c>
      <c r="I329" s="313">
        <f t="shared" si="129"/>
        <v>37106.00709070942</v>
      </c>
      <c r="J329" s="313">
        <f t="shared" si="128"/>
        <v>-12794.552909290571</v>
      </c>
      <c r="K329" s="313"/>
    </row>
    <row r="330" spans="1:11" x14ac:dyDescent="0.25">
      <c r="A330" s="114"/>
      <c r="B330" s="104"/>
      <c r="C330" s="134"/>
      <c r="D330" s="510">
        <v>280352.5</v>
      </c>
      <c r="E330" s="72">
        <v>3.19</v>
      </c>
      <c r="F330" s="231">
        <f t="shared" si="126"/>
        <v>3.1899999999999998E-2</v>
      </c>
      <c r="G330" s="231">
        <f t="shared" si="130"/>
        <v>2.0820772322792849E-2</v>
      </c>
      <c r="H330" s="231">
        <f t="shared" si="127"/>
        <v>0.65268878754836523</v>
      </c>
      <c r="I330" s="313">
        <f t="shared" si="129"/>
        <v>182982.93331115306</v>
      </c>
      <c r="J330" s="313">
        <f t="shared" si="128"/>
        <v>-97369.566688846942</v>
      </c>
      <c r="K330" s="313"/>
    </row>
    <row r="331" spans="1:11" x14ac:dyDescent="0.25">
      <c r="A331" s="114"/>
      <c r="B331" s="104"/>
      <c r="C331" s="134"/>
      <c r="D331" s="510">
        <v>1015538.4799999999</v>
      </c>
      <c r="E331" s="72">
        <v>4.24</v>
      </c>
      <c r="F331" s="231">
        <f t="shared" si="126"/>
        <v>4.24E-2</v>
      </c>
      <c r="G331" s="231">
        <f t="shared" si="130"/>
        <v>2.0820772322792849E-2</v>
      </c>
      <c r="H331" s="231">
        <f t="shared" si="127"/>
        <v>0.4910559510092653</v>
      </c>
      <c r="I331" s="313">
        <f t="shared" si="129"/>
        <v>498686.21408290369</v>
      </c>
      <c r="J331" s="313">
        <f t="shared" si="128"/>
        <v>-516852.26591709617</v>
      </c>
      <c r="K331" s="313"/>
    </row>
    <row r="332" spans="1:11" x14ac:dyDescent="0.25">
      <c r="A332" s="114">
        <v>354</v>
      </c>
      <c r="B332" s="104" t="s">
        <v>591</v>
      </c>
      <c r="C332" s="134">
        <f>'Elec Study Rpt'!K313</f>
        <v>90563275.939999998</v>
      </c>
      <c r="D332" s="313">
        <v>1512406.56</v>
      </c>
      <c r="E332" s="72">
        <v>1.67</v>
      </c>
      <c r="F332" s="231">
        <f t="shared" si="126"/>
        <v>1.67E-2</v>
      </c>
      <c r="G332" s="231">
        <f>'Elec Study Rpt'!V313</f>
        <v>1.254568132840889E-2</v>
      </c>
      <c r="H332" s="231">
        <f t="shared" si="127"/>
        <v>0.75123840289873589</v>
      </c>
      <c r="I332" s="313">
        <f t="shared" si="129"/>
        <v>1136177.8886679711</v>
      </c>
      <c r="J332" s="313">
        <f t="shared" si="128"/>
        <v>-376228.67133202893</v>
      </c>
      <c r="K332" s="313"/>
    </row>
    <row r="333" spans="1:11" x14ac:dyDescent="0.25">
      <c r="A333" s="114">
        <v>354.7</v>
      </c>
      <c r="B333" s="104" t="s">
        <v>592</v>
      </c>
      <c r="C333" s="134">
        <f>'Elec Study Rpt'!K314</f>
        <v>1507252.65</v>
      </c>
      <c r="D333" s="313">
        <v>46875.48</v>
      </c>
      <c r="E333" s="72">
        <v>3.11</v>
      </c>
      <c r="F333" s="231">
        <f t="shared" si="126"/>
        <v>3.1099999999999999E-2</v>
      </c>
      <c r="G333" s="231">
        <f>'Elec Study Rpt'!V314</f>
        <v>1.1242308978524603E-2</v>
      </c>
      <c r="H333" s="231">
        <f t="shared" si="127"/>
        <v>0.3614890346792477</v>
      </c>
      <c r="I333" s="313">
        <f t="shared" si="129"/>
        <v>16944.972015326384</v>
      </c>
      <c r="J333" s="313">
        <f t="shared" si="128"/>
        <v>-29930.507984673619</v>
      </c>
      <c r="K333" s="313"/>
    </row>
    <row r="334" spans="1:11" x14ac:dyDescent="0.25">
      <c r="A334" s="114">
        <v>354.9</v>
      </c>
      <c r="B334" s="104" t="s">
        <v>593</v>
      </c>
      <c r="C334" s="134">
        <f>'Elec Study Rpt'!K315</f>
        <v>133399.28</v>
      </c>
      <c r="D334" s="510">
        <v>670.32</v>
      </c>
      <c r="E334" s="72">
        <v>1.5</v>
      </c>
      <c r="F334" s="231">
        <f t="shared" si="126"/>
        <v>1.4999999999999999E-2</v>
      </c>
      <c r="G334" s="231">
        <f>'Elec Study Rpt'!V315</f>
        <v>4.5652420312913234E-3</v>
      </c>
      <c r="H334" s="231">
        <f t="shared" si="127"/>
        <v>0.30434946875275493</v>
      </c>
      <c r="I334" s="313">
        <f>D334*H334</f>
        <v>204.01153589434671</v>
      </c>
      <c r="J334" s="313">
        <f t="shared" si="128"/>
        <v>-466.30846410565334</v>
      </c>
      <c r="K334" s="313"/>
    </row>
    <row r="335" spans="1:11" x14ac:dyDescent="0.25">
      <c r="A335" s="114"/>
      <c r="B335" s="104"/>
      <c r="C335" s="134"/>
      <c r="D335" s="510">
        <v>1483.68</v>
      </c>
      <c r="E335" s="72">
        <v>1.67</v>
      </c>
      <c r="F335" s="231">
        <f t="shared" si="126"/>
        <v>1.67E-2</v>
      </c>
      <c r="G335" s="231">
        <f>G334</f>
        <v>4.5652420312913234E-3</v>
      </c>
      <c r="H335" s="231">
        <f t="shared" si="127"/>
        <v>0.27336778630486969</v>
      </c>
      <c r="I335" s="313">
        <f t="shared" ref="I335" si="131">D335*H335</f>
        <v>405.59031718480907</v>
      </c>
      <c r="J335" s="313">
        <f t="shared" si="128"/>
        <v>-1078.0896828151911</v>
      </c>
      <c r="K335" s="313"/>
    </row>
    <row r="336" spans="1:11" x14ac:dyDescent="0.25">
      <c r="A336" s="114">
        <v>355</v>
      </c>
      <c r="B336" s="104" t="s">
        <v>594</v>
      </c>
      <c r="C336" s="134">
        <f>'Elec Study Rpt'!K316</f>
        <v>85130847.549999997</v>
      </c>
      <c r="D336" s="313">
        <v>2331355.71</v>
      </c>
      <c r="E336" s="128">
        <v>3.02</v>
      </c>
      <c r="F336" s="231">
        <f t="shared" si="126"/>
        <v>3.0200000000000001E-2</v>
      </c>
      <c r="G336" s="231">
        <f>'Elec Study Rpt'!V316</f>
        <v>3.0389125381143935E-2</v>
      </c>
      <c r="H336" s="231">
        <f t="shared" si="127"/>
        <v>1.0062624298392031</v>
      </c>
      <c r="I336" s="313">
        <f t="shared" si="129"/>
        <v>2345955.6615641005</v>
      </c>
      <c r="J336" s="143">
        <f t="shared" si="128"/>
        <v>14599.951564100571</v>
      </c>
      <c r="K336" s="313"/>
    </row>
    <row r="337" spans="1:11" x14ac:dyDescent="0.25">
      <c r="A337" s="114">
        <v>355.6</v>
      </c>
      <c r="B337" s="104" t="s">
        <v>595</v>
      </c>
      <c r="C337" s="134">
        <f>'Elec Study Rpt'!K317</f>
        <v>78708415.219999999</v>
      </c>
      <c r="D337" s="313">
        <v>2135052.4499999997</v>
      </c>
      <c r="E337" s="128">
        <v>3.11</v>
      </c>
      <c r="F337" s="231">
        <f t="shared" si="126"/>
        <v>3.1099999999999999E-2</v>
      </c>
      <c r="G337" s="231">
        <f>'Elec Study Rpt'!V317</f>
        <v>3.251764112955545E-2</v>
      </c>
      <c r="H337" s="231">
        <f t="shared" si="127"/>
        <v>1.0455833160628762</v>
      </c>
      <c r="I337" s="313">
        <f t="shared" si="129"/>
        <v>2232375.2206391678</v>
      </c>
      <c r="J337" s="143">
        <f t="shared" si="128"/>
        <v>97322.770639168099</v>
      </c>
      <c r="K337" s="313"/>
    </row>
    <row r="338" spans="1:11" ht="13.2" customHeight="1" x14ac:dyDescent="0.25">
      <c r="A338" s="114">
        <v>355.7</v>
      </c>
      <c r="B338" s="104" t="s">
        <v>596</v>
      </c>
      <c r="C338" s="134">
        <f>'Elec Study Rpt'!K318</f>
        <v>170738423.63</v>
      </c>
      <c r="D338" s="313">
        <v>5319850.96</v>
      </c>
      <c r="E338" s="128">
        <v>3.11</v>
      </c>
      <c r="F338" s="231">
        <f t="shared" si="126"/>
        <v>3.1099999999999999E-2</v>
      </c>
      <c r="G338" s="231">
        <f>'Elec Study Rpt'!V318</f>
        <v>3.4028667223674307E-2</v>
      </c>
      <c r="H338" s="231">
        <f t="shared" si="127"/>
        <v>1.0941693641052832</v>
      </c>
      <c r="I338" s="313">
        <f t="shared" si="129"/>
        <v>5820817.9420380807</v>
      </c>
      <c r="J338" s="143">
        <f t="shared" si="128"/>
        <v>500966.98203808069</v>
      </c>
      <c r="K338" s="313"/>
    </row>
    <row r="339" spans="1:11" ht="13.2" customHeight="1" x14ac:dyDescent="0.25">
      <c r="A339" s="114">
        <v>355.9</v>
      </c>
      <c r="B339" s="104" t="s">
        <v>597</v>
      </c>
      <c r="C339" s="134">
        <f>'Elec Study Rpt'!K319</f>
        <v>8879281.0700000003</v>
      </c>
      <c r="D339" s="510">
        <v>67308.120000000024</v>
      </c>
      <c r="E339" s="72">
        <v>3.02</v>
      </c>
      <c r="F339" s="231">
        <f t="shared" si="126"/>
        <v>3.0200000000000001E-2</v>
      </c>
      <c r="G339" s="231">
        <f>'Elec Study Rpt'!V319</f>
        <v>3.0932121399779047E-2</v>
      </c>
      <c r="H339" s="231">
        <f t="shared" si="127"/>
        <v>1.0242424304562598</v>
      </c>
      <c r="I339" s="313">
        <f t="shared" si="129"/>
        <v>68939.832418241611</v>
      </c>
      <c r="J339" s="313">
        <f t="shared" si="128"/>
        <v>1631.7124182415864</v>
      </c>
      <c r="K339" s="313"/>
    </row>
    <row r="340" spans="1:11" x14ac:dyDescent="0.25">
      <c r="A340" s="114"/>
      <c r="B340" s="104"/>
      <c r="C340" s="134"/>
      <c r="D340" s="510">
        <v>63502.18</v>
      </c>
      <c r="E340" s="72">
        <v>3.11</v>
      </c>
      <c r="F340" s="231">
        <f t="shared" si="126"/>
        <v>3.1099999999999999E-2</v>
      </c>
      <c r="G340" s="231">
        <f>G339</f>
        <v>3.0932121399779047E-2</v>
      </c>
      <c r="H340" s="231">
        <f t="shared" si="127"/>
        <v>0.99460197426942276</v>
      </c>
      <c r="I340" s="313">
        <f t="shared" si="129"/>
        <v>63159.393598412251</v>
      </c>
      <c r="J340" s="313">
        <f t="shared" si="128"/>
        <v>-342.78640158774942</v>
      </c>
      <c r="K340" s="313"/>
    </row>
    <row r="341" spans="1:11" ht="13.2" customHeight="1" x14ac:dyDescent="0.25">
      <c r="A341" s="114"/>
      <c r="B341" s="104"/>
      <c r="C341" s="134"/>
      <c r="D341" s="510">
        <v>181040.08</v>
      </c>
      <c r="E341" s="72">
        <v>4.24</v>
      </c>
      <c r="F341" s="231">
        <f t="shared" si="126"/>
        <v>4.24E-2</v>
      </c>
      <c r="G341" s="231">
        <f>G340</f>
        <v>3.0932121399779047E-2</v>
      </c>
      <c r="H341" s="231">
        <f t="shared" si="127"/>
        <v>0.72953116508912841</v>
      </c>
      <c r="I341" s="313">
        <f t="shared" si="129"/>
        <v>132074.380490229</v>
      </c>
      <c r="J341" s="313">
        <f t="shared" si="128"/>
        <v>-48965.699509770988</v>
      </c>
      <c r="K341" s="313"/>
    </row>
    <row r="342" spans="1:11" x14ac:dyDescent="0.25">
      <c r="A342" s="114">
        <v>356</v>
      </c>
      <c r="B342" s="104" t="s">
        <v>598</v>
      </c>
      <c r="C342" s="134">
        <f>'Elec Study Rpt'!K320</f>
        <v>127496954.51000001</v>
      </c>
      <c r="D342" s="313">
        <v>2690173.02</v>
      </c>
      <c r="E342" s="128">
        <v>2.11</v>
      </c>
      <c r="F342" s="231">
        <f t="shared" si="126"/>
        <v>2.1100000000000001E-2</v>
      </c>
      <c r="G342" s="231">
        <f>'Elec Study Rpt'!V320</f>
        <v>1.2887099980659764E-2</v>
      </c>
      <c r="H342" s="231">
        <f t="shared" si="127"/>
        <v>0.61076303225875661</v>
      </c>
      <c r="I342" s="313">
        <f t="shared" si="129"/>
        <v>1643058.2309958967</v>
      </c>
      <c r="J342" s="143">
        <f t="shared" si="128"/>
        <v>-1047114.7890041033</v>
      </c>
      <c r="K342" s="313"/>
    </row>
    <row r="343" spans="1:11" x14ac:dyDescent="0.25">
      <c r="A343" s="114">
        <v>356.6</v>
      </c>
      <c r="B343" s="104" t="s">
        <v>599</v>
      </c>
      <c r="C343" s="134">
        <f>'Elec Study Rpt'!K321</f>
        <v>25127105.969999999</v>
      </c>
      <c r="D343" s="313">
        <v>539560.57999999996</v>
      </c>
      <c r="E343" s="128">
        <v>2.83</v>
      </c>
      <c r="F343" s="231">
        <f t="shared" si="126"/>
        <v>2.8300000000000002E-2</v>
      </c>
      <c r="G343" s="231">
        <f>'Elec Study Rpt'!V321</f>
        <v>1.8132171709068494E-2</v>
      </c>
      <c r="H343" s="231">
        <f t="shared" si="127"/>
        <v>0.6407127812391693</v>
      </c>
      <c r="I343" s="313">
        <f t="shared" si="129"/>
        <v>345703.35985881928</v>
      </c>
      <c r="J343" s="143">
        <f t="shared" si="128"/>
        <v>-193857.22014118067</v>
      </c>
      <c r="K343" s="313"/>
    </row>
    <row r="344" spans="1:11" x14ac:dyDescent="0.25">
      <c r="A344" s="114">
        <v>356.7</v>
      </c>
      <c r="B344" s="104" t="s">
        <v>600</v>
      </c>
      <c r="C344" s="134">
        <f>'Elec Study Rpt'!K322</f>
        <v>132747968.58</v>
      </c>
      <c r="D344" s="313">
        <v>3755722.4099999997</v>
      </c>
      <c r="E344" s="128">
        <v>2.83</v>
      </c>
      <c r="F344" s="231">
        <f t="shared" si="126"/>
        <v>2.8300000000000002E-2</v>
      </c>
      <c r="G344" s="231">
        <f>'Elec Study Rpt'!V322</f>
        <v>1.313350417825279E-2</v>
      </c>
      <c r="H344" s="231">
        <f t="shared" si="127"/>
        <v>0.46408141972624695</v>
      </c>
      <c r="I344" s="313">
        <f t="shared" si="129"/>
        <v>1742960.9881304817</v>
      </c>
      <c r="J344" s="143">
        <f t="shared" si="128"/>
        <v>-2012761.421869518</v>
      </c>
      <c r="K344" s="313"/>
    </row>
    <row r="345" spans="1:11" x14ac:dyDescent="0.25">
      <c r="A345" s="114">
        <v>356.9</v>
      </c>
      <c r="B345" s="104" t="s">
        <v>601</v>
      </c>
      <c r="C345" s="134">
        <f>'Elec Study Rpt'!K323</f>
        <v>6269537.6799999997</v>
      </c>
      <c r="D345" s="510">
        <v>1087.56</v>
      </c>
      <c r="E345" s="72">
        <v>1.74</v>
      </c>
      <c r="F345" s="231">
        <f t="shared" si="126"/>
        <v>1.7399999999999999E-2</v>
      </c>
      <c r="G345" s="231">
        <f>'Elec Study Rpt'!V323</f>
        <v>1.600293436628648E-2</v>
      </c>
      <c r="H345" s="231">
        <f t="shared" si="127"/>
        <v>0.91970887162565984</v>
      </c>
      <c r="I345" s="313">
        <f t="shared" si="129"/>
        <v>1000.2385804252026</v>
      </c>
      <c r="J345" s="313">
        <f t="shared" si="128"/>
        <v>-87.321419574797346</v>
      </c>
      <c r="K345" s="313"/>
    </row>
    <row r="346" spans="1:11" x14ac:dyDescent="0.25">
      <c r="A346" s="114"/>
      <c r="B346" s="104"/>
      <c r="C346" s="134"/>
      <c r="D346" s="510">
        <v>24312.120000000003</v>
      </c>
      <c r="E346" s="72">
        <v>2.11</v>
      </c>
      <c r="F346" s="231">
        <f t="shared" si="126"/>
        <v>2.1100000000000001E-2</v>
      </c>
      <c r="G346" s="231">
        <f>G345</f>
        <v>1.600293436628648E-2</v>
      </c>
      <c r="H346" s="231">
        <f t="shared" si="127"/>
        <v>0.75843290835480948</v>
      </c>
      <c r="I346" s="313">
        <f t="shared" si="129"/>
        <v>18439.111879871132</v>
      </c>
      <c r="J346" s="313">
        <f t="shared" si="128"/>
        <v>-5873.0081201288704</v>
      </c>
      <c r="K346" s="313"/>
    </row>
    <row r="347" spans="1:11" x14ac:dyDescent="0.25">
      <c r="A347" s="114"/>
      <c r="B347" s="104"/>
      <c r="C347" s="134"/>
      <c r="D347" s="510">
        <v>56850.580000000016</v>
      </c>
      <c r="E347" s="72">
        <v>2.83</v>
      </c>
      <c r="F347" s="231">
        <f t="shared" si="126"/>
        <v>2.8300000000000002E-2</v>
      </c>
      <c r="G347" s="231">
        <f t="shared" ref="G347:G348" si="132">G346</f>
        <v>1.600293436628648E-2</v>
      </c>
      <c r="H347" s="231">
        <f t="shared" si="127"/>
        <v>0.56547471258962823</v>
      </c>
      <c r="I347" s="313">
        <f t="shared" si="129"/>
        <v>32147.565386053677</v>
      </c>
      <c r="J347" s="313">
        <f t="shared" si="128"/>
        <v>-24703.01461394634</v>
      </c>
      <c r="K347" s="313"/>
    </row>
    <row r="348" spans="1:11" x14ac:dyDescent="0.25">
      <c r="A348" s="114"/>
      <c r="B348" s="104"/>
      <c r="C348" s="134"/>
      <c r="D348" s="510">
        <v>120693.34</v>
      </c>
      <c r="E348" s="72">
        <v>4.24</v>
      </c>
      <c r="F348" s="231">
        <f t="shared" si="126"/>
        <v>4.24E-2</v>
      </c>
      <c r="G348" s="231">
        <f t="shared" si="132"/>
        <v>1.600293436628648E-2</v>
      </c>
      <c r="H348" s="231">
        <f t="shared" si="127"/>
        <v>0.37742769731807735</v>
      </c>
      <c r="I348" s="313">
        <f t="shared" si="129"/>
        <v>45553.009397827795</v>
      </c>
      <c r="J348" s="313">
        <f t="shared" si="128"/>
        <v>-75140.330602172209</v>
      </c>
      <c r="K348" s="313"/>
    </row>
    <row r="349" spans="1:11" x14ac:dyDescent="0.25">
      <c r="A349" s="114">
        <v>357.7</v>
      </c>
      <c r="B349" s="104" t="s">
        <v>602</v>
      </c>
      <c r="C349" s="137">
        <f>'Elec Study Rpt'!K324</f>
        <v>700574.85</v>
      </c>
      <c r="D349" s="313">
        <v>15833.04</v>
      </c>
      <c r="E349" s="72">
        <v>2.2599999999999998</v>
      </c>
      <c r="F349" s="231">
        <f t="shared" si="126"/>
        <v>2.2599999999999999E-2</v>
      </c>
      <c r="G349" s="231">
        <f>'Elec Study Rpt'!V324</f>
        <v>2.5456237830975521E-2</v>
      </c>
      <c r="H349" s="231">
        <f t="shared" si="127"/>
        <v>1.1263822049104213</v>
      </c>
      <c r="I349" s="313">
        <f t="shared" si="129"/>
        <v>17834.054505634896</v>
      </c>
      <c r="J349" s="313">
        <f t="shared" si="128"/>
        <v>2001.0145056348956</v>
      </c>
      <c r="K349" s="313"/>
    </row>
    <row r="350" spans="1:11" x14ac:dyDescent="0.25">
      <c r="A350" s="114">
        <v>357.9</v>
      </c>
      <c r="B350" s="104" t="s">
        <v>841</v>
      </c>
      <c r="C350" s="137">
        <f>'Elec Study Rpt'!K325</f>
        <v>510284.37</v>
      </c>
      <c r="D350" s="313">
        <v>1922.08</v>
      </c>
      <c r="E350" s="72">
        <v>2.2599999999999998</v>
      </c>
      <c r="F350" s="231">
        <f t="shared" si="126"/>
        <v>2.2599999999999999E-2</v>
      </c>
      <c r="G350" s="231">
        <f>'Elec Study Rpt'!V325</f>
        <v>1.7321714164986086E-2</v>
      </c>
      <c r="H350" s="231">
        <f t="shared" si="127"/>
        <v>0.76644752942416317</v>
      </c>
      <c r="I350" s="313">
        <f>D350*H350</f>
        <v>1473.1734673555954</v>
      </c>
      <c r="J350" s="313">
        <f t="shared" si="128"/>
        <v>-448.90653264440448</v>
      </c>
      <c r="K350" s="313"/>
    </row>
    <row r="351" spans="1:11" x14ac:dyDescent="0.25">
      <c r="A351" s="114">
        <v>358.7</v>
      </c>
      <c r="B351" s="104" t="s">
        <v>603</v>
      </c>
      <c r="C351" s="137">
        <f>'Elec Study Rpt'!K326</f>
        <v>2932873.15</v>
      </c>
      <c r="D351" s="313">
        <v>103530.48000000004</v>
      </c>
      <c r="E351" s="72">
        <v>3.53</v>
      </c>
      <c r="F351" s="231">
        <f t="shared" si="126"/>
        <v>3.5299999999999998E-2</v>
      </c>
      <c r="G351" s="231">
        <f>'Elec Study Rpt'!V326</f>
        <v>7.3896820256273274E-3</v>
      </c>
      <c r="H351" s="231">
        <f t="shared" si="127"/>
        <v>0.20933943415374867</v>
      </c>
      <c r="I351" s="313">
        <f t="shared" si="129"/>
        <v>21673.012100866003</v>
      </c>
      <c r="J351" s="313">
        <f t="shared" si="128"/>
        <v>-81857.467899134033</v>
      </c>
      <c r="K351" s="313"/>
    </row>
    <row r="352" spans="1:11" x14ac:dyDescent="0.25">
      <c r="A352" s="114">
        <v>358.9</v>
      </c>
      <c r="B352" s="104" t="s">
        <v>604</v>
      </c>
      <c r="C352" s="137">
        <f>'Elec Study Rpt'!K327</f>
        <v>34023856.659999996</v>
      </c>
      <c r="D352" s="510">
        <v>66721.920000000013</v>
      </c>
      <c r="E352" s="72">
        <v>1.92</v>
      </c>
      <c r="F352" s="231">
        <f t="shared" si="126"/>
        <v>1.9199999999999998E-2</v>
      </c>
      <c r="G352" s="231">
        <f>'Elec Study Rpt'!V327</f>
        <v>1.5493364119998031E-2</v>
      </c>
      <c r="H352" s="231">
        <f t="shared" si="127"/>
        <v>0.80694604791656421</v>
      </c>
      <c r="I352" s="313">
        <f t="shared" si="129"/>
        <v>53840.989653405173</v>
      </c>
      <c r="J352" s="313">
        <f t="shared" si="128"/>
        <v>-12880.93034659484</v>
      </c>
      <c r="K352" s="313"/>
    </row>
    <row r="353" spans="1:11" x14ac:dyDescent="0.25">
      <c r="A353" s="114"/>
      <c r="B353" s="104"/>
      <c r="C353" s="137"/>
      <c r="D353" s="510">
        <v>47084.5</v>
      </c>
      <c r="E353" s="72">
        <v>3.53</v>
      </c>
      <c r="F353" s="231">
        <f t="shared" si="126"/>
        <v>3.5299999999999998E-2</v>
      </c>
      <c r="G353" s="231">
        <f>G352</f>
        <v>1.5493364119998031E-2</v>
      </c>
      <c r="H353" s="231">
        <f t="shared" si="127"/>
        <v>0.43890549915008592</v>
      </c>
      <c r="I353" s="313">
        <f t="shared" si="129"/>
        <v>20665.645974732219</v>
      </c>
      <c r="J353" s="313">
        <f t="shared" si="128"/>
        <v>-26418.854025267781</v>
      </c>
      <c r="K353" s="313"/>
    </row>
    <row r="354" spans="1:11" x14ac:dyDescent="0.25">
      <c r="A354" s="114"/>
      <c r="B354" s="104"/>
      <c r="C354" s="137"/>
      <c r="D354" s="510">
        <v>159323.14000000001</v>
      </c>
      <c r="E354" s="72">
        <v>4.24</v>
      </c>
      <c r="F354" s="231">
        <f t="shared" si="126"/>
        <v>4.24E-2</v>
      </c>
      <c r="G354" s="231">
        <f>G352</f>
        <v>1.5493364119998031E-2</v>
      </c>
      <c r="H354" s="231">
        <f t="shared" si="127"/>
        <v>0.36540953113202906</v>
      </c>
      <c r="I354" s="313">
        <f t="shared" si="129"/>
        <v>58218.193885882632</v>
      </c>
      <c r="J354" s="313">
        <f t="shared" si="128"/>
        <v>-101104.94611411738</v>
      </c>
      <c r="K354" s="313"/>
    </row>
    <row r="355" spans="1:11" x14ac:dyDescent="0.25">
      <c r="A355" s="114">
        <v>359</v>
      </c>
      <c r="B355" s="104" t="s">
        <v>605</v>
      </c>
      <c r="C355" s="137">
        <f>'Elec Study Rpt'!K328</f>
        <v>1379629.34</v>
      </c>
      <c r="D355" s="313">
        <v>19727.46</v>
      </c>
      <c r="E355" s="72">
        <v>1.43</v>
      </c>
      <c r="F355" s="231">
        <f t="shared" si="126"/>
        <v>1.43E-2</v>
      </c>
      <c r="G355" s="231">
        <f>'Elec Study Rpt'!V328</f>
        <v>1.3996513005442461E-2</v>
      </c>
      <c r="H355" s="231">
        <f t="shared" si="127"/>
        <v>0.97877713324772453</v>
      </c>
      <c r="I355" s="313">
        <f t="shared" si="129"/>
        <v>19308.786745059155</v>
      </c>
      <c r="J355" s="313">
        <f t="shared" si="128"/>
        <v>-418.67325494084434</v>
      </c>
      <c r="K355" s="313"/>
    </row>
    <row r="356" spans="1:11" x14ac:dyDescent="0.25">
      <c r="A356" s="114">
        <v>359.7</v>
      </c>
      <c r="B356" s="104" t="s">
        <v>606</v>
      </c>
      <c r="C356" s="137">
        <f>'Elec Study Rpt'!K329</f>
        <v>568185.43000000005</v>
      </c>
      <c r="D356" s="313">
        <v>17670.599999999995</v>
      </c>
      <c r="E356" s="72">
        <v>3.11</v>
      </c>
      <c r="F356" s="231">
        <f t="shared" si="126"/>
        <v>3.1099999999999999E-2</v>
      </c>
      <c r="G356" s="231">
        <f>'Elec Study Rpt'!V329</f>
        <v>1.678149332340324E-2</v>
      </c>
      <c r="H356" s="231">
        <f t="shared" si="127"/>
        <v>0.53959785605798205</v>
      </c>
      <c r="I356" s="313">
        <f t="shared" si="129"/>
        <v>9535.0178752581742</v>
      </c>
      <c r="J356" s="313">
        <f t="shared" si="128"/>
        <v>-8135.5821247418207</v>
      </c>
      <c r="K356" s="313"/>
    </row>
    <row r="357" spans="1:11" x14ac:dyDescent="0.25">
      <c r="A357" s="114">
        <v>359.99</v>
      </c>
      <c r="B357" s="104" t="s">
        <v>607</v>
      </c>
      <c r="C357" s="135">
        <f>'Elec Study Rpt'!K330</f>
        <v>8020.92</v>
      </c>
      <c r="D357" s="314">
        <v>249.36</v>
      </c>
      <c r="E357" s="72">
        <v>3.11</v>
      </c>
      <c r="F357" s="232">
        <f t="shared" si="126"/>
        <v>3.1099999999999999E-2</v>
      </c>
      <c r="G357" s="232">
        <f>'Elec Study Rpt'!V330</f>
        <v>1.4586855373199084E-2</v>
      </c>
      <c r="H357" s="232">
        <f t="shared" si="127"/>
        <v>0.46903071939546892</v>
      </c>
      <c r="I357" s="314">
        <f t="shared" si="129"/>
        <v>116.95750018845413</v>
      </c>
      <c r="J357" s="314">
        <f t="shared" si="128"/>
        <v>-132.40249981154588</v>
      </c>
      <c r="K357" s="314"/>
    </row>
    <row r="358" spans="1:11" x14ac:dyDescent="0.25">
      <c r="A358" s="114"/>
      <c r="B358" s="104"/>
      <c r="C358" s="137"/>
      <c r="D358" s="9"/>
      <c r="F358" s="114"/>
      <c r="G358" s="114"/>
      <c r="H358" s="114"/>
      <c r="I358" s="9"/>
      <c r="K358" s="147"/>
    </row>
    <row r="359" spans="1:11" x14ac:dyDescent="0.25">
      <c r="A359" s="114"/>
      <c r="B359" s="116" t="s">
        <v>608</v>
      </c>
      <c r="C359" s="136">
        <f>+SUBTOTAL(9,C305:C357)</f>
        <v>1408833111.48</v>
      </c>
      <c r="D359" s="136">
        <f>+SUBTOTAL(9,D305:D357)</f>
        <v>32888988.019999996</v>
      </c>
      <c r="E359" s="198">
        <f>D359/C359</f>
        <v>2.3344843155659243E-2</v>
      </c>
      <c r="F359" s="233">
        <f>E359</f>
        <v>2.3344843155659243E-2</v>
      </c>
      <c r="G359" s="233">
        <f>I359/C359</f>
        <v>2.128608766804958E-2</v>
      </c>
      <c r="H359" s="231">
        <f t="shared" ref="H359" si="133">G359/F359</f>
        <v>0.91181112360094907</v>
      </c>
      <c r="I359" s="136">
        <f>+SUBTOTAL(9,I305:I357)</f>
        <v>29988545.120614346</v>
      </c>
      <c r="J359" s="136">
        <f>+SUBTOTAL(9,J305:J357)</f>
        <v>-2900442.8993856488</v>
      </c>
      <c r="K359" s="128">
        <f>H359*D359-I359</f>
        <v>0</v>
      </c>
    </row>
    <row r="360" spans="1:11" x14ac:dyDescent="0.25">
      <c r="A360" s="114"/>
      <c r="B360" s="116"/>
      <c r="C360" s="137"/>
      <c r="D360" s="9"/>
      <c r="F360" s="233"/>
      <c r="G360" s="233"/>
      <c r="H360" s="233"/>
      <c r="I360" s="312"/>
      <c r="J360" s="199"/>
      <c r="K360" s="147"/>
    </row>
    <row r="361" spans="1:11" x14ac:dyDescent="0.25">
      <c r="A361" s="114"/>
      <c r="B361" s="104"/>
      <c r="C361" s="137"/>
      <c r="D361" s="9"/>
      <c r="F361" s="114"/>
      <c r="G361" s="114"/>
      <c r="H361" s="114"/>
      <c r="I361" s="9"/>
      <c r="K361" s="147"/>
    </row>
    <row r="362" spans="1:11" x14ac:dyDescent="0.25">
      <c r="A362" s="114"/>
      <c r="B362" s="105" t="s">
        <v>452</v>
      </c>
      <c r="C362" s="137"/>
      <c r="D362" s="9"/>
      <c r="F362" s="114"/>
      <c r="G362" s="114"/>
      <c r="H362" s="114"/>
      <c r="I362" s="312"/>
      <c r="K362" s="147"/>
    </row>
    <row r="363" spans="1:11" x14ac:dyDescent="0.25">
      <c r="A363" s="114"/>
      <c r="B363" s="109"/>
      <c r="C363" s="137"/>
      <c r="D363" s="9"/>
      <c r="F363" s="114"/>
      <c r="G363" s="114"/>
      <c r="H363" s="114"/>
      <c r="I363" s="9"/>
      <c r="K363" s="147"/>
    </row>
    <row r="364" spans="1:11" x14ac:dyDescent="0.25">
      <c r="A364" s="114">
        <v>360.1</v>
      </c>
      <c r="B364" s="119" t="s">
        <v>38</v>
      </c>
      <c r="C364" s="134">
        <f>'Elec Study Rpt'!K340</f>
        <v>6192997.7800000003</v>
      </c>
      <c r="D364" s="313">
        <v>137458.86999999997</v>
      </c>
      <c r="E364" s="128">
        <v>2.2400000000000002</v>
      </c>
      <c r="F364" s="231">
        <f t="shared" ref="F364:F378" si="134">E364*0.01</f>
        <v>2.2400000000000003E-2</v>
      </c>
      <c r="G364" s="231">
        <f>'Elec Study Rpt'!V340</f>
        <v>1.1296952216895514E-2</v>
      </c>
      <c r="H364" s="231">
        <f t="shared" ref="H364:H378" si="135">G364/F364</f>
        <v>0.5043282239685497</v>
      </c>
      <c r="I364" s="313">
        <f t="shared" ref="I364:I378" si="136">D364*H364</f>
        <v>69324.387775823736</v>
      </c>
      <c r="J364" s="143">
        <f t="shared" ref="J364:J378" si="137">I364-D364</f>
        <v>-68134.48222417623</v>
      </c>
      <c r="K364" s="147"/>
    </row>
    <row r="365" spans="1:11" x14ac:dyDescent="0.25">
      <c r="A365" s="114">
        <v>361</v>
      </c>
      <c r="B365" s="104" t="s">
        <v>609</v>
      </c>
      <c r="C365" s="134">
        <f>'Elec Study Rpt'!K341</f>
        <v>7980826.7300000004</v>
      </c>
      <c r="D365" s="313">
        <v>144277.32</v>
      </c>
      <c r="E365" s="128">
        <v>1.81</v>
      </c>
      <c r="F365" s="231">
        <f t="shared" si="134"/>
        <v>1.8100000000000002E-2</v>
      </c>
      <c r="G365" s="231">
        <f>'Elec Study Rpt'!V341</f>
        <v>1.7604567139875744E-2</v>
      </c>
      <c r="H365" s="231">
        <f t="shared" si="135"/>
        <v>0.97262801877766536</v>
      </c>
      <c r="I365" s="313">
        <f t="shared" si="136"/>
        <v>140328.16390615125</v>
      </c>
      <c r="J365" s="143">
        <f t="shared" si="137"/>
        <v>-3949.1560938487528</v>
      </c>
      <c r="K365" s="147"/>
    </row>
    <row r="366" spans="1:11" x14ac:dyDescent="0.25">
      <c r="A366" s="114">
        <v>362</v>
      </c>
      <c r="B366" s="104" t="s">
        <v>586</v>
      </c>
      <c r="C366" s="134">
        <f>'Elec Study Rpt'!K342</f>
        <v>434912648.51999998</v>
      </c>
      <c r="D366" s="313">
        <v>8235583.0600000005</v>
      </c>
      <c r="E366" s="128">
        <v>1.97</v>
      </c>
      <c r="F366" s="231">
        <f t="shared" si="134"/>
        <v>1.9699999999999999E-2</v>
      </c>
      <c r="G366" s="231">
        <f>'Elec Study Rpt'!V342</f>
        <v>2.0398169678875266E-2</v>
      </c>
      <c r="H366" s="231">
        <f t="shared" si="135"/>
        <v>1.0354400852220949</v>
      </c>
      <c r="I366" s="313">
        <f>D366*H366</f>
        <v>8527452.8255000412</v>
      </c>
      <c r="J366" s="143">
        <f t="shared" si="137"/>
        <v>291869.76550004072</v>
      </c>
      <c r="K366" s="147"/>
    </row>
    <row r="367" spans="1:11" x14ac:dyDescent="0.25">
      <c r="A367" s="114">
        <v>363</v>
      </c>
      <c r="B367" s="104" t="s">
        <v>838</v>
      </c>
      <c r="C367" s="134">
        <f>'Elec Study Rpt'!K343</f>
        <v>1194182.8600000001</v>
      </c>
      <c r="D367" s="313">
        <v>23908.840000000004</v>
      </c>
      <c r="E367" s="128">
        <v>5</v>
      </c>
      <c r="F367" s="231">
        <f t="shared" si="134"/>
        <v>0.05</v>
      </c>
      <c r="G367" s="231">
        <f>'Elec Study Rpt'!V343</f>
        <v>4.9922840125171446E-2</v>
      </c>
      <c r="H367" s="231">
        <f t="shared" si="135"/>
        <v>0.99845680250342883</v>
      </c>
      <c r="I367" s="313">
        <f>D367*H367</f>
        <v>23871.943937966083</v>
      </c>
      <c r="J367" s="143">
        <f t="shared" si="137"/>
        <v>-36.896062033920316</v>
      </c>
      <c r="K367" s="147"/>
    </row>
    <row r="368" spans="1:11" x14ac:dyDescent="0.25">
      <c r="A368" s="114">
        <v>364</v>
      </c>
      <c r="B368" s="104" t="s">
        <v>610</v>
      </c>
      <c r="C368" s="134">
        <f>'Elec Study Rpt'!K344</f>
        <v>340904415.12</v>
      </c>
      <c r="D368" s="510">
        <v>10261211.340000002</v>
      </c>
      <c r="E368" s="72">
        <v>3.11</v>
      </c>
      <c r="F368" s="231">
        <f t="shared" si="134"/>
        <v>3.1099999999999999E-2</v>
      </c>
      <c r="G368" s="231">
        <f>'Elec Study Rpt'!V344</f>
        <v>3.1427873986990325E-2</v>
      </c>
      <c r="H368" s="231">
        <f t="shared" si="135"/>
        <v>1.0105425719289494</v>
      </c>
      <c r="I368" s="313">
        <f t="shared" si="136"/>
        <v>10369390.898630103</v>
      </c>
      <c r="J368" s="313">
        <f t="shared" si="137"/>
        <v>108179.55863010138</v>
      </c>
      <c r="K368" s="147"/>
    </row>
    <row r="369" spans="1:11" x14ac:dyDescent="0.25">
      <c r="A369" s="114"/>
      <c r="B369" s="104"/>
      <c r="C369" s="134"/>
      <c r="D369" s="510">
        <v>11214.9</v>
      </c>
      <c r="E369" s="72">
        <v>4.24</v>
      </c>
      <c r="F369" s="231">
        <f t="shared" si="134"/>
        <v>4.24E-2</v>
      </c>
      <c r="G369" s="231">
        <f>G368</f>
        <v>3.1427873986990325E-2</v>
      </c>
      <c r="H369" s="231">
        <f t="shared" si="135"/>
        <v>0.74122344308939447</v>
      </c>
      <c r="I369" s="313">
        <f t="shared" si="136"/>
        <v>8312.7467919032497</v>
      </c>
      <c r="J369" s="313">
        <f t="shared" si="137"/>
        <v>-2902.1532080967499</v>
      </c>
      <c r="K369" s="147"/>
    </row>
    <row r="370" spans="1:11" x14ac:dyDescent="0.25">
      <c r="A370" s="114">
        <v>365</v>
      </c>
      <c r="B370" s="104" t="s">
        <v>598</v>
      </c>
      <c r="C370" s="134">
        <f>'Elec Study Rpt'!K345</f>
        <v>409216186.50999999</v>
      </c>
      <c r="D370" s="510">
        <v>11091701.539999999</v>
      </c>
      <c r="E370" s="72">
        <v>2.83</v>
      </c>
      <c r="F370" s="231">
        <f t="shared" si="134"/>
        <v>2.8300000000000002E-2</v>
      </c>
      <c r="G370" s="231">
        <f>'Elec Study Rpt'!V345</f>
        <v>3.7404563906774872E-2</v>
      </c>
      <c r="H370" s="231">
        <f t="shared" si="135"/>
        <v>1.3217160391086527</v>
      </c>
      <c r="I370" s="313">
        <f t="shared" si="136"/>
        <v>14660079.826424142</v>
      </c>
      <c r="J370" s="313">
        <f t="shared" si="137"/>
        <v>3568378.2864241432</v>
      </c>
      <c r="K370" s="147"/>
    </row>
    <row r="371" spans="1:11" x14ac:dyDescent="0.25">
      <c r="A371" s="114"/>
      <c r="B371" s="104"/>
      <c r="C371" s="134"/>
      <c r="D371" s="510">
        <v>7476.5999999999995</v>
      </c>
      <c r="E371" s="72">
        <v>4.24</v>
      </c>
      <c r="F371" s="231">
        <f t="shared" si="134"/>
        <v>4.24E-2</v>
      </c>
      <c r="G371" s="231">
        <f>G370</f>
        <v>3.7404563906774872E-2</v>
      </c>
      <c r="H371" s="231">
        <f t="shared" si="135"/>
        <v>0.88218311100884128</v>
      </c>
      <c r="I371" s="313">
        <f>D371*H371</f>
        <v>6595.7302477687026</v>
      </c>
      <c r="J371" s="313">
        <f t="shared" si="137"/>
        <v>-880.86975223129684</v>
      </c>
      <c r="K371" s="147"/>
    </row>
    <row r="372" spans="1:11" x14ac:dyDescent="0.25">
      <c r="A372" s="114">
        <v>366</v>
      </c>
      <c r="B372" s="104" t="s">
        <v>611</v>
      </c>
      <c r="C372" s="134">
        <f>'Elec Study Rpt'!K346</f>
        <v>672272622.88</v>
      </c>
      <c r="D372" s="313">
        <v>14888909.970000001</v>
      </c>
      <c r="E372" s="72">
        <v>2.2599999999999998</v>
      </c>
      <c r="F372" s="231">
        <f t="shared" si="134"/>
        <v>2.2599999999999999E-2</v>
      </c>
      <c r="G372" s="231">
        <f>'Elec Study Rpt'!V346</f>
        <v>1.7720071581921921E-2</v>
      </c>
      <c r="H372" s="231">
        <f t="shared" si="135"/>
        <v>0.7840739638018549</v>
      </c>
      <c r="I372" s="313">
        <f t="shared" si="136"/>
        <v>11674006.656866858</v>
      </c>
      <c r="J372" s="313">
        <f t="shared" si="137"/>
        <v>-3214903.3131331429</v>
      </c>
      <c r="K372" s="147"/>
    </row>
    <row r="373" spans="1:11" x14ac:dyDescent="0.25">
      <c r="A373" s="114">
        <v>367</v>
      </c>
      <c r="B373" s="104" t="s">
        <v>612</v>
      </c>
      <c r="C373" s="134">
        <f>'Elec Study Rpt'!K347</f>
        <v>844856752.28999996</v>
      </c>
      <c r="D373" s="510">
        <v>28926476.950000007</v>
      </c>
      <c r="E373" s="72">
        <v>3.53</v>
      </c>
      <c r="F373" s="231">
        <f t="shared" si="134"/>
        <v>3.5299999999999998E-2</v>
      </c>
      <c r="G373" s="231">
        <f>'Elec Study Rpt'!V347</f>
        <v>3.9321450541708852E-2</v>
      </c>
      <c r="H373" s="231">
        <f t="shared" si="135"/>
        <v>1.1139221116631404</v>
      </c>
      <c r="I373" s="313">
        <f t="shared" si="136"/>
        <v>32221842.287119165</v>
      </c>
      <c r="J373" s="313">
        <f t="shared" si="137"/>
        <v>3295365.3371191584</v>
      </c>
      <c r="K373" s="147"/>
    </row>
    <row r="374" spans="1:11" x14ac:dyDescent="0.25">
      <c r="A374" s="114"/>
      <c r="B374" s="104"/>
      <c r="C374" s="134"/>
      <c r="D374" s="510">
        <v>796615.70000000019</v>
      </c>
      <c r="E374" s="72">
        <v>4.24</v>
      </c>
      <c r="F374" s="231">
        <f t="shared" si="134"/>
        <v>4.24E-2</v>
      </c>
      <c r="G374" s="231">
        <f>G373</f>
        <v>3.9321450541708852E-2</v>
      </c>
      <c r="H374" s="231">
        <f t="shared" si="135"/>
        <v>0.92739270145539743</v>
      </c>
      <c r="I374" s="313">
        <f>D374*H374</f>
        <v>738775.58604478266</v>
      </c>
      <c r="J374" s="313">
        <f t="shared" si="137"/>
        <v>-57840.11395521753</v>
      </c>
      <c r="K374" s="147"/>
    </row>
    <row r="375" spans="1:11" x14ac:dyDescent="0.25">
      <c r="A375" s="114">
        <v>368</v>
      </c>
      <c r="B375" s="104" t="s">
        <v>613</v>
      </c>
      <c r="C375" s="134">
        <f>'Elec Study Rpt'!K348</f>
        <v>462673680.60000002</v>
      </c>
      <c r="D375" s="313">
        <v>14908913.550000001</v>
      </c>
      <c r="E375" s="72">
        <v>3.26</v>
      </c>
      <c r="F375" s="231">
        <f t="shared" si="134"/>
        <v>3.2599999999999997E-2</v>
      </c>
      <c r="G375" s="231">
        <f>'Elec Study Rpt'!V348</f>
        <v>4.0645875891648892E-2</v>
      </c>
      <c r="H375" s="231">
        <f t="shared" si="135"/>
        <v>1.2468060089462851</v>
      </c>
      <c r="I375" s="313">
        <f t="shared" si="136"/>
        <v>18588523.001000691</v>
      </c>
      <c r="J375" s="313">
        <f t="shared" si="137"/>
        <v>3679609.4510006905</v>
      </c>
      <c r="K375" s="147"/>
    </row>
    <row r="376" spans="1:11" x14ac:dyDescent="0.25">
      <c r="A376" s="114">
        <v>369</v>
      </c>
      <c r="B376" s="104" t="s">
        <v>614</v>
      </c>
      <c r="C376" s="134">
        <f>'Elec Study Rpt'!K349</f>
        <v>182057677.19</v>
      </c>
      <c r="D376" s="313">
        <v>4214546.3500000006</v>
      </c>
      <c r="E376" s="72">
        <v>2.33</v>
      </c>
      <c r="F376" s="231">
        <f t="shared" si="134"/>
        <v>2.3300000000000001E-2</v>
      </c>
      <c r="G376" s="231">
        <f>'Elec Study Rpt'!V349</f>
        <v>3.1460354149320122E-2</v>
      </c>
      <c r="H376" s="231">
        <f t="shared" si="135"/>
        <v>1.3502297918163142</v>
      </c>
      <c r="I376" s="313">
        <f t="shared" si="136"/>
        <v>5690606.040760708</v>
      </c>
      <c r="J376" s="313">
        <f t="shared" si="137"/>
        <v>1476059.6907607075</v>
      </c>
      <c r="K376" s="147"/>
    </row>
    <row r="377" spans="1:11" x14ac:dyDescent="0.25">
      <c r="A377" s="114">
        <v>370</v>
      </c>
      <c r="B377" s="104" t="s">
        <v>615</v>
      </c>
      <c r="C377" s="134">
        <f>'Elec Study Rpt'!K350</f>
        <v>140665913.55000001</v>
      </c>
      <c r="D377" s="313">
        <v>3156227.3000000007</v>
      </c>
      <c r="E377" s="72">
        <v>2.3199999999999998</v>
      </c>
      <c r="F377" s="231">
        <f t="shared" si="134"/>
        <v>2.3199999999999998E-2</v>
      </c>
      <c r="G377" s="231">
        <f>'Elec Study Rpt'!V350</f>
        <v>8.3392143156489656E-2</v>
      </c>
      <c r="H377" s="231">
        <f t="shared" si="135"/>
        <v>3.5944889291590369</v>
      </c>
      <c r="I377" s="313">
        <f>D377*H377</f>
        <v>11345024.087759521</v>
      </c>
      <c r="J377" s="313">
        <f t="shared" si="137"/>
        <v>8188796.7877595201</v>
      </c>
      <c r="K377" s="147"/>
    </row>
    <row r="378" spans="1:11" x14ac:dyDescent="0.25">
      <c r="A378" s="114">
        <v>373</v>
      </c>
      <c r="B378" s="104" t="s">
        <v>616</v>
      </c>
      <c r="C378" s="135">
        <f>'Elec Study Rpt'!K351</f>
        <v>53727968.479999997</v>
      </c>
      <c r="D378" s="314">
        <v>1745428.26</v>
      </c>
      <c r="E378" s="72">
        <v>3.34</v>
      </c>
      <c r="F378" s="232">
        <f t="shared" si="134"/>
        <v>3.3399999999999999E-2</v>
      </c>
      <c r="G378" s="232">
        <f>'Elec Study Rpt'!V351</f>
        <v>4.7508180045001402E-2</v>
      </c>
      <c r="H378" s="232">
        <f t="shared" si="135"/>
        <v>1.4224006001497427</v>
      </c>
      <c r="I378" s="314">
        <f t="shared" si="136"/>
        <v>2482698.2045423212</v>
      </c>
      <c r="J378" s="314">
        <f t="shared" si="137"/>
        <v>737269.94454232114</v>
      </c>
      <c r="K378" s="147"/>
    </row>
    <row r="379" spans="1:11" x14ac:dyDescent="0.25">
      <c r="A379" s="114"/>
      <c r="B379" s="104"/>
      <c r="C379" s="137"/>
      <c r="D379" s="9"/>
      <c r="F379" s="114"/>
      <c r="G379" s="114"/>
      <c r="H379" s="114"/>
      <c r="I379" s="9"/>
      <c r="K379" s="147"/>
    </row>
    <row r="380" spans="1:11" x14ac:dyDescent="0.25">
      <c r="A380" s="114"/>
      <c r="B380" s="116" t="s">
        <v>617</v>
      </c>
      <c r="C380" s="136">
        <f>+SUBTOTAL(9,C364:C378)</f>
        <v>3556655872.5100002</v>
      </c>
      <c r="D380" s="136">
        <f>+SUBTOTAL(9,D364:D378)</f>
        <v>98549950.549999997</v>
      </c>
      <c r="E380" s="148">
        <f>D380/C380</f>
        <v>2.7708598774401922E-2</v>
      </c>
      <c r="F380" s="233">
        <f>E380</f>
        <v>2.7708598774401922E-2</v>
      </c>
      <c r="G380" s="233">
        <f>I380/C380</f>
        <v>3.2768655884905337E-2</v>
      </c>
      <c r="H380" s="231">
        <f t="shared" ref="H380" si="138">G380/F380</f>
        <v>1.1826168530462846</v>
      </c>
      <c r="I380" s="136">
        <f>+SUBTOTAL(9,I364:I378)</f>
        <v>116546832.38730796</v>
      </c>
      <c r="J380" s="136">
        <f>+SUBTOTAL(9,J364:J378)</f>
        <v>17996881.837307937</v>
      </c>
      <c r="K380" s="128">
        <f>H380*D380-I380</f>
        <v>0</v>
      </c>
    </row>
    <row r="381" spans="1:11" x14ac:dyDescent="0.25">
      <c r="A381" s="114"/>
      <c r="B381" s="116"/>
      <c r="C381" s="137"/>
      <c r="D381" s="9"/>
      <c r="F381" s="114"/>
      <c r="G381" s="114"/>
      <c r="H381" s="114"/>
      <c r="I381" s="312"/>
      <c r="J381" s="199"/>
      <c r="K381" s="147"/>
    </row>
    <row r="382" spans="1:11" x14ac:dyDescent="0.25">
      <c r="A382" s="114"/>
      <c r="B382" s="104"/>
      <c r="C382" s="137"/>
      <c r="D382" s="9"/>
      <c r="F382" s="114"/>
      <c r="G382" s="114"/>
      <c r="H382" s="114"/>
      <c r="I382" s="9"/>
      <c r="K382" s="147"/>
    </row>
    <row r="383" spans="1:11" x14ac:dyDescent="0.25">
      <c r="A383" s="114"/>
      <c r="B383" s="105" t="s">
        <v>453</v>
      </c>
      <c r="C383" s="137"/>
      <c r="D383" s="9"/>
      <c r="F383" s="114"/>
      <c r="G383" s="114"/>
      <c r="H383" s="114"/>
      <c r="I383" s="312"/>
      <c r="K383" s="147"/>
    </row>
    <row r="384" spans="1:11" x14ac:dyDescent="0.25">
      <c r="A384" s="114"/>
      <c r="B384" s="109"/>
      <c r="C384" s="137"/>
      <c r="D384" s="9"/>
      <c r="F384" s="114"/>
      <c r="G384" s="114"/>
      <c r="H384" s="114"/>
      <c r="I384" s="9"/>
      <c r="K384" s="147"/>
    </row>
    <row r="385" spans="1:11" x14ac:dyDescent="0.25">
      <c r="A385" s="114">
        <v>390</v>
      </c>
      <c r="B385" s="119" t="s">
        <v>451</v>
      </c>
      <c r="C385" s="134"/>
      <c r="D385" s="9"/>
      <c r="F385" s="114"/>
      <c r="G385" s="114"/>
      <c r="H385" s="114"/>
      <c r="I385" s="9"/>
      <c r="K385" s="147"/>
    </row>
    <row r="386" spans="1:11" x14ac:dyDescent="0.25">
      <c r="A386" s="114"/>
      <c r="B386" s="119" t="s">
        <v>618</v>
      </c>
      <c r="C386" s="134">
        <f>'Elec Study Rpt'!K365</f>
        <v>20916098.27</v>
      </c>
      <c r="D386" s="9"/>
      <c r="E386" s="72"/>
      <c r="F386" s="231"/>
      <c r="G386" s="231"/>
      <c r="H386" s="231"/>
      <c r="I386" s="134"/>
      <c r="J386" s="143"/>
      <c r="K386" s="147"/>
    </row>
    <row r="387" spans="1:11" x14ac:dyDescent="0.25">
      <c r="A387" s="114"/>
      <c r="B387" s="119" t="s">
        <v>427</v>
      </c>
      <c r="C387" s="135">
        <f>'Elec Study Rpt'!K366</f>
        <v>27691074.899999999</v>
      </c>
      <c r="D387" s="321"/>
      <c r="E387" s="72"/>
      <c r="F387" s="232"/>
      <c r="G387" s="232"/>
      <c r="H387" s="232"/>
      <c r="I387" s="135"/>
      <c r="J387" s="145"/>
      <c r="K387" s="147"/>
    </row>
    <row r="388" spans="1:11" x14ac:dyDescent="0.25">
      <c r="A388" s="114"/>
      <c r="B388" s="119"/>
      <c r="C388" s="134"/>
      <c r="D388" s="9"/>
      <c r="E388" s="72"/>
      <c r="F388" s="114"/>
      <c r="G388" s="114"/>
      <c r="H388" s="114"/>
      <c r="I388" s="9"/>
      <c r="K388" s="147"/>
    </row>
    <row r="389" spans="1:11" x14ac:dyDescent="0.25">
      <c r="A389" s="114"/>
      <c r="B389" s="121" t="s">
        <v>428</v>
      </c>
      <c r="C389" s="137">
        <f>SUBTOTAL(9,C386:C387)</f>
        <v>48607173.170000002</v>
      </c>
      <c r="D389" s="313">
        <v>3286669.05</v>
      </c>
      <c r="E389" s="72">
        <v>6.6</v>
      </c>
      <c r="F389" s="231">
        <f t="shared" ref="F389" si="139">E389*0.01</f>
        <v>6.6000000000000003E-2</v>
      </c>
      <c r="G389" s="234">
        <f>'Elec Study Rpt'!S368*0.01</f>
        <v>1.43E-2</v>
      </c>
      <c r="H389" s="231">
        <f>G389/F389</f>
        <v>0.21666666666666665</v>
      </c>
      <c r="I389" s="313">
        <f>D389*H389</f>
        <v>712111.62749999994</v>
      </c>
      <c r="J389" s="137">
        <f>I389-D389</f>
        <v>-2574557.4224999999</v>
      </c>
      <c r="K389" s="128">
        <f>H389*D389-I389</f>
        <v>0</v>
      </c>
    </row>
    <row r="390" spans="1:11" x14ac:dyDescent="0.25">
      <c r="A390" s="114"/>
      <c r="B390" s="119"/>
      <c r="C390" s="134"/>
      <c r="D390" s="9"/>
      <c r="E390" s="72"/>
      <c r="F390" s="114"/>
      <c r="G390" s="114"/>
      <c r="H390" s="114"/>
      <c r="I390" s="312"/>
      <c r="J390" s="199"/>
      <c r="K390" s="147"/>
    </row>
    <row r="391" spans="1:11" x14ac:dyDescent="0.25">
      <c r="A391" s="114">
        <v>391.1</v>
      </c>
      <c r="B391" s="104" t="s">
        <v>429</v>
      </c>
      <c r="C391" s="134"/>
      <c r="D391" s="9"/>
      <c r="E391" s="72"/>
      <c r="F391" s="114"/>
      <c r="G391" s="114"/>
      <c r="H391" s="114"/>
      <c r="I391" s="9"/>
      <c r="J391" s="9"/>
      <c r="K391" s="147"/>
    </row>
    <row r="392" spans="1:11" x14ac:dyDescent="0.25">
      <c r="A392" s="114"/>
      <c r="B392" s="104" t="s">
        <v>436</v>
      </c>
      <c r="C392" s="134">
        <f>'Elec Study Rpt'!K371</f>
        <v>5896620.0700000003</v>
      </c>
      <c r="D392" s="313">
        <v>317862.83</v>
      </c>
      <c r="E392" s="72">
        <v>5</v>
      </c>
      <c r="F392" s="231">
        <f t="shared" ref="F392:F393" si="140">E392*0.01</f>
        <v>0.05</v>
      </c>
      <c r="G392" s="371">
        <f>'Elec Study Rpt'!V372</f>
        <v>4.9983732679012023E-2</v>
      </c>
      <c r="H392" s="231">
        <f t="shared" ref="H392" si="141">G392/F392</f>
        <v>0.99967465358024044</v>
      </c>
      <c r="I392" s="134">
        <f>D392*H392</f>
        <v>317759.41446628486</v>
      </c>
      <c r="J392" s="313">
        <f>I392-D392</f>
        <v>-103.41553371516056</v>
      </c>
      <c r="K392" s="661">
        <f t="shared" ref="K392:K393" si="142">H392*D392-I392</f>
        <v>0</v>
      </c>
    </row>
    <row r="393" spans="1:11" x14ac:dyDescent="0.25">
      <c r="A393" s="114"/>
      <c r="B393" s="104" t="s">
        <v>437</v>
      </c>
      <c r="C393" s="135">
        <f>'Elec Study Rpt'!K372</f>
        <v>4398911.17</v>
      </c>
      <c r="D393" s="314">
        <v>2608.5599999999995</v>
      </c>
      <c r="E393" s="72">
        <v>16.440000000000001</v>
      </c>
      <c r="F393" s="232">
        <f t="shared" si="140"/>
        <v>0.16440000000000002</v>
      </c>
      <c r="G393" s="232">
        <f>G392</f>
        <v>4.9983732679012023E-2</v>
      </c>
      <c r="H393" s="232">
        <f>G393/F393</f>
        <v>0.30403730340031643</v>
      </c>
      <c r="I393" s="135">
        <f>D393*H393</f>
        <v>793.09954815792923</v>
      </c>
      <c r="J393" s="314">
        <f t="shared" ref="J393" si="143">I393-D393</f>
        <v>-1815.4604518420701</v>
      </c>
      <c r="K393" s="661">
        <f t="shared" si="142"/>
        <v>0</v>
      </c>
    </row>
    <row r="394" spans="1:11" x14ac:dyDescent="0.25">
      <c r="A394" s="114"/>
      <c r="B394" s="104"/>
      <c r="C394" s="134"/>
      <c r="D394" s="9"/>
      <c r="E394" s="72"/>
      <c r="F394" s="114"/>
      <c r="G394" s="114"/>
      <c r="H394" s="114"/>
      <c r="I394" s="312"/>
      <c r="J394" s="318"/>
      <c r="K394" s="147"/>
    </row>
    <row r="395" spans="1:11" x14ac:dyDescent="0.25">
      <c r="A395" s="114"/>
      <c r="B395" s="121" t="s">
        <v>619</v>
      </c>
      <c r="C395" s="137">
        <f>SUBTOTAL(9,C392:C393)</f>
        <v>10295531.24</v>
      </c>
      <c r="D395" s="137">
        <f>SUBTOTAL(9,D392:D393)</f>
        <v>320471.39</v>
      </c>
      <c r="E395" s="233"/>
      <c r="F395" s="233"/>
      <c r="G395" s="234"/>
      <c r="H395" s="231"/>
      <c r="I395" s="137">
        <f>SUBTOTAL(9,I392:I393)</f>
        <v>318552.5140144428</v>
      </c>
      <c r="J395" s="137">
        <f>SUBTOTAL(9,J392:J393)</f>
        <v>-1918.8759855572307</v>
      </c>
      <c r="K395" s="661"/>
    </row>
    <row r="396" spans="1:11" x14ac:dyDescent="0.25">
      <c r="A396" s="114"/>
      <c r="B396" s="119"/>
      <c r="C396" s="134"/>
      <c r="D396" s="9"/>
      <c r="E396" s="72"/>
      <c r="F396" s="114"/>
      <c r="G396" s="114"/>
      <c r="H396" s="114"/>
      <c r="I396" s="312"/>
      <c r="J396" s="199"/>
      <c r="K396" s="147"/>
    </row>
    <row r="397" spans="1:11" x14ac:dyDescent="0.25">
      <c r="A397" s="114">
        <v>391.2</v>
      </c>
      <c r="B397" s="104" t="s">
        <v>620</v>
      </c>
      <c r="C397" s="134">
        <f>'Elec Study Rpt'!K376</f>
        <v>22169281.93</v>
      </c>
      <c r="D397" s="313">
        <v>4266548.7100000009</v>
      </c>
      <c r="E397" s="72">
        <v>20</v>
      </c>
      <c r="F397" s="231">
        <f t="shared" ref="F397:F402" si="144">E397*0.01</f>
        <v>0.2</v>
      </c>
      <c r="G397" s="231">
        <f>'Elec Study Rpt'!V376</f>
        <v>0.20000111027502279</v>
      </c>
      <c r="H397" s="231">
        <f>G397/F397</f>
        <v>1.0000055513751138</v>
      </c>
      <c r="I397" s="313">
        <f>D397*H397</f>
        <v>4266572.3952123318</v>
      </c>
      <c r="J397" s="143">
        <f>I397-D397</f>
        <v>23.685212330892682</v>
      </c>
      <c r="K397" s="128">
        <f>H397*D397-I397</f>
        <v>0</v>
      </c>
    </row>
    <row r="398" spans="1:11" x14ac:dyDescent="0.25">
      <c r="A398" s="114"/>
      <c r="B398" s="104"/>
      <c r="C398" s="135"/>
      <c r="D398" s="314">
        <v>601.08000000000015</v>
      </c>
      <c r="E398" s="72"/>
      <c r="F398" s="231">
        <v>2.1899999999999999E-2</v>
      </c>
      <c r="G398" s="231">
        <f>G397</f>
        <v>0.20000111027502279</v>
      </c>
      <c r="H398" s="232">
        <f>G398/F398</f>
        <v>9.1324707888138263</v>
      </c>
      <c r="I398" s="314">
        <f>D398*H398</f>
        <v>5489.3455417402165</v>
      </c>
      <c r="J398" s="145">
        <f>I398-D398</f>
        <v>4888.2655417402166</v>
      </c>
      <c r="K398" s="128">
        <f>H398*D398-I398</f>
        <v>0</v>
      </c>
    </row>
    <row r="399" spans="1:11" x14ac:dyDescent="0.25">
      <c r="A399" s="114"/>
      <c r="B399" s="104"/>
      <c r="C399" s="134"/>
      <c r="D399" s="364"/>
      <c r="E399" s="72"/>
      <c r="F399" s="231"/>
      <c r="G399" s="231"/>
      <c r="H399" s="371"/>
      <c r="I399" s="364"/>
      <c r="J399" s="372"/>
      <c r="K399" s="128"/>
    </row>
    <row r="400" spans="1:11" x14ac:dyDescent="0.25">
      <c r="A400" s="114"/>
      <c r="B400" s="104"/>
      <c r="C400" s="137">
        <f>SUBTOTAL(9,C397:C398)</f>
        <v>22169281.93</v>
      </c>
      <c r="D400" s="137">
        <f>SUBTOTAL(9,D397:D398)</f>
        <v>4267149.790000001</v>
      </c>
      <c r="E400" s="72"/>
      <c r="F400" s="231"/>
      <c r="G400" s="231"/>
      <c r="H400" s="231"/>
      <c r="I400" s="137">
        <f>SUBTOTAL(9,I397:I398)</f>
        <v>4272061.7407540716</v>
      </c>
      <c r="J400" s="137">
        <f>SUBTOTAL(9,J397:J398)</f>
        <v>4911.9507540711093</v>
      </c>
      <c r="K400" s="128"/>
    </row>
    <row r="401" spans="1:12" x14ac:dyDescent="0.25">
      <c r="A401" s="104"/>
      <c r="B401" s="104"/>
      <c r="C401" s="133"/>
      <c r="D401" s="9"/>
      <c r="E401" s="72"/>
      <c r="F401" s="104"/>
      <c r="G401" s="104"/>
      <c r="H401" s="104"/>
      <c r="I401" s="312"/>
      <c r="J401" s="199"/>
      <c r="K401" s="147"/>
    </row>
    <row r="402" spans="1:12" x14ac:dyDescent="0.25">
      <c r="A402" s="114">
        <v>392</v>
      </c>
      <c r="B402" s="119" t="s">
        <v>454</v>
      </c>
      <c r="C402" s="134">
        <f>'Elec Study Rpt'!K378</f>
        <v>9188876.1099999994</v>
      </c>
      <c r="D402" s="313">
        <v>806550.39</v>
      </c>
      <c r="E402" s="72">
        <v>9</v>
      </c>
      <c r="F402" s="231">
        <f t="shared" si="144"/>
        <v>0.09</v>
      </c>
      <c r="G402" s="231">
        <f>'Elec Study Rpt'!V378</f>
        <v>5.2490967799107703E-2</v>
      </c>
      <c r="H402" s="231">
        <f>G402/F402</f>
        <v>0.58323297554564113</v>
      </c>
      <c r="I402" s="313">
        <f>D402*H402</f>
        <v>470406.78388719732</v>
      </c>
      <c r="J402" s="313">
        <f>I402-D402</f>
        <v>-336143.60611280269</v>
      </c>
      <c r="K402" s="128">
        <f>H402*D402-I402</f>
        <v>0</v>
      </c>
    </row>
    <row r="403" spans="1:12" x14ac:dyDescent="0.25">
      <c r="A403" s="114"/>
      <c r="B403" s="119"/>
      <c r="C403" s="135"/>
      <c r="D403" s="314">
        <v>2353.1400000000003</v>
      </c>
      <c r="E403" s="72"/>
      <c r="F403" s="231">
        <v>0.6</v>
      </c>
      <c r="G403" s="231">
        <f>G402</f>
        <v>5.2490967799107703E-2</v>
      </c>
      <c r="H403" s="232">
        <f>G403/F403</f>
        <v>8.748494633184617E-2</v>
      </c>
      <c r="I403" s="314">
        <f>D403*H403</f>
        <v>205.86432661132054</v>
      </c>
      <c r="J403" s="314">
        <f>I403-D403</f>
        <v>-2147.2756733886799</v>
      </c>
      <c r="K403" s="128">
        <f>H403*D403-I403</f>
        <v>0</v>
      </c>
    </row>
    <row r="404" spans="1:12" x14ac:dyDescent="0.25">
      <c r="A404" s="114"/>
      <c r="B404" s="119"/>
      <c r="C404" s="134"/>
      <c r="D404" s="137"/>
      <c r="E404" s="72"/>
      <c r="F404" s="231"/>
      <c r="G404" s="231"/>
      <c r="H404" s="231"/>
      <c r="I404" s="137"/>
      <c r="J404" s="313"/>
      <c r="K404" s="128"/>
    </row>
    <row r="405" spans="1:12" x14ac:dyDescent="0.25">
      <c r="A405" s="114"/>
      <c r="B405" s="126" t="s">
        <v>895</v>
      </c>
      <c r="C405" s="137">
        <f>SUBTOTAL(9,C402:C403)</f>
        <v>9188876.1099999994</v>
      </c>
      <c r="D405" s="137">
        <f>SUBTOTAL(9,D402:D403)</f>
        <v>808903.53</v>
      </c>
      <c r="E405" s="72"/>
      <c r="F405" s="231"/>
      <c r="G405" s="231"/>
      <c r="H405" s="231"/>
      <c r="I405" s="137">
        <f>SUBTOTAL(9,I402:I403)</f>
        <v>470612.64821380866</v>
      </c>
      <c r="J405" s="137">
        <f>SUBTOTAL(9,J402:J403)</f>
        <v>-338290.88178619137</v>
      </c>
      <c r="K405" s="128"/>
    </row>
    <row r="406" spans="1:12" x14ac:dyDescent="0.25">
      <c r="A406" s="114"/>
      <c r="B406" s="119"/>
      <c r="C406" s="134"/>
      <c r="D406" s="9"/>
      <c r="E406" s="72"/>
      <c r="F406" s="114"/>
      <c r="G406" s="114"/>
      <c r="H406" s="114"/>
      <c r="I406" s="312"/>
      <c r="J406" s="199"/>
      <c r="K406" s="147"/>
    </row>
    <row r="407" spans="1:12" x14ac:dyDescent="0.25">
      <c r="A407" s="114">
        <v>393</v>
      </c>
      <c r="B407" s="119" t="s">
        <v>455</v>
      </c>
      <c r="C407" s="134"/>
      <c r="D407" s="9"/>
      <c r="E407" s="72"/>
      <c r="F407" s="114"/>
      <c r="G407" s="114"/>
      <c r="H407" s="114"/>
      <c r="I407" s="9"/>
      <c r="K407" s="147"/>
    </row>
    <row r="408" spans="1:12" x14ac:dyDescent="0.25">
      <c r="A408" s="114"/>
      <c r="B408" s="119" t="s">
        <v>436</v>
      </c>
      <c r="C408" s="134">
        <f>'Elec Study Rpt'!K381</f>
        <v>589595.93000000005</v>
      </c>
      <c r="D408" s="313">
        <v>31523.279999999995</v>
      </c>
      <c r="E408" s="72"/>
      <c r="F408" s="231">
        <v>0.16438356000000001</v>
      </c>
      <c r="G408" s="231">
        <f>'Elec Study Rpt'!V382</f>
        <v>5.0020878101541565E-2</v>
      </c>
      <c r="H408" s="231">
        <f t="shared" ref="H408:H409" si="145">G408/F408</f>
        <v>0.30429367816064795</v>
      </c>
      <c r="I408" s="313">
        <f>D408*H408</f>
        <v>9592.3348188879881</v>
      </c>
      <c r="J408" s="313">
        <f>I408-D408</f>
        <v>-21930.945181112009</v>
      </c>
      <c r="K408" s="128">
        <f>H408*D408-I408</f>
        <v>0</v>
      </c>
    </row>
    <row r="409" spans="1:12" x14ac:dyDescent="0.25">
      <c r="A409" s="114"/>
      <c r="B409" s="119" t="s">
        <v>437</v>
      </c>
      <c r="C409" s="135">
        <f>'Elec Study Rpt'!K382</f>
        <v>170968.61</v>
      </c>
      <c r="D409" s="314">
        <v>7310.6999999999989</v>
      </c>
      <c r="E409" s="72"/>
      <c r="F409" s="232">
        <v>0.05</v>
      </c>
      <c r="G409" s="232">
        <f>G408</f>
        <v>5.0020878101541565E-2</v>
      </c>
      <c r="H409" s="232">
        <f t="shared" si="145"/>
        <v>1.0004175620308313</v>
      </c>
      <c r="I409" s="314">
        <f>D409*H409</f>
        <v>7313.7526707387979</v>
      </c>
      <c r="J409" s="314">
        <f>I409-D409</f>
        <v>3.0526707387989518</v>
      </c>
      <c r="K409" s="128">
        <f>H409*D409-I409</f>
        <v>0</v>
      </c>
    </row>
    <row r="410" spans="1:12" x14ac:dyDescent="0.25">
      <c r="A410" s="114"/>
      <c r="B410" s="119"/>
      <c r="C410" s="134"/>
      <c r="D410" s="9"/>
      <c r="E410" s="72"/>
      <c r="F410" s="114"/>
      <c r="G410" s="114"/>
      <c r="H410" s="114"/>
      <c r="I410" s="9"/>
      <c r="K410" s="147"/>
    </row>
    <row r="411" spans="1:12" x14ac:dyDescent="0.25">
      <c r="A411" s="114"/>
      <c r="B411" s="126" t="s">
        <v>621</v>
      </c>
      <c r="C411" s="137">
        <f>SUBTOTAL(9,C408:C409)</f>
        <v>760564.54</v>
      </c>
      <c r="D411" s="137">
        <f>SUBTOTAL(9,D408:D409)</f>
        <v>38833.979999999996</v>
      </c>
      <c r="E411" s="72"/>
      <c r="F411" s="231"/>
      <c r="G411" s="231"/>
      <c r="H411" s="231"/>
      <c r="I411" s="137">
        <f>SUBTOTAL(9,I408:I409)</f>
        <v>16906.087489626785</v>
      </c>
      <c r="J411" s="137">
        <f>SUBTOTAL(9,J408:J409)</f>
        <v>-21927.892510373211</v>
      </c>
      <c r="K411" s="128"/>
    </row>
    <row r="412" spans="1:12" x14ac:dyDescent="0.25">
      <c r="A412" s="114"/>
      <c r="B412" s="126"/>
      <c r="C412" s="137"/>
      <c r="D412" s="9"/>
      <c r="E412" s="72"/>
      <c r="F412" s="114"/>
      <c r="G412" s="114"/>
      <c r="H412" s="114"/>
      <c r="I412" s="312"/>
      <c r="J412" s="199"/>
      <c r="K412" s="147"/>
      <c r="L412" s="143"/>
    </row>
    <row r="413" spans="1:12" x14ac:dyDescent="0.25">
      <c r="A413" s="114">
        <v>394</v>
      </c>
      <c r="B413" s="119" t="s">
        <v>456</v>
      </c>
      <c r="C413" s="134"/>
      <c r="D413" s="9"/>
      <c r="E413" s="72"/>
      <c r="F413" s="114"/>
      <c r="G413" s="114"/>
      <c r="H413" s="114"/>
      <c r="I413" s="9"/>
      <c r="K413" s="147"/>
    </row>
    <row r="414" spans="1:12" x14ac:dyDescent="0.25">
      <c r="A414" s="114"/>
      <c r="B414" s="119" t="s">
        <v>436</v>
      </c>
      <c r="C414" s="134">
        <f>'Elec Study Rpt'!K387</f>
        <v>3661294.93</v>
      </c>
      <c r="D414" s="313">
        <v>83337.900000000009</v>
      </c>
      <c r="E414" s="72"/>
      <c r="F414" s="231">
        <v>0.16438356000000001</v>
      </c>
      <c r="G414" s="231">
        <f>'Elec Study Rpt'!V388</f>
        <v>4.9959754542495814E-2</v>
      </c>
      <c r="H414" s="231">
        <f t="shared" ref="H414:H415" si="146">G414/F414</f>
        <v>0.30392184317273463</v>
      </c>
      <c r="I414" s="313">
        <f>D414*H414</f>
        <v>25328.208174145046</v>
      </c>
      <c r="J414" s="313">
        <f>I414-D414</f>
        <v>-58009.691825854963</v>
      </c>
      <c r="K414" s="128">
        <f>H414*D414-I414</f>
        <v>0</v>
      </c>
    </row>
    <row r="415" spans="1:12" x14ac:dyDescent="0.25">
      <c r="A415" s="114"/>
      <c r="B415" s="119" t="s">
        <v>437</v>
      </c>
      <c r="C415" s="135">
        <f>'Elec Study Rpt'!K388</f>
        <v>8917577.8399999999</v>
      </c>
      <c r="D415" s="314">
        <v>395459.77999999991</v>
      </c>
      <c r="E415" s="72"/>
      <c r="F415" s="232">
        <v>0.05</v>
      </c>
      <c r="G415" s="232">
        <f>G414</f>
        <v>4.9959754542495814E-2</v>
      </c>
      <c r="H415" s="232">
        <f t="shared" si="146"/>
        <v>0.9991950908499162</v>
      </c>
      <c r="I415" s="314">
        <f>D415*H415</f>
        <v>395141.47080458776</v>
      </c>
      <c r="J415" s="314">
        <f>I415-D415</f>
        <v>-318.30919541214826</v>
      </c>
      <c r="K415" s="128">
        <f>H415*D415-I415</f>
        <v>0</v>
      </c>
    </row>
    <row r="416" spans="1:12" x14ac:dyDescent="0.25">
      <c r="A416" s="114"/>
      <c r="B416" s="119"/>
      <c r="C416" s="134"/>
      <c r="D416" s="9"/>
      <c r="E416" s="72"/>
      <c r="F416" s="114"/>
      <c r="G416" s="114"/>
      <c r="H416" s="114"/>
      <c r="I416" s="9"/>
      <c r="K416" s="147"/>
    </row>
    <row r="417" spans="1:11" x14ac:dyDescent="0.25">
      <c r="A417" s="114"/>
      <c r="B417" s="126" t="s">
        <v>622</v>
      </c>
      <c r="C417" s="137">
        <f>SUBTOTAL(9,C414:C415)</f>
        <v>12578872.77</v>
      </c>
      <c r="D417" s="137">
        <f>SUBTOTAL(9,D414:D415)</f>
        <v>478797.67999999993</v>
      </c>
      <c r="E417" s="84"/>
      <c r="F417" s="231"/>
      <c r="G417" s="231"/>
      <c r="H417" s="231"/>
      <c r="I417" s="137">
        <f>SUBTOTAL(9,I414:I415)</f>
        <v>420469.67897873279</v>
      </c>
      <c r="J417" s="137">
        <f>SUBTOTAL(9,J414:J415)</f>
        <v>-58328.001021267111</v>
      </c>
      <c r="K417" s="128"/>
    </row>
    <row r="418" spans="1:11" x14ac:dyDescent="0.25">
      <c r="A418" s="114"/>
      <c r="B418" s="119"/>
      <c r="C418" s="134"/>
      <c r="D418" s="9"/>
      <c r="E418" s="72"/>
      <c r="F418" s="114"/>
      <c r="G418" s="114"/>
      <c r="H418" s="114"/>
      <c r="I418" s="312"/>
      <c r="J418" s="199"/>
      <c r="K418" s="147"/>
    </row>
    <row r="419" spans="1:11" x14ac:dyDescent="0.25">
      <c r="A419" s="114">
        <v>395</v>
      </c>
      <c r="B419" s="119" t="s">
        <v>457</v>
      </c>
      <c r="C419" s="134"/>
      <c r="D419" s="9"/>
      <c r="E419" s="72"/>
      <c r="F419" s="114"/>
      <c r="G419" s="114"/>
      <c r="H419" s="114"/>
      <c r="I419" s="9"/>
      <c r="K419" s="147"/>
    </row>
    <row r="420" spans="1:11" x14ac:dyDescent="0.25">
      <c r="A420" s="114"/>
      <c r="B420" s="119" t="s">
        <v>436</v>
      </c>
      <c r="C420" s="134">
        <f>'Elec Study Rpt'!K393</f>
        <v>4155876.27</v>
      </c>
      <c r="D420" s="313">
        <v>129670.68</v>
      </c>
      <c r="E420" s="72"/>
      <c r="F420" s="231">
        <v>0.05</v>
      </c>
      <c r="G420" s="231">
        <f>'Elec Study Rpt'!V394</f>
        <v>4.9977077173492208E-2</v>
      </c>
      <c r="H420" s="231">
        <f t="shared" ref="H420:H421" si="147">G420/F420</f>
        <v>0.99954154346984414</v>
      </c>
      <c r="I420" s="313">
        <f>D420*H420</f>
        <v>129611.23162998424</v>
      </c>
      <c r="J420" s="313">
        <f>I420-D420</f>
        <v>-59.448370015757973</v>
      </c>
      <c r="K420" s="128">
        <f>H420*D420-I420</f>
        <v>0</v>
      </c>
    </row>
    <row r="421" spans="1:11" x14ac:dyDescent="0.25">
      <c r="A421" s="114"/>
      <c r="B421" s="119" t="s">
        <v>437</v>
      </c>
      <c r="C421" s="135">
        <f>'Elec Study Rpt'!K394</f>
        <v>7875250.46</v>
      </c>
      <c r="D421" s="314">
        <v>417851.52000000008</v>
      </c>
      <c r="E421" s="72"/>
      <c r="F421" s="232">
        <v>0.16438356000000001</v>
      </c>
      <c r="G421" s="232">
        <f>G420</f>
        <v>4.9977077173492208E-2</v>
      </c>
      <c r="H421" s="232">
        <f t="shared" si="147"/>
        <v>0.30402722251234982</v>
      </c>
      <c r="I421" s="314">
        <f>D421*H421</f>
        <v>127038.23704816362</v>
      </c>
      <c r="J421" s="314">
        <f>I421-D421</f>
        <v>-290813.28295183647</v>
      </c>
      <c r="K421" s="128">
        <f>H421*D421-I421</f>
        <v>0</v>
      </c>
    </row>
    <row r="422" spans="1:11" x14ac:dyDescent="0.25">
      <c r="A422" s="114"/>
      <c r="B422" s="119"/>
      <c r="C422" s="134"/>
      <c r="D422" s="9"/>
      <c r="E422" s="72"/>
      <c r="F422" s="114"/>
      <c r="G422" s="114"/>
      <c r="H422" s="114"/>
      <c r="I422" s="9"/>
      <c r="K422" s="147"/>
    </row>
    <row r="423" spans="1:11" x14ac:dyDescent="0.25">
      <c r="A423" s="114"/>
      <c r="B423" s="126" t="s">
        <v>623</v>
      </c>
      <c r="C423" s="137">
        <f>SUBTOTAL(9,C420:C421)</f>
        <v>12031126.73</v>
      </c>
      <c r="D423" s="137">
        <f>SUBTOTAL(9,D420:D421)</f>
        <v>547522.20000000007</v>
      </c>
      <c r="E423" s="233"/>
      <c r="F423" s="231"/>
      <c r="G423" s="231"/>
      <c r="H423" s="231"/>
      <c r="I423" s="137">
        <f>SUBTOTAL(9,I420:I421)</f>
        <v>256649.46867814785</v>
      </c>
      <c r="J423" s="137">
        <f>SUBTOTAL(9,J420:J421)</f>
        <v>-290872.73132185225</v>
      </c>
      <c r="K423" s="128"/>
    </row>
    <row r="424" spans="1:11" x14ac:dyDescent="0.25">
      <c r="A424" s="114"/>
      <c r="B424" s="119"/>
      <c r="C424" s="134"/>
      <c r="D424" s="9"/>
      <c r="E424" s="72"/>
      <c r="F424" s="114"/>
      <c r="G424" s="114"/>
      <c r="H424" s="114"/>
      <c r="I424" s="9"/>
      <c r="J424" s="199"/>
      <c r="K424" s="147"/>
    </row>
    <row r="425" spans="1:11" x14ac:dyDescent="0.25">
      <c r="A425" s="114">
        <v>396</v>
      </c>
      <c r="B425" s="104" t="s">
        <v>458</v>
      </c>
      <c r="C425" s="134">
        <f>'Elec Study Rpt'!K398</f>
        <v>6082762.2400000002</v>
      </c>
      <c r="D425" s="313">
        <v>363063.32999999996</v>
      </c>
      <c r="E425" s="72">
        <v>0</v>
      </c>
      <c r="F425" s="231">
        <v>0.06</v>
      </c>
      <c r="G425" s="231">
        <f>'Elec Study Rpt'!V398</f>
        <v>6.5827494845499657E-2</v>
      </c>
      <c r="H425" s="231">
        <f t="shared" ref="H425" si="148">G425/F425</f>
        <v>1.097124914091661</v>
      </c>
      <c r="I425" s="313">
        <f>D425*H425</f>
        <v>398325.82473608234</v>
      </c>
      <c r="J425" s="143">
        <f>I425-D425</f>
        <v>35262.494736082386</v>
      </c>
      <c r="K425" s="128">
        <f>H425*D425-I425</f>
        <v>0</v>
      </c>
    </row>
    <row r="426" spans="1:11" x14ac:dyDescent="0.25">
      <c r="A426" s="114"/>
      <c r="B426" s="104"/>
      <c r="C426" s="134"/>
      <c r="D426" s="9"/>
      <c r="E426" s="72"/>
      <c r="F426" s="114"/>
      <c r="G426" s="114"/>
      <c r="H426" s="114"/>
      <c r="I426" s="107"/>
      <c r="J426" s="199"/>
      <c r="K426" s="147"/>
    </row>
    <row r="427" spans="1:11" x14ac:dyDescent="0.25">
      <c r="A427" s="114">
        <v>397</v>
      </c>
      <c r="B427" s="104" t="s">
        <v>624</v>
      </c>
      <c r="C427" s="134"/>
      <c r="D427" s="9"/>
      <c r="E427" s="72"/>
      <c r="F427" s="114"/>
      <c r="G427" s="114"/>
      <c r="H427" s="114"/>
      <c r="I427" s="9"/>
      <c r="K427" s="147"/>
    </row>
    <row r="428" spans="1:11" x14ac:dyDescent="0.25">
      <c r="A428" s="114"/>
      <c r="B428" s="104" t="s">
        <v>436</v>
      </c>
      <c r="C428" s="134">
        <f>'Elec Study Rpt'!K401</f>
        <v>12913083.02</v>
      </c>
      <c r="D428" s="313">
        <v>1580017.8399999996</v>
      </c>
      <c r="E428" s="72"/>
      <c r="F428" s="231">
        <v>0.27906976</v>
      </c>
      <c r="G428" s="231">
        <f>'Elec Study Rpt'!V402</f>
        <v>6.6722746990883014E-2</v>
      </c>
      <c r="H428" s="231">
        <f>G428/F428</f>
        <v>0.2390898497597268</v>
      </c>
      <c r="I428" s="313">
        <f>D428*H428</f>
        <v>377766.22798328794</v>
      </c>
      <c r="J428" s="313">
        <f>I428-D428</f>
        <v>-1202251.6120167116</v>
      </c>
      <c r="K428" s="128">
        <f>H428*D428-I428</f>
        <v>0</v>
      </c>
    </row>
    <row r="429" spans="1:11" x14ac:dyDescent="0.25">
      <c r="A429" s="114"/>
      <c r="B429" s="104" t="s">
        <v>437</v>
      </c>
      <c r="C429" s="135">
        <f>'Elec Study Rpt'!K402</f>
        <v>80874473</v>
      </c>
      <c r="D429" s="314">
        <v>4373888.62</v>
      </c>
      <c r="E429" s="72"/>
      <c r="F429" s="232">
        <v>6.6699999999999995E-2</v>
      </c>
      <c r="G429" s="232">
        <f>'Elec Study Rpt'!V402</f>
        <v>6.6722746990883014E-2</v>
      </c>
      <c r="H429" s="232">
        <f t="shared" ref="H429" si="149">G429/F429</f>
        <v>1.0003410343460721</v>
      </c>
      <c r="I429" s="314">
        <f>D429*H429</f>
        <v>4375380.2662453139</v>
      </c>
      <c r="J429" s="314">
        <f>I429-D429</f>
        <v>1491.6462453138083</v>
      </c>
      <c r="K429" s="128">
        <f>H429*D429-I429</f>
        <v>0</v>
      </c>
    </row>
    <row r="430" spans="1:11" x14ac:dyDescent="0.25">
      <c r="A430" s="114"/>
      <c r="B430" s="104"/>
      <c r="C430" s="134"/>
      <c r="D430" s="9"/>
      <c r="E430" s="72"/>
      <c r="F430" s="114"/>
      <c r="G430" s="114"/>
      <c r="H430" s="114"/>
      <c r="I430" s="9"/>
      <c r="K430" s="147"/>
    </row>
    <row r="431" spans="1:11" x14ac:dyDescent="0.25">
      <c r="A431" s="114"/>
      <c r="B431" s="126" t="s">
        <v>625</v>
      </c>
      <c r="C431" s="137">
        <f>SUBTOTAL(9,C428:C429)</f>
        <v>93787556.019999996</v>
      </c>
      <c r="D431" s="137">
        <f>SUBTOTAL(9,D428:D429)</f>
        <v>5953906.46</v>
      </c>
      <c r="E431" s="233"/>
      <c r="F431" s="231"/>
      <c r="G431" s="231"/>
      <c r="H431" s="231"/>
      <c r="I431" s="137">
        <f t="shared" ref="I431:J431" si="150">SUBTOTAL(9,I428:I429)</f>
        <v>4753146.4942286015</v>
      </c>
      <c r="J431" s="137">
        <f t="shared" si="150"/>
        <v>-1200759.9657713978</v>
      </c>
      <c r="K431" s="128"/>
    </row>
    <row r="432" spans="1:11" x14ac:dyDescent="0.25">
      <c r="A432" s="114"/>
      <c r="B432" s="104"/>
      <c r="C432" s="134"/>
      <c r="D432" s="9"/>
      <c r="E432" s="72"/>
      <c r="F432" s="114"/>
      <c r="G432" s="114"/>
      <c r="H432" s="114"/>
      <c r="I432" s="312"/>
      <c r="J432" s="199"/>
      <c r="K432" s="147"/>
    </row>
    <row r="433" spans="1:12" x14ac:dyDescent="0.25">
      <c r="A433" s="114">
        <v>398</v>
      </c>
      <c r="B433" s="127" t="s">
        <v>459</v>
      </c>
      <c r="C433" s="134"/>
      <c r="D433" s="9"/>
      <c r="E433" s="72"/>
      <c r="F433" s="114"/>
      <c r="G433" s="114"/>
      <c r="H433" s="114"/>
      <c r="I433" s="9"/>
      <c r="K433" s="147"/>
    </row>
    <row r="434" spans="1:12" x14ac:dyDescent="0.25">
      <c r="A434" s="114"/>
      <c r="B434" s="127" t="s">
        <v>436</v>
      </c>
      <c r="C434" s="134">
        <f>'Elec Study Rpt'!K407</f>
        <v>86544.16</v>
      </c>
      <c r="D434" s="313">
        <v>9140.2800000000007</v>
      </c>
      <c r="E434" s="72"/>
      <c r="F434" s="231">
        <v>6.6699999999999995E-2</v>
      </c>
      <c r="G434" s="231">
        <f>'Elec Study Rpt'!V408</f>
        <v>6.6661201545357388E-2</v>
      </c>
      <c r="H434" s="231">
        <f t="shared" ref="H434:H435" si="151">G434/F434</f>
        <v>0.99941831402334924</v>
      </c>
      <c r="I434" s="313">
        <f>D434*H434</f>
        <v>9134.9632273013394</v>
      </c>
      <c r="J434" s="313">
        <f>I434-D434</f>
        <v>-5.3167726986612251</v>
      </c>
      <c r="K434" s="128">
        <f>H434*D434-I434</f>
        <v>0</v>
      </c>
    </row>
    <row r="435" spans="1:12" x14ac:dyDescent="0.25">
      <c r="A435" s="114"/>
      <c r="B435" s="127" t="s">
        <v>437</v>
      </c>
      <c r="C435" s="135">
        <f>'Elec Study Rpt'!K408</f>
        <v>190785.64</v>
      </c>
      <c r="D435" s="314">
        <v>9479.4</v>
      </c>
      <c r="E435" s="72"/>
      <c r="F435" s="231">
        <v>0.27906976</v>
      </c>
      <c r="G435" s="232">
        <f>G434</f>
        <v>6.6661201545357388E-2</v>
      </c>
      <c r="H435" s="232">
        <f t="shared" si="151"/>
        <v>0.23886931190737895</v>
      </c>
      <c r="I435" s="314">
        <f>D435*H435</f>
        <v>2264.3377552948077</v>
      </c>
      <c r="J435" s="314">
        <f>I435-D435</f>
        <v>-7215.0622447051919</v>
      </c>
      <c r="K435" s="128">
        <f>H435*D435-I435</f>
        <v>0</v>
      </c>
    </row>
    <row r="436" spans="1:12" x14ac:dyDescent="0.25">
      <c r="A436" s="114"/>
      <c r="B436" s="127"/>
      <c r="C436" s="134"/>
      <c r="D436" s="9"/>
      <c r="E436" s="72"/>
      <c r="F436" s="381"/>
      <c r="G436" s="114"/>
      <c r="H436" s="114"/>
      <c r="I436" s="9"/>
      <c r="K436" s="147"/>
    </row>
    <row r="437" spans="1:12" x14ac:dyDescent="0.25">
      <c r="A437" s="114"/>
      <c r="B437" s="126" t="s">
        <v>626</v>
      </c>
      <c r="C437" s="135">
        <f>SUBTOTAL(9,C434:C435)</f>
        <v>277329.80000000005</v>
      </c>
      <c r="D437" s="135">
        <f>SUBTOTAL(9,D434:D435)</f>
        <v>18619.68</v>
      </c>
      <c r="E437" s="233"/>
      <c r="F437" s="231"/>
      <c r="G437" s="231"/>
      <c r="H437" s="231"/>
      <c r="I437" s="135">
        <f t="shared" ref="I437:J437" si="152">SUBTOTAL(9,I434:I435)</f>
        <v>11399.300982596147</v>
      </c>
      <c r="J437" s="135">
        <f t="shared" si="152"/>
        <v>-7220.3790174038531</v>
      </c>
      <c r="K437" s="128"/>
    </row>
    <row r="438" spans="1:12" x14ac:dyDescent="0.25">
      <c r="A438" s="114"/>
      <c r="B438" s="126"/>
      <c r="C438" s="134"/>
      <c r="D438" s="134"/>
      <c r="F438" s="382"/>
      <c r="G438" s="381"/>
      <c r="H438" s="381"/>
      <c r="I438" s="134"/>
      <c r="J438" s="134"/>
      <c r="K438" s="128"/>
    </row>
    <row r="439" spans="1:12" x14ac:dyDescent="0.25">
      <c r="A439" s="9"/>
      <c r="B439" s="116" t="s">
        <v>761</v>
      </c>
      <c r="C439" s="136">
        <f>SUBTOTAL(9,C386:C437)</f>
        <v>215779074.54999998</v>
      </c>
      <c r="D439" s="136">
        <f>SUBTOTAL(9,D386:D437)</f>
        <v>16083937.09</v>
      </c>
      <c r="F439" s="231">
        <f>D439/C439</f>
        <v>7.4538910334760261E-2</v>
      </c>
      <c r="G439" s="231">
        <f>I439/C439</f>
        <v>5.3898810205904236E-2</v>
      </c>
      <c r="H439" s="231">
        <f t="shared" ref="H439" si="153">G439/F439</f>
        <v>0.72309629915221907</v>
      </c>
      <c r="I439" s="136">
        <f>SUBTOTAL(9,I386:I437)</f>
        <v>11630235.38557611</v>
      </c>
      <c r="J439" s="136">
        <f>SUBTOTAL(9,J386:J437)</f>
        <v>-4453701.7044238895</v>
      </c>
      <c r="K439" s="128">
        <f>H439*D439-I439</f>
        <v>0</v>
      </c>
    </row>
    <row r="440" spans="1:12" x14ac:dyDescent="0.25">
      <c r="A440" s="9"/>
      <c r="B440" s="116"/>
      <c r="C440" s="138"/>
      <c r="D440" s="138"/>
      <c r="G440" s="9"/>
      <c r="I440" s="138"/>
      <c r="J440" s="138"/>
      <c r="K440" s="147"/>
    </row>
    <row r="441" spans="1:12" x14ac:dyDescent="0.25">
      <c r="A441" s="9"/>
      <c r="B441" s="779" t="s">
        <v>825</v>
      </c>
      <c r="C441" s="137">
        <f>SUM(C87,C165,C300,C359,C380,C439)</f>
        <v>9059147131.2200012</v>
      </c>
      <c r="D441" s="137">
        <f>SUM(D87,D165,D300,D359,D380,D439)</f>
        <v>250591005.08000001</v>
      </c>
      <c r="F441" s="231">
        <f>D441/C441</f>
        <v>2.7661655280595134E-2</v>
      </c>
      <c r="G441" s="231">
        <f>I441/C441</f>
        <v>3.3575458195211377E-2</v>
      </c>
      <c r="H441" s="231">
        <f t="shared" ref="H441" si="154">G441/F441</f>
        <v>1.2137906374230909</v>
      </c>
      <c r="I441" s="137">
        <f>SUM(I87,I165,I300,I359,I380,I439)</f>
        <v>304165015.7885462</v>
      </c>
      <c r="J441" s="137">
        <f>SUM(J87,J165,J300,J359,J380,J439)</f>
        <v>53574010.708546199</v>
      </c>
      <c r="K441" s="128">
        <f>H441*D441-I441</f>
        <v>0</v>
      </c>
    </row>
    <row r="442" spans="1:12" x14ac:dyDescent="0.25">
      <c r="A442" s="208" t="s">
        <v>944</v>
      </c>
      <c r="B442" s="186"/>
      <c r="C442" s="128"/>
      <c r="D442" s="128"/>
      <c r="I442" s="128"/>
      <c r="J442" s="128"/>
      <c r="K442" s="147"/>
    </row>
    <row r="443" spans="1:12" x14ac:dyDescent="0.25">
      <c r="A443" s="20" t="s">
        <v>945</v>
      </c>
      <c r="B443" s="19" t="s">
        <v>94</v>
      </c>
      <c r="C443" s="128"/>
      <c r="D443" s="128">
        <f>-D405</f>
        <v>-808903.53</v>
      </c>
      <c r="I443" s="128">
        <f>-I405</f>
        <v>-470612.64821380866</v>
      </c>
      <c r="J443" s="313">
        <f>I443-D443</f>
        <v>338290.88178619137</v>
      </c>
      <c r="K443" s="147"/>
    </row>
    <row r="444" spans="1:12" x14ac:dyDescent="0.25">
      <c r="A444" s="20" t="s">
        <v>946</v>
      </c>
      <c r="B444" s="19" t="s">
        <v>118</v>
      </c>
      <c r="C444" s="128"/>
      <c r="D444" s="780">
        <f>-D425</f>
        <v>-363063.32999999996</v>
      </c>
      <c r="I444" s="780">
        <f>-I425</f>
        <v>-398325.82473608234</v>
      </c>
      <c r="J444" s="314">
        <f>I444-D444</f>
        <v>-35262.494736082386</v>
      </c>
      <c r="K444" s="147"/>
    </row>
    <row r="445" spans="1:12" x14ac:dyDescent="0.25">
      <c r="A445" s="208"/>
      <c r="B445" s="778" t="s">
        <v>947</v>
      </c>
      <c r="C445" s="128"/>
      <c r="D445" s="56">
        <f>SUM(D441:D444)</f>
        <v>249419038.22</v>
      </c>
      <c r="I445" s="56">
        <f>SUM(I441:I444)</f>
        <v>303296077.31559634</v>
      </c>
      <c r="J445" s="56">
        <f>SUM(J441:J444)</f>
        <v>53877039.095596306</v>
      </c>
      <c r="K445" s="147"/>
    </row>
    <row r="446" spans="1:12" x14ac:dyDescent="0.25">
      <c r="A446" s="9"/>
      <c r="B446" s="116"/>
      <c r="C446" s="128"/>
      <c r="D446" s="128"/>
      <c r="I446" s="128"/>
      <c r="J446" s="128"/>
      <c r="K446" s="147"/>
      <c r="L446" s="143"/>
    </row>
    <row r="447" spans="1:12" x14ac:dyDescent="0.25">
      <c r="A447" s="9"/>
      <c r="B447" s="116"/>
      <c r="C447" s="128"/>
      <c r="D447" s="128"/>
      <c r="I447" s="128"/>
      <c r="J447" s="128"/>
      <c r="K447" s="147"/>
    </row>
    <row r="448" spans="1:12" x14ac:dyDescent="0.25">
      <c r="A448" s="9"/>
      <c r="B448" s="120" t="s">
        <v>439</v>
      </c>
      <c r="C448" s="138"/>
      <c r="D448" s="114"/>
      <c r="K448" s="147"/>
    </row>
    <row r="449" spans="1:14" x14ac:dyDescent="0.25">
      <c r="A449" s="9"/>
      <c r="B449" s="118"/>
      <c r="C449" s="138"/>
      <c r="D449" s="114"/>
      <c r="K449" s="147"/>
    </row>
    <row r="450" spans="1:14" x14ac:dyDescent="0.25">
      <c r="A450" s="114">
        <v>391.1</v>
      </c>
      <c r="B450" s="104" t="s">
        <v>429</v>
      </c>
      <c r="C450" s="138"/>
      <c r="D450" s="114">
        <v>0</v>
      </c>
      <c r="I450" s="137">
        <f>'Elec Study Rpt'!Q422</f>
        <v>382728.72400000005</v>
      </c>
      <c r="J450" s="137">
        <f>I450-D450</f>
        <v>382728.72400000005</v>
      </c>
      <c r="K450" s="147"/>
    </row>
    <row r="451" spans="1:14" x14ac:dyDescent="0.25">
      <c r="A451" s="114">
        <v>391.2</v>
      </c>
      <c r="B451" s="104" t="s">
        <v>620</v>
      </c>
      <c r="C451" s="138"/>
      <c r="D451" s="114">
        <v>0</v>
      </c>
      <c r="I451" s="137">
        <f>'Elec Study Rpt'!Q423</f>
        <v>-4066.6340000010996</v>
      </c>
      <c r="J451" s="137">
        <f t="shared" ref="J451:J456" si="155">I451-D451</f>
        <v>-4066.6340000010996</v>
      </c>
      <c r="K451" s="147"/>
    </row>
    <row r="452" spans="1:14" x14ac:dyDescent="0.25">
      <c r="A452" s="114">
        <v>393</v>
      </c>
      <c r="B452" s="119" t="s">
        <v>455</v>
      </c>
      <c r="C452" s="138"/>
      <c r="D452" s="114">
        <v>0</v>
      </c>
      <c r="I452" s="137">
        <f>'Elec Study Rpt'!Q424</f>
        <v>76885.784</v>
      </c>
      <c r="J452" s="137">
        <f t="shared" si="155"/>
        <v>76885.784</v>
      </c>
      <c r="K452" s="147"/>
    </row>
    <row r="453" spans="1:14" x14ac:dyDescent="0.25">
      <c r="A453" s="114">
        <v>394</v>
      </c>
      <c r="B453" s="119" t="s">
        <v>456</v>
      </c>
      <c r="C453" s="138"/>
      <c r="D453" s="114">
        <v>0</v>
      </c>
      <c r="I453" s="137">
        <f>'Elec Study Rpt'!Q425</f>
        <v>159759.88400000019</v>
      </c>
      <c r="J453" s="137">
        <f t="shared" si="155"/>
        <v>159759.88400000019</v>
      </c>
      <c r="K453" s="147"/>
    </row>
    <row r="454" spans="1:14" x14ac:dyDescent="0.25">
      <c r="A454" s="114">
        <v>395</v>
      </c>
      <c r="B454" s="119" t="s">
        <v>457</v>
      </c>
      <c r="C454" s="138"/>
      <c r="D454" s="114">
        <v>0</v>
      </c>
      <c r="I454" s="137">
        <f>'Elec Study Rpt'!Q426</f>
        <v>630783.6</v>
      </c>
      <c r="J454" s="137">
        <f t="shared" si="155"/>
        <v>630783.6</v>
      </c>
      <c r="K454" s="147"/>
    </row>
    <row r="455" spans="1:14" x14ac:dyDescent="0.25">
      <c r="A455" s="114">
        <v>397</v>
      </c>
      <c r="B455" s="104" t="s">
        <v>460</v>
      </c>
      <c r="C455" s="138"/>
      <c r="D455" s="114">
        <v>0</v>
      </c>
      <c r="I455" s="137">
        <f>'Elec Study Rpt'!Q427</f>
        <v>1529213.7739999942</v>
      </c>
      <c r="J455" s="137">
        <f t="shared" si="155"/>
        <v>1529213.7739999942</v>
      </c>
      <c r="K455" s="147"/>
    </row>
    <row r="456" spans="1:14" x14ac:dyDescent="0.25">
      <c r="A456" s="114">
        <v>398</v>
      </c>
      <c r="B456" s="127" t="s">
        <v>459</v>
      </c>
      <c r="C456" s="138"/>
      <c r="D456" s="114">
        <v>0</v>
      </c>
      <c r="I456" s="137">
        <f>'Elec Study Rpt'!Q428</f>
        <v>25671.46</v>
      </c>
      <c r="J456" s="137">
        <f t="shared" si="155"/>
        <v>25671.46</v>
      </c>
      <c r="K456" s="147"/>
    </row>
    <row r="457" spans="1:14" x14ac:dyDescent="0.25">
      <c r="A457" s="9"/>
      <c r="B457" s="116"/>
      <c r="C457" s="138"/>
      <c r="D457" s="150"/>
      <c r="I457" s="149"/>
      <c r="J457" s="149"/>
      <c r="K457" s="147"/>
      <c r="L457" s="146"/>
      <c r="N457" s="146"/>
    </row>
    <row r="458" spans="1:14" x14ac:dyDescent="0.25">
      <c r="A458" s="9"/>
      <c r="B458" s="116" t="s">
        <v>628</v>
      </c>
      <c r="C458" s="138"/>
      <c r="D458" s="136">
        <f>SUM(D450:D457)</f>
        <v>0</v>
      </c>
      <c r="I458" s="136">
        <f>SUM(I450:I457)</f>
        <v>2800976.5919999932</v>
      </c>
      <c r="J458" s="136">
        <f>SUM(J450:J457)</f>
        <v>2800976.5919999932</v>
      </c>
      <c r="K458" s="147"/>
    </row>
    <row r="459" spans="1:14" x14ac:dyDescent="0.25">
      <c r="A459" s="9"/>
      <c r="B459" s="116"/>
      <c r="C459" s="138"/>
      <c r="D459" s="114"/>
      <c r="K459" s="147"/>
    </row>
    <row r="460" spans="1:14" x14ac:dyDescent="0.25">
      <c r="A460" s="9"/>
      <c r="B460" s="116" t="s">
        <v>834</v>
      </c>
      <c r="C460" s="138"/>
      <c r="D460" s="138">
        <f>D445+D458</f>
        <v>249419038.22</v>
      </c>
      <c r="I460" s="138">
        <f>I445+I458</f>
        <v>306097053.90759635</v>
      </c>
      <c r="J460" s="138">
        <f>J445+J458</f>
        <v>56678015.687596299</v>
      </c>
      <c r="K460" s="147"/>
    </row>
    <row r="461" spans="1:14" x14ac:dyDescent="0.25">
      <c r="A461" s="9"/>
      <c r="B461" s="116"/>
      <c r="C461" s="138"/>
      <c r="D461" s="114"/>
      <c r="K461" s="147"/>
    </row>
    <row r="462" spans="1:14" x14ac:dyDescent="0.25">
      <c r="A462" s="9"/>
      <c r="B462" s="116" t="s">
        <v>442</v>
      </c>
      <c r="C462" s="138"/>
      <c r="D462" s="114"/>
      <c r="K462" s="147"/>
    </row>
    <row r="463" spans="1:14" x14ac:dyDescent="0.25">
      <c r="A463" s="114">
        <v>301</v>
      </c>
      <c r="B463" s="127" t="s">
        <v>715</v>
      </c>
      <c r="C463" s="134">
        <f>'Elec Study Rpt'!K447</f>
        <v>114201.76000000001</v>
      </c>
      <c r="D463" s="114"/>
      <c r="K463" s="147"/>
    </row>
    <row r="464" spans="1:14" x14ac:dyDescent="0.25">
      <c r="A464" s="114">
        <v>302</v>
      </c>
      <c r="B464" s="127" t="s">
        <v>443</v>
      </c>
      <c r="C464" s="134">
        <f>'Elec Study Rpt'!K448</f>
        <v>55290806.07</v>
      </c>
      <c r="D464" s="313">
        <v>1257483.31</v>
      </c>
      <c r="I464" s="143">
        <f>D464</f>
        <v>1257483.31</v>
      </c>
      <c r="J464" s="137">
        <f>I464-D464</f>
        <v>0</v>
      </c>
      <c r="K464" s="147"/>
    </row>
    <row r="465" spans="1:11" x14ac:dyDescent="0.25">
      <c r="A465" s="114">
        <v>303</v>
      </c>
      <c r="B465" s="127" t="s">
        <v>716</v>
      </c>
      <c r="C465" s="134">
        <f>'Elec Study Rpt'!K449</f>
        <v>64531940.289999999</v>
      </c>
      <c r="D465" s="313">
        <v>7891358.2200000007</v>
      </c>
      <c r="I465" s="143">
        <f t="shared" ref="I465:I486" si="156">D465</f>
        <v>7891358.2200000007</v>
      </c>
      <c r="J465" s="137">
        <f>I465-D465</f>
        <v>0</v>
      </c>
      <c r="K465" s="147"/>
    </row>
    <row r="466" spans="1:11" x14ac:dyDescent="0.25">
      <c r="A466" s="114">
        <v>310</v>
      </c>
      <c r="B466" s="127" t="s">
        <v>445</v>
      </c>
      <c r="C466" s="134">
        <f>'Elec Study Rpt'!K450</f>
        <v>3795192.79</v>
      </c>
      <c r="D466" s="114"/>
      <c r="I466" s="143">
        <f t="shared" si="156"/>
        <v>0</v>
      </c>
      <c r="K466" s="147"/>
    </row>
    <row r="467" spans="1:11" x14ac:dyDescent="0.25">
      <c r="A467" s="114">
        <v>317</v>
      </c>
      <c r="B467" s="127" t="s">
        <v>449</v>
      </c>
      <c r="C467" s="134">
        <f>'Elec Study Rpt'!K451</f>
        <v>252964</v>
      </c>
      <c r="D467" s="313">
        <v>5013.4800000000005</v>
      </c>
      <c r="I467" s="143">
        <f t="shared" si="156"/>
        <v>5013.4800000000005</v>
      </c>
      <c r="J467" s="137">
        <f>I467-D467</f>
        <v>0</v>
      </c>
      <c r="K467" s="147"/>
    </row>
    <row r="468" spans="1:11" x14ac:dyDescent="0.25">
      <c r="A468" s="114">
        <v>317.10000000000002</v>
      </c>
      <c r="B468" s="127" t="s">
        <v>449</v>
      </c>
      <c r="C468" s="134">
        <f>'Elec Study Rpt'!K452</f>
        <v>35282326.100000001</v>
      </c>
      <c r="D468" s="313">
        <v>1339186.8400000001</v>
      </c>
      <c r="I468" s="143">
        <f t="shared" si="156"/>
        <v>1339186.8400000001</v>
      </c>
      <c r="J468" s="137">
        <f>I468-D468</f>
        <v>0</v>
      </c>
      <c r="K468" s="147"/>
    </row>
    <row r="469" spans="1:11" x14ac:dyDescent="0.25">
      <c r="A469" s="114">
        <v>330</v>
      </c>
      <c r="B469" s="127" t="s">
        <v>445</v>
      </c>
      <c r="C469" s="134">
        <f>'Elec Study Rpt'!K453</f>
        <v>6106994.79</v>
      </c>
      <c r="D469" s="114"/>
      <c r="I469" s="143">
        <f t="shared" si="156"/>
        <v>0</v>
      </c>
      <c r="K469" s="147"/>
    </row>
    <row r="470" spans="1:11" x14ac:dyDescent="0.25">
      <c r="A470" s="114">
        <v>337</v>
      </c>
      <c r="B470" s="127" t="s">
        <v>449</v>
      </c>
      <c r="C470" s="134">
        <f>'Elec Study Rpt'!K454</f>
        <v>0</v>
      </c>
      <c r="D470" s="114"/>
      <c r="I470" s="143">
        <f t="shared" si="156"/>
        <v>0</v>
      </c>
      <c r="K470" s="147"/>
    </row>
    <row r="471" spans="1:11" x14ac:dyDescent="0.25">
      <c r="A471" s="114">
        <v>340</v>
      </c>
      <c r="B471" s="127" t="s">
        <v>445</v>
      </c>
      <c r="C471" s="134">
        <f>'Elec Study Rpt'!K455</f>
        <v>15794832.1</v>
      </c>
      <c r="D471" s="114"/>
      <c r="I471" s="143">
        <f t="shared" si="156"/>
        <v>0</v>
      </c>
      <c r="K471" s="147"/>
    </row>
    <row r="472" spans="1:11" x14ac:dyDescent="0.25">
      <c r="A472" s="114">
        <v>347</v>
      </c>
      <c r="B472" s="127" t="s">
        <v>449</v>
      </c>
      <c r="C472" s="134">
        <f>'Elec Study Rpt'!K456</f>
        <v>35764902.990000002</v>
      </c>
      <c r="D472" s="313">
        <v>1224653.57</v>
      </c>
      <c r="I472" s="143">
        <f t="shared" si="156"/>
        <v>1224653.57</v>
      </c>
      <c r="J472" s="137">
        <f>I472-D472</f>
        <v>0</v>
      </c>
      <c r="K472" s="147"/>
    </row>
    <row r="473" spans="1:11" x14ac:dyDescent="0.25">
      <c r="A473" s="114">
        <v>350</v>
      </c>
      <c r="B473" s="127" t="s">
        <v>445</v>
      </c>
      <c r="C473" s="134">
        <f>'Elec Study Rpt'!K457</f>
        <v>3261662.87</v>
      </c>
      <c r="D473" s="114"/>
      <c r="I473" s="143">
        <f t="shared" si="156"/>
        <v>0</v>
      </c>
      <c r="K473" s="147"/>
    </row>
    <row r="474" spans="1:11" x14ac:dyDescent="0.25">
      <c r="A474" s="114">
        <v>350.7</v>
      </c>
      <c r="B474" s="127" t="s">
        <v>445</v>
      </c>
      <c r="C474" s="134">
        <f>'Elec Study Rpt'!K458</f>
        <v>11102366.640000001</v>
      </c>
      <c r="D474" s="114"/>
      <c r="I474" s="143">
        <f t="shared" si="156"/>
        <v>0</v>
      </c>
      <c r="K474" s="147"/>
    </row>
    <row r="475" spans="1:11" x14ac:dyDescent="0.25">
      <c r="A475" s="114">
        <v>350.9</v>
      </c>
      <c r="B475" s="127" t="s">
        <v>445</v>
      </c>
      <c r="C475" s="134">
        <f>'Elec Study Rpt'!K459</f>
        <v>1908.0900000000001</v>
      </c>
      <c r="D475" s="114"/>
      <c r="I475" s="143">
        <f t="shared" si="156"/>
        <v>0</v>
      </c>
      <c r="K475" s="147"/>
    </row>
    <row r="476" spans="1:11" x14ac:dyDescent="0.25">
      <c r="A476" s="114">
        <v>359.9</v>
      </c>
      <c r="B476" s="127" t="s">
        <v>449</v>
      </c>
      <c r="C476" s="134">
        <f>'Elec Study Rpt'!K460</f>
        <v>5387661.8399999999</v>
      </c>
      <c r="D476" s="313">
        <v>99569.24</v>
      </c>
      <c r="I476" s="143">
        <f t="shared" si="156"/>
        <v>99569.24</v>
      </c>
      <c r="J476" s="137">
        <f>I476-D476</f>
        <v>0</v>
      </c>
      <c r="K476" s="147"/>
    </row>
    <row r="477" spans="1:11" x14ac:dyDescent="0.25">
      <c r="A477" s="114">
        <v>360</v>
      </c>
      <c r="B477" s="127" t="s">
        <v>445</v>
      </c>
      <c r="C477" s="134">
        <f>'Elec Study Rpt'!K461</f>
        <v>31113740.940000001</v>
      </c>
      <c r="D477" s="114"/>
      <c r="I477" s="143">
        <f t="shared" si="156"/>
        <v>0</v>
      </c>
      <c r="K477" s="147"/>
    </row>
    <row r="478" spans="1:11" x14ac:dyDescent="0.25">
      <c r="A478" s="114">
        <v>374</v>
      </c>
      <c r="B478" s="127" t="s">
        <v>449</v>
      </c>
      <c r="C478" s="134">
        <f>'Elec Study Rpt'!K462</f>
        <v>2696909.52</v>
      </c>
      <c r="D478" s="313">
        <v>53931.159999999989</v>
      </c>
      <c r="I478" s="143">
        <f t="shared" si="156"/>
        <v>53931.159999999989</v>
      </c>
      <c r="J478" s="137">
        <f>I478-D478</f>
        <v>0</v>
      </c>
      <c r="K478" s="147"/>
    </row>
    <row r="479" spans="1:11" x14ac:dyDescent="0.25">
      <c r="A479" s="114">
        <v>389</v>
      </c>
      <c r="B479" s="127" t="s">
        <v>445</v>
      </c>
      <c r="C479" s="134">
        <f>'Elec Study Rpt'!K463</f>
        <v>5316207.63</v>
      </c>
      <c r="D479" s="114"/>
      <c r="I479" s="143">
        <f t="shared" si="156"/>
        <v>0</v>
      </c>
      <c r="K479" s="147"/>
    </row>
    <row r="480" spans="1:11" x14ac:dyDescent="0.25">
      <c r="A480" s="114">
        <v>390.1</v>
      </c>
      <c r="B480" s="127" t="s">
        <v>717</v>
      </c>
      <c r="C480" s="134">
        <f>'Elec Study Rpt'!K464</f>
        <v>184775.85</v>
      </c>
      <c r="D480" s="313">
        <v>6527.26</v>
      </c>
      <c r="I480" s="143">
        <f t="shared" si="156"/>
        <v>6527.26</v>
      </c>
      <c r="J480" s="137">
        <f>I480-D480</f>
        <v>0</v>
      </c>
      <c r="K480" s="147"/>
    </row>
    <row r="481" spans="1:16" x14ac:dyDescent="0.25">
      <c r="A481" s="114"/>
      <c r="B481" s="127"/>
      <c r="C481" s="134"/>
      <c r="D481" s="313"/>
      <c r="I481" s="143"/>
      <c r="J481" s="137"/>
      <c r="K481" s="147"/>
    </row>
    <row r="482" spans="1:16" x14ac:dyDescent="0.25">
      <c r="A482" s="9"/>
      <c r="B482" s="116"/>
      <c r="C482" s="138"/>
      <c r="D482" s="72"/>
      <c r="I482" s="143">
        <f t="shared" si="156"/>
        <v>0</v>
      </c>
      <c r="J482" s="137">
        <f>I482-D482</f>
        <v>0</v>
      </c>
      <c r="K482" s="147"/>
    </row>
    <row r="483" spans="1:16" x14ac:dyDescent="0.25">
      <c r="A483" s="9"/>
      <c r="B483" s="127"/>
      <c r="C483" s="138"/>
      <c r="D483" s="313"/>
      <c r="I483" s="143">
        <f t="shared" si="156"/>
        <v>0</v>
      </c>
      <c r="J483" s="137">
        <f>I483-D483</f>
        <v>0</v>
      </c>
      <c r="K483" s="147"/>
    </row>
    <row r="484" spans="1:16" x14ac:dyDescent="0.25">
      <c r="A484" s="9"/>
      <c r="B484" s="818" t="s">
        <v>819</v>
      </c>
      <c r="C484" s="138"/>
      <c r="D484" s="313"/>
      <c r="I484" s="143">
        <f t="shared" si="156"/>
        <v>0</v>
      </c>
      <c r="J484" s="137">
        <f>I484-D484</f>
        <v>0</v>
      </c>
      <c r="K484" s="147"/>
    </row>
    <row r="485" spans="1:16" x14ac:dyDescent="0.25">
      <c r="A485" s="325" t="s">
        <v>821</v>
      </c>
      <c r="B485" s="9"/>
      <c r="C485" s="313"/>
      <c r="D485" s="313">
        <f>-SUM(D467:D468,D472,D476,D478)</f>
        <v>-2722354.2900000005</v>
      </c>
      <c r="I485" s="143">
        <f t="shared" si="156"/>
        <v>-2722354.2900000005</v>
      </c>
      <c r="J485" s="137">
        <f>I485-D485</f>
        <v>0</v>
      </c>
      <c r="K485" s="147"/>
    </row>
    <row r="486" spans="1:16" x14ac:dyDescent="0.25">
      <c r="A486" s="9"/>
      <c r="B486" s="116" t="s">
        <v>832</v>
      </c>
      <c r="C486" s="662"/>
      <c r="D486" s="381"/>
      <c r="I486" s="383">
        <f t="shared" si="156"/>
        <v>0</v>
      </c>
      <c r="J486" s="384"/>
      <c r="K486" s="147"/>
    </row>
    <row r="487" spans="1:16" x14ac:dyDescent="0.25">
      <c r="A487" s="9"/>
      <c r="B487" s="116" t="s">
        <v>833</v>
      </c>
      <c r="C487" s="138">
        <f>SUM(C463:C486)</f>
        <v>275999394.27000004</v>
      </c>
      <c r="D487" s="401">
        <f>SUM(D464:D486)</f>
        <v>9155368.790000001</v>
      </c>
      <c r="I487" s="316">
        <f>D487</f>
        <v>9155368.790000001</v>
      </c>
      <c r="J487" s="137">
        <f>SUM(J464:J483)</f>
        <v>0</v>
      </c>
      <c r="K487" s="147"/>
    </row>
    <row r="488" spans="1:16" x14ac:dyDescent="0.25">
      <c r="A488" s="9"/>
      <c r="C488" s="662"/>
      <c r="D488" s="381"/>
      <c r="I488" s="384"/>
      <c r="J488" s="384"/>
      <c r="K488" s="147"/>
    </row>
    <row r="489" spans="1:16" x14ac:dyDescent="0.25">
      <c r="A489" s="9"/>
      <c r="B489" s="116"/>
      <c r="C489" s="138"/>
      <c r="D489" s="114"/>
      <c r="K489" s="147"/>
      <c r="L489"/>
      <c r="M489"/>
      <c r="N489"/>
      <c r="O489"/>
      <c r="P489"/>
    </row>
    <row r="490" spans="1:16" x14ac:dyDescent="0.25">
      <c r="A490" s="9"/>
      <c r="C490" s="136"/>
      <c r="D490" s="136"/>
      <c r="I490" s="136"/>
      <c r="J490" s="136"/>
      <c r="K490" s="147"/>
      <c r="L490"/>
      <c r="M490"/>
      <c r="N490"/>
      <c r="O490"/>
      <c r="P490"/>
    </row>
    <row r="491" spans="1:16" ht="13.8" thickBot="1" x14ac:dyDescent="0.3">
      <c r="B491" s="116" t="s">
        <v>629</v>
      </c>
      <c r="C491" s="200">
        <f>C22+C38+C53+C69+C85+C92+C102+C113+C124+C134+C144+C153+C163+C170+C184+C191+C206+C216+C223+C233+C248+C255+C268+C275+C288+C295+C380+C389+C395+C400+C405+C411+C417+C423+C425+C431+C437+C359+C487+C297</f>
        <v>9335146525.4900017</v>
      </c>
      <c r="D491" s="200">
        <f>D22+D38+D53+D69+D85+D92+D102+D113+D124+D134+D144+D153+D163+D170+D184+D191+D206+D216+D223+D233+D248+D255+D268+D275+D288+D295+D380+D389+D395+D400+D405+D411+D417+D423+D425+D431+D437+D359+D487+D297</f>
        <v>259746373.87</v>
      </c>
      <c r="I491" s="200">
        <f t="shared" ref="I491:J491" si="157">I22+I38+I53+I69+I85+I92+I102+I113+I124+I134+I144+I153+I163+I170+I184+I191+I206+I216+I223+I233+I248+I255+I268+I275+I288+I295+I380+I389+I395+I400+I405+I411+I417+I423+I425+I431+I437+I359+I487+I297</f>
        <v>313320384.57854629</v>
      </c>
      <c r="J491" s="200">
        <f t="shared" si="157"/>
        <v>53574010.708546214</v>
      </c>
      <c r="K491" s="147"/>
      <c r="L491"/>
      <c r="M491"/>
      <c r="N491"/>
      <c r="O491"/>
      <c r="P491"/>
    </row>
    <row r="492" spans="1:16" ht="13.8" thickTop="1" x14ac:dyDescent="0.25">
      <c r="C492" s="140">
        <f>C87+C165+C300+C359+C380+C487+C439</f>
        <v>9335146525.4900017</v>
      </c>
      <c r="D492" s="140">
        <f>D87+D165+D300+D359+D380+D487+D439</f>
        <v>259746373.87</v>
      </c>
      <c r="F492" s="128">
        <f>D491-SUM(D482:D485)</f>
        <v>262468728.16</v>
      </c>
      <c r="I492" s="140">
        <f t="shared" ref="I492:J492" si="158">I87+I165+I300+I359+I380+I487+I439</f>
        <v>313320384.57854623</v>
      </c>
      <c r="J492" s="140">
        <f t="shared" si="158"/>
        <v>53574010.708546199</v>
      </c>
      <c r="K492" s="147"/>
      <c r="L492"/>
      <c r="M492"/>
      <c r="N492"/>
      <c r="O492"/>
      <c r="P492"/>
    </row>
    <row r="493" spans="1:16" x14ac:dyDescent="0.25">
      <c r="C493" s="140">
        <f>C491-C492</f>
        <v>0</v>
      </c>
      <c r="D493" s="140">
        <f>D491-D492</f>
        <v>0</v>
      </c>
      <c r="J493" s="206"/>
      <c r="K493" s="147"/>
      <c r="L493"/>
      <c r="M493"/>
      <c r="N493"/>
      <c r="O493"/>
      <c r="P493"/>
    </row>
    <row r="494" spans="1:16" ht="13.8" thickBot="1" x14ac:dyDescent="0.3">
      <c r="A494" s="386"/>
      <c r="B494" s="386"/>
      <c r="C494" s="387"/>
      <c r="D494" s="386"/>
      <c r="E494" s="95"/>
      <c r="F494" s="387"/>
      <c r="G494" s="390"/>
      <c r="K494" s="147"/>
    </row>
    <row r="495" spans="1:16" x14ac:dyDescent="0.25">
      <c r="A495" s="781"/>
      <c r="B495" s="782" t="s">
        <v>948</v>
      </c>
      <c r="C495" s="392"/>
      <c r="D495" s="792"/>
      <c r="E495" s="95"/>
      <c r="F495" s="95"/>
      <c r="G495" s="364"/>
      <c r="I495" s="792"/>
    </row>
    <row r="496" spans="1:16" x14ac:dyDescent="0.25">
      <c r="A496" s="783"/>
      <c r="B496" s="784" t="s">
        <v>949</v>
      </c>
      <c r="D496" s="793" t="s">
        <v>955</v>
      </c>
      <c r="I496" s="793" t="s">
        <v>956</v>
      </c>
    </row>
    <row r="497" spans="1:17" x14ac:dyDescent="0.25">
      <c r="A497" s="785" t="s">
        <v>950</v>
      </c>
      <c r="B497" s="786" t="s">
        <v>951</v>
      </c>
      <c r="D497" s="794">
        <f>D405</f>
        <v>808903.53</v>
      </c>
      <c r="E497" s="128">
        <f>D497*D501</f>
        <v>476581.26835554285</v>
      </c>
      <c r="I497" s="794">
        <f>I405</f>
        <v>470612.64821380866</v>
      </c>
      <c r="J497" s="143">
        <f>I497*I501</f>
        <v>277270.60702763632</v>
      </c>
      <c r="L497" s="143">
        <f>J497-E497</f>
        <v>-199310.66132790654</v>
      </c>
      <c r="M497" s="143"/>
    </row>
    <row r="498" spans="1:17" x14ac:dyDescent="0.25">
      <c r="A498" s="785"/>
      <c r="B498" s="786"/>
      <c r="D498" s="794"/>
      <c r="I498" s="794"/>
    </row>
    <row r="499" spans="1:17" x14ac:dyDescent="0.25">
      <c r="A499" s="785" t="s">
        <v>952</v>
      </c>
      <c r="B499" s="786" t="s">
        <v>953</v>
      </c>
      <c r="D499" s="793">
        <f>D425</f>
        <v>363063.32999999996</v>
      </c>
      <c r="E499" s="128">
        <f>D499*D501</f>
        <v>213905.83164445704</v>
      </c>
      <c r="I499" s="793">
        <f>I425</f>
        <v>398325.82473608234</v>
      </c>
      <c r="J499" s="143">
        <f>I499*I501</f>
        <v>234681.41716663024</v>
      </c>
      <c r="L499" s="143">
        <f>J499-E499</f>
        <v>20775.585522173205</v>
      </c>
      <c r="M499" s="143"/>
    </row>
    <row r="500" spans="1:17" x14ac:dyDescent="0.25">
      <c r="A500" s="787"/>
      <c r="B500" s="786"/>
      <c r="D500" s="795">
        <f>SUM(D497:D499)</f>
        <v>1171966.8599999999</v>
      </c>
      <c r="I500" s="795">
        <f>SUM(I497:I499)</f>
        <v>868938.472949891</v>
      </c>
    </row>
    <row r="501" spans="1:17" x14ac:dyDescent="0.25">
      <c r="A501" s="787"/>
      <c r="B501" s="786" t="s">
        <v>954</v>
      </c>
      <c r="D501" s="796">
        <f>'CC300'!E32</f>
        <v>0.5891694753211707</v>
      </c>
      <c r="F501" s="128" t="s">
        <v>979</v>
      </c>
      <c r="I501" s="796">
        <f>'CC300'!E32</f>
        <v>0.5891694753211707</v>
      </c>
      <c r="J501" s="661" t="s">
        <v>979</v>
      </c>
    </row>
    <row r="502" spans="1:17" ht="13.8" thickBot="1" x14ac:dyDescent="0.3">
      <c r="A502" s="788"/>
      <c r="B502" s="789"/>
      <c r="D502" s="797">
        <f>D500*D501</f>
        <v>690487.09999999986</v>
      </c>
      <c r="I502" s="797">
        <f>I500*I501</f>
        <v>511952.02419426659</v>
      </c>
    </row>
    <row r="504" spans="1:17" ht="26.4" x14ac:dyDescent="0.25">
      <c r="A504" s="813" t="s">
        <v>973</v>
      </c>
      <c r="B504" s="814"/>
      <c r="C504" s="815" t="s">
        <v>974</v>
      </c>
      <c r="D504" s="815" t="s">
        <v>917</v>
      </c>
      <c r="E504" s="814"/>
      <c r="F504" s="815" t="s">
        <v>449</v>
      </c>
      <c r="G504" s="815" t="s">
        <v>975</v>
      </c>
      <c r="H504" s="815" t="s">
        <v>976</v>
      </c>
      <c r="I504" s="814"/>
      <c r="J504" s="814"/>
      <c r="K504" s="189"/>
    </row>
    <row r="505" spans="1:17" x14ac:dyDescent="0.25">
      <c r="A505" s="688">
        <v>311</v>
      </c>
      <c r="B505" s="34" t="s">
        <v>898</v>
      </c>
      <c r="C505" s="146">
        <f>+J22</f>
        <v>4572828.8371977266</v>
      </c>
      <c r="D505" s="812">
        <f>'403.1 Depr'!J14+'403.1 Depr'!J61</f>
        <v>-1347658.8191064608</v>
      </c>
      <c r="F505" s="661">
        <f>'Elec Accretion'!J14+'Elec Accretion'!J62</f>
        <v>-782235.15200323774</v>
      </c>
      <c r="G505" s="146">
        <f>SUM(C505:F505)</f>
        <v>2442934.8660880281</v>
      </c>
      <c r="H505" s="816">
        <f>+G505/2</f>
        <v>1221467.433044014</v>
      </c>
      <c r="P505" s="812"/>
      <c r="Q505" s="812"/>
    </row>
    <row r="506" spans="1:17" x14ac:dyDescent="0.25">
      <c r="A506" s="688">
        <v>312</v>
      </c>
      <c r="B506" s="34" t="s">
        <v>899</v>
      </c>
      <c r="C506" s="146">
        <f>+J38</f>
        <v>14904949.898247031</v>
      </c>
      <c r="D506" s="812"/>
      <c r="F506" s="34"/>
      <c r="G506" s="146">
        <f t="shared" ref="G506:G531" si="159">SUM(C506:F506)</f>
        <v>14904949.898247031</v>
      </c>
      <c r="H506" s="816">
        <f t="shared" ref="H506:H531" si="160">+G506/2</f>
        <v>7452474.9491235157</v>
      </c>
      <c r="P506" s="812"/>
      <c r="Q506" s="812"/>
    </row>
    <row r="507" spans="1:17" x14ac:dyDescent="0.25">
      <c r="A507" s="688">
        <v>314</v>
      </c>
      <c r="B507" s="34" t="s">
        <v>900</v>
      </c>
      <c r="C507" s="146">
        <f>+J53</f>
        <v>5882318.1710066283</v>
      </c>
      <c r="D507" s="812"/>
      <c r="F507" s="34"/>
      <c r="G507" s="146">
        <f t="shared" si="159"/>
        <v>5882318.1710066283</v>
      </c>
      <c r="H507" s="816">
        <f t="shared" si="160"/>
        <v>2941159.0855033142</v>
      </c>
      <c r="P507" s="812"/>
      <c r="Q507" s="812"/>
    </row>
    <row r="508" spans="1:17" x14ac:dyDescent="0.25">
      <c r="A508" s="688">
        <v>315</v>
      </c>
      <c r="B508" s="34" t="s">
        <v>901</v>
      </c>
      <c r="C508" s="146">
        <f>+J69</f>
        <v>1148310.7310165614</v>
      </c>
      <c r="D508" s="812"/>
      <c r="F508" s="34"/>
      <c r="G508" s="146">
        <f t="shared" si="159"/>
        <v>1148310.7310165614</v>
      </c>
      <c r="H508" s="816">
        <f t="shared" si="160"/>
        <v>574155.36550828069</v>
      </c>
      <c r="P508" s="812"/>
      <c r="Q508" s="812"/>
    </row>
    <row r="509" spans="1:17" x14ac:dyDescent="0.25">
      <c r="A509" s="688">
        <v>316</v>
      </c>
      <c r="B509" s="34" t="s">
        <v>902</v>
      </c>
      <c r="C509" s="146">
        <f>+J85</f>
        <v>565426.94158013363</v>
      </c>
      <c r="D509" s="812"/>
      <c r="F509" s="34"/>
      <c r="G509" s="146">
        <f t="shared" si="159"/>
        <v>565426.94158013363</v>
      </c>
      <c r="H509" s="816">
        <f t="shared" si="160"/>
        <v>282713.47079006681</v>
      </c>
      <c r="P509" s="812"/>
      <c r="Q509" s="812"/>
    </row>
    <row r="510" spans="1:17" x14ac:dyDescent="0.25">
      <c r="A510" s="688">
        <v>330.1</v>
      </c>
      <c r="B510" s="34" t="s">
        <v>903</v>
      </c>
      <c r="C510" s="661">
        <f>+J92</f>
        <v>-142.43929240767397</v>
      </c>
      <c r="D510" s="812"/>
      <c r="F510" s="34"/>
      <c r="G510" s="146">
        <f t="shared" si="159"/>
        <v>-142.43929240767397</v>
      </c>
      <c r="H510" s="816">
        <f t="shared" si="160"/>
        <v>-71.219646203836987</v>
      </c>
      <c r="P510" s="812"/>
      <c r="Q510" s="812"/>
    </row>
    <row r="511" spans="1:17" x14ac:dyDescent="0.25">
      <c r="A511" s="688">
        <v>331</v>
      </c>
      <c r="B511" s="34" t="s">
        <v>904</v>
      </c>
      <c r="C511" s="146">
        <f>+J102</f>
        <v>597858.37984730187</v>
      </c>
      <c r="D511" s="812"/>
      <c r="F511" s="34"/>
      <c r="G511" s="146">
        <f t="shared" si="159"/>
        <v>597858.37984730187</v>
      </c>
      <c r="H511" s="816">
        <f t="shared" si="160"/>
        <v>298929.18992365093</v>
      </c>
      <c r="P511" s="812"/>
      <c r="Q511" s="812"/>
    </row>
    <row r="512" spans="1:17" x14ac:dyDescent="0.25">
      <c r="A512" s="688">
        <v>332</v>
      </c>
      <c r="B512" s="34" t="s">
        <v>905</v>
      </c>
      <c r="C512" s="146">
        <f>+J113</f>
        <v>2689429.1419671644</v>
      </c>
      <c r="D512" s="812"/>
      <c r="F512" s="34"/>
      <c r="G512" s="146">
        <f t="shared" si="159"/>
        <v>2689429.1419671644</v>
      </c>
      <c r="H512" s="816">
        <f t="shared" si="160"/>
        <v>1344714.5709835822</v>
      </c>
      <c r="P512" s="812"/>
      <c r="Q512" s="812"/>
    </row>
    <row r="513" spans="1:17" x14ac:dyDescent="0.25">
      <c r="A513" s="688">
        <v>333</v>
      </c>
      <c r="B513" s="34" t="s">
        <v>906</v>
      </c>
      <c r="C513" s="146">
        <f>+J124</f>
        <v>227180.62929024003</v>
      </c>
      <c r="D513" s="812"/>
      <c r="F513" s="34"/>
      <c r="G513" s="146">
        <f t="shared" si="159"/>
        <v>227180.62929024003</v>
      </c>
      <c r="H513" s="816">
        <f t="shared" si="160"/>
        <v>113590.31464512002</v>
      </c>
      <c r="P513" s="812"/>
      <c r="Q513" s="812"/>
    </row>
    <row r="514" spans="1:17" x14ac:dyDescent="0.25">
      <c r="A514" s="688">
        <v>334</v>
      </c>
      <c r="B514" s="34" t="s">
        <v>907</v>
      </c>
      <c r="C514" s="146">
        <f>+J134</f>
        <v>143504.79000858753</v>
      </c>
      <c r="D514" s="812"/>
      <c r="F514" s="34"/>
      <c r="G514" s="146">
        <f t="shared" si="159"/>
        <v>143504.79000858753</v>
      </c>
      <c r="H514" s="816">
        <f t="shared" si="160"/>
        <v>71752.395004293765</v>
      </c>
      <c r="P514" s="812"/>
      <c r="Q514" s="812"/>
    </row>
    <row r="515" spans="1:17" x14ac:dyDescent="0.25">
      <c r="A515" s="688">
        <v>335</v>
      </c>
      <c r="B515" s="34" t="s">
        <v>908</v>
      </c>
      <c r="C515" s="146">
        <f>+J144</f>
        <v>61842.961839753159</v>
      </c>
      <c r="D515" s="812"/>
      <c r="F515" s="34"/>
      <c r="G515" s="146">
        <f t="shared" si="159"/>
        <v>61842.961839753159</v>
      </c>
      <c r="H515" s="816">
        <f t="shared" si="160"/>
        <v>30921.48091987658</v>
      </c>
      <c r="P515" s="812"/>
      <c r="Q515" s="812"/>
    </row>
    <row r="516" spans="1:17" x14ac:dyDescent="0.25">
      <c r="A516" s="688">
        <v>335.1</v>
      </c>
      <c r="B516" s="34" t="s">
        <v>908</v>
      </c>
      <c r="C516" s="146">
        <f>+J153</f>
        <v>9030.5110978723096</v>
      </c>
      <c r="D516" s="812"/>
      <c r="F516" s="34"/>
      <c r="G516" s="146">
        <f t="shared" si="159"/>
        <v>9030.5110978723096</v>
      </c>
      <c r="H516" s="816">
        <f t="shared" si="160"/>
        <v>4515.2555489361548</v>
      </c>
      <c r="P516" s="812"/>
      <c r="Q516" s="812"/>
    </row>
    <row r="517" spans="1:17" x14ac:dyDescent="0.25">
      <c r="A517" s="688">
        <v>336</v>
      </c>
      <c r="B517" s="34" t="s">
        <v>909</v>
      </c>
      <c r="C517" s="146">
        <f>+J163</f>
        <v>5061.42054327406</v>
      </c>
      <c r="D517" s="812"/>
      <c r="F517" s="34"/>
      <c r="G517" s="146">
        <f t="shared" si="159"/>
        <v>5061.42054327406</v>
      </c>
      <c r="H517" s="816">
        <f t="shared" si="160"/>
        <v>2530.71027163703</v>
      </c>
      <c r="P517" s="812"/>
      <c r="Q517" s="812"/>
    </row>
    <row r="518" spans="1:17" x14ac:dyDescent="0.25">
      <c r="A518" s="688">
        <v>340.1</v>
      </c>
      <c r="B518" s="34" t="s">
        <v>910</v>
      </c>
      <c r="C518" s="661">
        <f>+J170</f>
        <v>-5888.6516811757992</v>
      </c>
      <c r="D518" s="812"/>
      <c r="F518" s="34"/>
      <c r="G518" s="146">
        <f t="shared" si="159"/>
        <v>-5888.6516811757992</v>
      </c>
      <c r="H518" s="816">
        <f t="shared" si="160"/>
        <v>-2944.3258405878996</v>
      </c>
      <c r="P518" s="812"/>
      <c r="Q518" s="812"/>
    </row>
    <row r="519" spans="1:17" x14ac:dyDescent="0.25">
      <c r="A519" s="688">
        <v>341</v>
      </c>
      <c r="B519" s="34" t="s">
        <v>911</v>
      </c>
      <c r="C519" s="146">
        <f>+J184</f>
        <v>-437077.45511014177</v>
      </c>
      <c r="D519" s="812">
        <f>'403.1 Depr'!J24+'403.1 Depr'!J67</f>
        <v>-15763.356449525261</v>
      </c>
      <c r="F519" s="661">
        <f>'Elec Accretion'!J24+'Elec Accretion'!J68</f>
        <v>11728.852283926721</v>
      </c>
      <c r="G519" s="146">
        <f t="shared" si="159"/>
        <v>-441111.95927574032</v>
      </c>
      <c r="H519" s="816">
        <f t="shared" si="160"/>
        <v>-220555.97963787016</v>
      </c>
      <c r="P519" s="812"/>
      <c r="Q519" s="812"/>
    </row>
    <row r="520" spans="1:17" x14ac:dyDescent="0.25">
      <c r="A520" s="688">
        <v>341.01</v>
      </c>
      <c r="B520" s="34" t="s">
        <v>911</v>
      </c>
      <c r="C520" s="146">
        <f>+J191</f>
        <v>-299553.87366950669</v>
      </c>
      <c r="D520" s="812">
        <f>'403.1 Depr'!J32</f>
        <v>369578.87044396042</v>
      </c>
      <c r="F520" s="146">
        <f>'Elec Accretion'!J32</f>
        <v>268475.72294708597</v>
      </c>
      <c r="G520" s="146">
        <f t="shared" si="159"/>
        <v>338500.7197215397</v>
      </c>
      <c r="H520" s="816">
        <f t="shared" si="160"/>
        <v>169250.35986076985</v>
      </c>
      <c r="P520" s="812"/>
      <c r="Q520" s="812"/>
    </row>
    <row r="521" spans="1:17" x14ac:dyDescent="0.25">
      <c r="A521" s="688">
        <v>342</v>
      </c>
      <c r="B521" s="113" t="s">
        <v>812</v>
      </c>
      <c r="C521" s="146">
        <f>+J206</f>
        <v>-157014.85946108293</v>
      </c>
      <c r="E521" s="812"/>
      <c r="F521" s="34"/>
      <c r="G521" s="146">
        <f t="shared" si="159"/>
        <v>-157014.85946108293</v>
      </c>
      <c r="H521" s="816">
        <f t="shared" si="160"/>
        <v>-78507.429730541466</v>
      </c>
      <c r="P521" s="812"/>
      <c r="Q521" s="812"/>
    </row>
    <row r="522" spans="1:17" x14ac:dyDescent="0.25">
      <c r="A522" s="688">
        <v>344</v>
      </c>
      <c r="B522" s="34" t="s">
        <v>912</v>
      </c>
      <c r="C522" s="146">
        <f>+J216</f>
        <v>-615164.33506864612</v>
      </c>
      <c r="E522" s="812"/>
      <c r="F522" s="34"/>
      <c r="G522" s="146">
        <f t="shared" si="159"/>
        <v>-615164.33506864612</v>
      </c>
      <c r="H522" s="816">
        <f t="shared" si="160"/>
        <v>-307582.16753432306</v>
      </c>
      <c r="P522" s="812"/>
      <c r="Q522" s="812"/>
    </row>
    <row r="523" spans="1:17" x14ac:dyDescent="0.25">
      <c r="A523" s="688">
        <v>344.01</v>
      </c>
      <c r="B523" s="34" t="s">
        <v>913</v>
      </c>
      <c r="C523" s="146">
        <f>+J223</f>
        <v>3639126.8328789482</v>
      </c>
      <c r="E523" s="812"/>
      <c r="F523" s="34"/>
      <c r="G523" s="146">
        <f t="shared" si="159"/>
        <v>3639126.8328789482</v>
      </c>
      <c r="H523" s="816">
        <f t="shared" si="160"/>
        <v>1819563.4164394741</v>
      </c>
      <c r="P523" s="812"/>
      <c r="Q523" s="812"/>
    </row>
    <row r="524" spans="1:17" x14ac:dyDescent="0.25">
      <c r="A524" s="688">
        <v>344.2</v>
      </c>
      <c r="B524" s="34" t="s">
        <v>913</v>
      </c>
      <c r="C524" s="146">
        <f>+J233</f>
        <v>9495593.5366884172</v>
      </c>
      <c r="E524" s="812"/>
      <c r="F524" s="34"/>
      <c r="G524" s="146">
        <f t="shared" si="159"/>
        <v>9495593.5366884172</v>
      </c>
      <c r="H524" s="816">
        <f t="shared" si="160"/>
        <v>4747796.7683442086</v>
      </c>
      <c r="P524" s="812"/>
      <c r="Q524" s="812"/>
    </row>
    <row r="525" spans="1:17" x14ac:dyDescent="0.25">
      <c r="A525" s="688">
        <v>345</v>
      </c>
      <c r="B525" s="34" t="s">
        <v>913</v>
      </c>
      <c r="C525" s="146">
        <f>+J248</f>
        <v>-31869.980398701213</v>
      </c>
      <c r="E525" s="812"/>
      <c r="F525" s="34"/>
      <c r="G525" s="146">
        <f t="shared" si="159"/>
        <v>-31869.980398701213</v>
      </c>
      <c r="H525" s="816">
        <f t="shared" si="160"/>
        <v>-15934.990199350606</v>
      </c>
      <c r="P525" s="812"/>
      <c r="Q525" s="812"/>
    </row>
    <row r="526" spans="1:17" x14ac:dyDescent="0.25">
      <c r="A526" s="688">
        <v>345.01</v>
      </c>
      <c r="B526" s="34" t="s">
        <v>914</v>
      </c>
      <c r="C526" s="146">
        <f>+J255</f>
        <v>287383.85266013083</v>
      </c>
      <c r="E526" s="812"/>
      <c r="F526" s="34"/>
      <c r="G526" s="146">
        <f t="shared" si="159"/>
        <v>287383.85266013083</v>
      </c>
      <c r="H526" s="816">
        <f t="shared" si="160"/>
        <v>143691.92633006541</v>
      </c>
      <c r="P526" s="812"/>
      <c r="Q526" s="812"/>
    </row>
    <row r="527" spans="1:17" x14ac:dyDescent="0.25">
      <c r="A527" s="688">
        <v>346</v>
      </c>
      <c r="B527" s="34" t="s">
        <v>914</v>
      </c>
      <c r="C527" s="146">
        <f>+J268</f>
        <v>-3568.1420418386551</v>
      </c>
      <c r="E527" s="812"/>
      <c r="F527" s="34"/>
      <c r="G527" s="146">
        <f t="shared" si="159"/>
        <v>-3568.1420418386551</v>
      </c>
      <c r="H527" s="816">
        <f t="shared" si="160"/>
        <v>-1784.0710209193276</v>
      </c>
      <c r="P527" s="812"/>
      <c r="Q527" s="812"/>
    </row>
    <row r="528" spans="1:17" x14ac:dyDescent="0.25">
      <c r="A528" s="688">
        <v>346.01</v>
      </c>
      <c r="B528" s="34" t="s">
        <v>915</v>
      </c>
      <c r="C528" s="146">
        <f>+J275</f>
        <v>17723.361225259792</v>
      </c>
      <c r="E528" s="812"/>
      <c r="F528" s="34"/>
      <c r="G528" s="146">
        <f t="shared" si="159"/>
        <v>17723.361225259792</v>
      </c>
      <c r="H528" s="816">
        <f t="shared" si="160"/>
        <v>8861.6806126298961</v>
      </c>
      <c r="P528" s="812"/>
      <c r="Q528" s="812"/>
    </row>
    <row r="529" spans="1:23" x14ac:dyDescent="0.25">
      <c r="A529" s="688">
        <v>346.1</v>
      </c>
      <c r="B529" s="34" t="s">
        <v>915</v>
      </c>
      <c r="C529" s="146">
        <f>+J288</f>
        <v>201335.54776841117</v>
      </c>
      <c r="E529" s="812"/>
      <c r="F529" s="34"/>
      <c r="G529" s="146">
        <f t="shared" si="159"/>
        <v>201335.54776841117</v>
      </c>
      <c r="H529" s="816">
        <f t="shared" si="160"/>
        <v>100667.77388420558</v>
      </c>
      <c r="P529" s="812"/>
      <c r="Q529" s="812"/>
      <c r="W529" s="687" t="s">
        <v>658</v>
      </c>
    </row>
    <row r="530" spans="1:23" x14ac:dyDescent="0.25">
      <c r="A530" s="688">
        <v>346.11</v>
      </c>
      <c r="B530" s="34" t="s">
        <v>915</v>
      </c>
      <c r="C530" s="146">
        <f>+J295</f>
        <v>32796.054382800787</v>
      </c>
      <c r="E530" s="812"/>
      <c r="F530" s="34"/>
      <c r="G530" s="146">
        <f t="shared" si="159"/>
        <v>32796.054382800787</v>
      </c>
      <c r="H530" s="816">
        <f t="shared" si="160"/>
        <v>16398.027191400393</v>
      </c>
      <c r="P530" s="812"/>
      <c r="Q530" s="812"/>
    </row>
    <row r="531" spans="1:23" x14ac:dyDescent="0.25">
      <c r="A531" s="688">
        <v>348</v>
      </c>
      <c r="B531" s="34" t="s">
        <v>915</v>
      </c>
      <c r="C531" s="146">
        <f>+J297</f>
        <v>-148.38747493819392</v>
      </c>
      <c r="E531" s="812"/>
      <c r="F531" s="34"/>
      <c r="G531" s="146">
        <f t="shared" si="159"/>
        <v>-148.38747493819392</v>
      </c>
      <c r="H531" s="816">
        <f t="shared" si="160"/>
        <v>-74.193737469096959</v>
      </c>
      <c r="P531" s="812"/>
      <c r="Q531" s="812"/>
    </row>
    <row r="532" spans="1:23" ht="13.8" thickBot="1" x14ac:dyDescent="0.3">
      <c r="C532" s="34"/>
      <c r="E532" s="34"/>
      <c r="F532" s="34"/>
      <c r="G532" s="817">
        <f>SUM(G505:G531)</f>
        <v>41435399.593163557</v>
      </c>
      <c r="H532" s="817">
        <f>SUM(H505:H531)</f>
        <v>20717699.796581779</v>
      </c>
      <c r="P532" s="812"/>
      <c r="Q532" s="812"/>
    </row>
    <row r="533" spans="1:23" ht="13.8" thickTop="1" x14ac:dyDescent="0.25">
      <c r="C533" s="34"/>
      <c r="E533" s="34"/>
      <c r="F533" s="34"/>
      <c r="P533" s="812"/>
      <c r="Q533" s="812"/>
    </row>
    <row r="534" spans="1:23" x14ac:dyDescent="0.25">
      <c r="P534" s="812"/>
      <c r="Q534" s="812"/>
    </row>
    <row r="535" spans="1:23" x14ac:dyDescent="0.25">
      <c r="P535" s="812"/>
      <c r="Q535" s="812"/>
    </row>
    <row r="536" spans="1:23" x14ac:dyDescent="0.25">
      <c r="P536" s="812"/>
      <c r="Q536" s="812"/>
    </row>
    <row r="537" spans="1:23" x14ac:dyDescent="0.25">
      <c r="P537" s="812"/>
      <c r="Q537" s="812"/>
    </row>
    <row r="538" spans="1:23" x14ac:dyDescent="0.25">
      <c r="P538" s="812"/>
      <c r="Q538" s="812"/>
    </row>
    <row r="539" spans="1:23" x14ac:dyDescent="0.25">
      <c r="P539" s="812"/>
      <c r="Q539" s="812"/>
    </row>
    <row r="540" spans="1:23" x14ac:dyDescent="0.25">
      <c r="P540" s="812"/>
      <c r="Q540" s="812"/>
    </row>
    <row r="541" spans="1:23" x14ac:dyDescent="0.25">
      <c r="P541" s="812"/>
      <c r="Q541" s="812"/>
    </row>
    <row r="542" spans="1:23" x14ac:dyDescent="0.25">
      <c r="P542" s="812"/>
      <c r="Q542" s="812"/>
    </row>
    <row r="543" spans="1:23" x14ac:dyDescent="0.25">
      <c r="P543" s="812"/>
      <c r="Q543" s="812"/>
    </row>
    <row r="544" spans="1:23" x14ac:dyDescent="0.25">
      <c r="P544" s="812"/>
      <c r="Q544" s="812"/>
    </row>
    <row r="545" spans="16:17" x14ac:dyDescent="0.25">
      <c r="P545" s="812"/>
      <c r="Q545" s="812"/>
    </row>
    <row r="546" spans="16:17" x14ac:dyDescent="0.25">
      <c r="P546" s="812"/>
      <c r="Q546" s="812"/>
    </row>
    <row r="547" spans="16:17" x14ac:dyDescent="0.25">
      <c r="P547" s="812"/>
      <c r="Q547" s="812"/>
    </row>
    <row r="548" spans="16:17" x14ac:dyDescent="0.25">
      <c r="P548" s="812">
        <v>623.54537964277552</v>
      </c>
      <c r="Q548" s="812">
        <v>1084.1756509962433</v>
      </c>
    </row>
  </sheetData>
  <autoFilter ref="A3:O480"/>
  <mergeCells count="1">
    <mergeCell ref="A5:J5"/>
  </mergeCells>
  <printOptions horizontalCentered="1"/>
  <pageMargins left="0.45" right="0.45" top="0.75" bottom="0.75" header="0.3" footer="0.3"/>
  <pageSetup scale="53" fitToWidth="0" fitToHeight="0" orientation="landscape" r:id="rId1"/>
  <headerFooter>
    <oddFooter>&amp;RPage &amp;P of &amp;N</oddFooter>
  </headerFooter>
  <rowBreaks count="2" manualBreakCount="2">
    <brk id="429" max="9" man="1"/>
    <brk id="50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1"/>
  <sheetViews>
    <sheetView zoomScale="70" zoomScaleNormal="70" workbookViewId="0">
      <pane xSplit="2" ySplit="12" topLeftCell="C400" activePane="bottomRight" state="frozen"/>
      <selection pane="topRight"/>
      <selection pane="bottomLeft"/>
      <selection pane="bottomRight" activeCell="Q428" sqref="Q428"/>
    </sheetView>
  </sheetViews>
  <sheetFormatPr defaultColWidth="12" defaultRowHeight="15" outlineLevelCol="1" x14ac:dyDescent="0.25"/>
  <cols>
    <col min="1" max="1" width="7.88671875" style="408" customWidth="1"/>
    <col min="2" max="2" width="2.44140625" style="408" customWidth="1"/>
    <col min="3" max="3" width="45" style="408" customWidth="1"/>
    <col min="4" max="4" width="2.6640625" style="408" customWidth="1"/>
    <col min="5" max="5" width="15.6640625" style="434" customWidth="1"/>
    <col min="6" max="6" width="2.6640625" style="408" customWidth="1"/>
    <col min="7" max="7" width="15.33203125" style="408" customWidth="1"/>
    <col min="8" max="8" width="2" style="408" bestFit="1" customWidth="1"/>
    <col min="9" max="9" width="12" style="435" bestFit="1" customWidth="1"/>
    <col min="10" max="10" width="2.44140625" style="408" customWidth="1"/>
    <col min="11" max="11" width="19.88671875" style="408" customWidth="1"/>
    <col min="12" max="12" width="1.44140625" style="408" customWidth="1"/>
    <col min="13" max="13" width="17.88671875" style="415" bestFit="1" customWidth="1"/>
    <col min="14" max="14" width="1.44140625" style="415" customWidth="1"/>
    <col min="15" max="15" width="16.6640625" style="415" bestFit="1" customWidth="1"/>
    <col min="16" max="16" width="1.5546875" style="415" customWidth="1"/>
    <col min="17" max="17" width="14.6640625" style="415" bestFit="1" customWidth="1"/>
    <col min="18" max="18" width="1.88671875" style="408" customWidth="1"/>
    <col min="19" max="19" width="11.6640625" style="408" customWidth="1"/>
    <col min="20" max="20" width="2.109375" style="408" customWidth="1"/>
    <col min="21" max="21" width="14.33203125" style="408" bestFit="1" customWidth="1"/>
    <col min="22" max="22" width="12" style="844" hidden="1" customWidth="1" outlineLevel="1"/>
    <col min="23" max="23" width="6.44140625" style="408" hidden="1" customWidth="1" outlineLevel="1"/>
    <col min="24" max="24" width="3.33203125" style="408" customWidth="1" collapsed="1"/>
    <col min="26" max="26" width="14.88671875" style="415" bestFit="1" customWidth="1"/>
    <col min="27" max="27" width="12.6640625" style="408" bestFit="1" customWidth="1"/>
    <col min="28" max="28" width="15.109375" style="408" bestFit="1" customWidth="1"/>
    <col min="29" max="29" width="13.5546875" style="408" bestFit="1" customWidth="1"/>
    <col min="30" max="16384" width="12" style="408"/>
  </cols>
  <sheetData>
    <row r="1" spans="1:28" ht="15.6" x14ac:dyDescent="0.3">
      <c r="A1" s="406" t="s">
        <v>659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842"/>
      <c r="Z1" s="406"/>
      <c r="AA1" s="406"/>
    </row>
    <row r="2" spans="1:28" ht="15.6" x14ac:dyDescent="0.3">
      <c r="A2" s="406" t="s">
        <v>122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842"/>
      <c r="Z2" s="406"/>
      <c r="AA2" s="406"/>
    </row>
    <row r="3" spans="1:28" ht="15.6" x14ac:dyDescent="0.3">
      <c r="A3" s="691"/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842"/>
      <c r="Z3" s="691"/>
      <c r="AA3" s="691"/>
    </row>
    <row r="4" spans="1:28" ht="15.6" x14ac:dyDescent="0.3">
      <c r="A4" s="691"/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842"/>
      <c r="Z4" s="691"/>
      <c r="AA4" s="691"/>
    </row>
    <row r="5" spans="1:28" ht="15.6" x14ac:dyDescent="0.3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842"/>
      <c r="Z5" s="406"/>
      <c r="AA5" s="406"/>
    </row>
    <row r="6" spans="1:28" ht="15.6" x14ac:dyDescent="0.3">
      <c r="A6" s="406" t="s">
        <v>660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842"/>
      <c r="Z6" s="406"/>
      <c r="AA6" s="406"/>
    </row>
    <row r="7" spans="1:28" ht="15.6" x14ac:dyDescent="0.3">
      <c r="A7" s="406" t="s">
        <v>842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842"/>
      <c r="Y7" s="406" t="s">
        <v>896</v>
      </c>
      <c r="Z7" s="414"/>
      <c r="AA7" s="406"/>
      <c r="AB7" s="668"/>
    </row>
    <row r="8" spans="1:28" ht="15.75" customHeight="1" x14ac:dyDescent="0.3">
      <c r="A8" s="409"/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842"/>
      <c r="Y8" s="669" t="s">
        <v>897</v>
      </c>
      <c r="Z8" s="670"/>
      <c r="AA8" s="669"/>
      <c r="AB8" s="671"/>
    </row>
    <row r="9" spans="1:28" ht="15.6" x14ac:dyDescent="0.3">
      <c r="A9" s="410"/>
      <c r="B9" s="411"/>
      <c r="C9" s="411"/>
      <c r="D9" s="411"/>
      <c r="E9" s="412"/>
      <c r="F9" s="411"/>
      <c r="G9" s="411"/>
      <c r="H9" s="411"/>
      <c r="I9" s="413"/>
      <c r="J9" s="411"/>
      <c r="K9" s="411"/>
      <c r="L9" s="411"/>
      <c r="M9" s="414"/>
      <c r="N9" s="414"/>
      <c r="O9" s="414"/>
      <c r="P9" s="414"/>
      <c r="V9" s="842"/>
    </row>
    <row r="10" spans="1:28" ht="15.6" x14ac:dyDescent="0.3">
      <c r="A10" s="407"/>
      <c r="B10" s="416"/>
      <c r="C10" s="417"/>
      <c r="D10" s="418"/>
      <c r="E10" s="419" t="s">
        <v>661</v>
      </c>
      <c r="F10" s="418"/>
      <c r="G10" s="418"/>
      <c r="H10" s="418"/>
      <c r="I10" s="420" t="s">
        <v>662</v>
      </c>
      <c r="J10" s="418"/>
      <c r="K10" s="418" t="s">
        <v>663</v>
      </c>
      <c r="L10" s="418"/>
      <c r="M10" s="421" t="s">
        <v>664</v>
      </c>
      <c r="N10" s="421"/>
      <c r="O10" s="421"/>
      <c r="P10" s="421"/>
      <c r="Q10" s="422" t="s">
        <v>665</v>
      </c>
      <c r="R10" s="423"/>
      <c r="S10" s="423"/>
      <c r="T10" s="424"/>
      <c r="U10" s="418" t="s">
        <v>666</v>
      </c>
      <c r="V10" s="842"/>
      <c r="Y10" s="420" t="s">
        <v>662</v>
      </c>
      <c r="Z10" s="422" t="s">
        <v>665</v>
      </c>
      <c r="AA10" s="423"/>
      <c r="AB10" s="418" t="s">
        <v>666</v>
      </c>
    </row>
    <row r="11" spans="1:28" ht="15.6" x14ac:dyDescent="0.3">
      <c r="A11" s="407"/>
      <c r="B11" s="416"/>
      <c r="C11" s="418"/>
      <c r="D11" s="418"/>
      <c r="E11" s="419" t="s">
        <v>667</v>
      </c>
      <c r="F11" s="418"/>
      <c r="G11" s="418" t="s">
        <v>668</v>
      </c>
      <c r="H11" s="418"/>
      <c r="I11" s="420" t="s">
        <v>669</v>
      </c>
      <c r="J11" s="418"/>
      <c r="K11" s="418" t="s">
        <v>670</v>
      </c>
      <c r="L11" s="418"/>
      <c r="M11" s="421" t="s">
        <v>164</v>
      </c>
      <c r="N11" s="421"/>
      <c r="O11" s="421" t="s">
        <v>671</v>
      </c>
      <c r="P11" s="421"/>
      <c r="Q11" s="425" t="s">
        <v>672</v>
      </c>
      <c r="R11" s="426"/>
      <c r="S11" s="427" t="s">
        <v>673</v>
      </c>
      <c r="T11" s="424"/>
      <c r="U11" s="418" t="s">
        <v>674</v>
      </c>
      <c r="V11" s="842"/>
      <c r="Y11" s="420" t="s">
        <v>669</v>
      </c>
      <c r="Z11" s="425" t="s">
        <v>672</v>
      </c>
      <c r="AA11" s="427" t="s">
        <v>673</v>
      </c>
      <c r="AB11" s="418" t="s">
        <v>674</v>
      </c>
    </row>
    <row r="12" spans="1:28" ht="15.6" x14ac:dyDescent="0.3">
      <c r="A12" s="407"/>
      <c r="B12" s="416"/>
      <c r="C12" s="418" t="s">
        <v>129</v>
      </c>
      <c r="D12" s="418"/>
      <c r="E12" s="428" t="s">
        <v>675</v>
      </c>
      <c r="F12" s="418"/>
      <c r="G12" s="418" t="s">
        <v>676</v>
      </c>
      <c r="H12" s="418"/>
      <c r="I12" s="420" t="s">
        <v>677</v>
      </c>
      <c r="J12" s="418"/>
      <c r="K12" s="429" t="s">
        <v>843</v>
      </c>
      <c r="L12" s="418"/>
      <c r="M12" s="421" t="s">
        <v>678</v>
      </c>
      <c r="N12" s="421"/>
      <c r="O12" s="421" t="s">
        <v>679</v>
      </c>
      <c r="P12" s="421"/>
      <c r="Q12" s="421" t="s">
        <v>633</v>
      </c>
      <c r="R12" s="418"/>
      <c r="S12" s="417" t="s">
        <v>135</v>
      </c>
      <c r="T12" s="424"/>
      <c r="U12" s="418" t="s">
        <v>680</v>
      </c>
      <c r="V12" s="842"/>
      <c r="Y12" s="420" t="s">
        <v>677</v>
      </c>
      <c r="Z12" s="421" t="s">
        <v>633</v>
      </c>
      <c r="AA12" s="417" t="s">
        <v>135</v>
      </c>
      <c r="AB12" s="418" t="s">
        <v>680</v>
      </c>
    </row>
    <row r="13" spans="1:28" ht="15.6" x14ac:dyDescent="0.3">
      <c r="A13" s="407"/>
      <c r="B13" s="416"/>
      <c r="C13" s="425">
        <v>-1</v>
      </c>
      <c r="D13" s="430"/>
      <c r="E13" s="425">
        <v>-2</v>
      </c>
      <c r="F13" s="430"/>
      <c r="G13" s="431">
        <v>-3</v>
      </c>
      <c r="H13" s="430"/>
      <c r="I13" s="425">
        <v>-4</v>
      </c>
      <c r="J13" s="430"/>
      <c r="K13" s="425">
        <v>-5</v>
      </c>
      <c r="L13" s="421"/>
      <c r="M13" s="425">
        <v>-6</v>
      </c>
      <c r="N13" s="421"/>
      <c r="O13" s="425">
        <v>-7</v>
      </c>
      <c r="Q13" s="425">
        <v>-8</v>
      </c>
      <c r="R13" s="430"/>
      <c r="S13" s="432" t="s">
        <v>681</v>
      </c>
      <c r="U13" s="432" t="s">
        <v>682</v>
      </c>
      <c r="V13" s="842"/>
      <c r="Y13" s="425">
        <v>-4</v>
      </c>
      <c r="Z13" s="425">
        <v>-8</v>
      </c>
      <c r="AA13" s="432" t="s">
        <v>681</v>
      </c>
    </row>
    <row r="14" spans="1:28" ht="15.6" x14ac:dyDescent="0.3">
      <c r="A14" s="407"/>
      <c r="B14" s="700"/>
      <c r="C14" s="839"/>
      <c r="D14" s="714"/>
      <c r="E14" s="839"/>
      <c r="F14" s="714"/>
      <c r="G14" s="840"/>
      <c r="H14" s="714"/>
      <c r="I14" s="839"/>
      <c r="J14" s="714"/>
      <c r="K14" s="839"/>
      <c r="L14" s="705"/>
      <c r="M14" s="839"/>
      <c r="N14" s="705"/>
      <c r="O14" s="839"/>
      <c r="Q14" s="839"/>
      <c r="R14" s="714"/>
      <c r="S14" s="841"/>
      <c r="U14" s="841"/>
      <c r="V14" s="842"/>
      <c r="Y14" s="839"/>
      <c r="Z14" s="839"/>
      <c r="AA14" s="841"/>
    </row>
    <row r="15" spans="1:28" ht="15.6" x14ac:dyDescent="0.3">
      <c r="A15" s="407"/>
      <c r="B15" s="700"/>
      <c r="C15" s="839"/>
      <c r="D15" s="714"/>
      <c r="E15" s="839"/>
      <c r="F15" s="714"/>
      <c r="G15" s="840"/>
      <c r="H15" s="714"/>
      <c r="I15" s="839"/>
      <c r="J15" s="714"/>
      <c r="K15" s="839"/>
      <c r="L15" s="705"/>
      <c r="M15" s="839"/>
      <c r="N15" s="705"/>
      <c r="O15" s="839"/>
      <c r="Q15" s="839"/>
      <c r="R15" s="714"/>
      <c r="S15" s="841"/>
      <c r="U15" s="841"/>
      <c r="V15" s="842"/>
      <c r="Y15" s="839"/>
      <c r="Z15" s="839"/>
      <c r="AA15" s="841"/>
    </row>
    <row r="16" spans="1:28" ht="15.6" x14ac:dyDescent="0.3">
      <c r="A16" s="407"/>
      <c r="B16" s="700"/>
      <c r="C16" s="839"/>
      <c r="D16" s="714"/>
      <c r="E16" s="839"/>
      <c r="F16" s="714"/>
      <c r="G16" s="840"/>
      <c r="H16" s="714"/>
      <c r="I16" s="839"/>
      <c r="J16" s="714"/>
      <c r="K16" s="839"/>
      <c r="L16" s="705"/>
      <c r="M16" s="839"/>
      <c r="N16" s="705"/>
      <c r="O16" s="839"/>
      <c r="Q16" s="839"/>
      <c r="R16" s="714"/>
      <c r="S16" s="841"/>
      <c r="U16" s="841"/>
      <c r="V16" s="842"/>
      <c r="Y16" s="839"/>
      <c r="Z16" s="839"/>
      <c r="AA16" s="841"/>
    </row>
    <row r="17" spans="1:28" ht="15.6" x14ac:dyDescent="0.3">
      <c r="A17" s="407"/>
      <c r="B17" s="700"/>
      <c r="C17" s="839"/>
      <c r="D17" s="714"/>
      <c r="E17" s="839"/>
      <c r="F17" s="714"/>
      <c r="G17" s="840"/>
      <c r="H17" s="714"/>
      <c r="I17" s="839"/>
      <c r="J17" s="714"/>
      <c r="K17" s="839"/>
      <c r="L17" s="705"/>
      <c r="M17" s="839"/>
      <c r="N17" s="705"/>
      <c r="O17" s="839"/>
      <c r="Q17" s="839"/>
      <c r="R17" s="714"/>
      <c r="S17" s="841"/>
      <c r="U17" s="841"/>
      <c r="V17" s="842"/>
      <c r="Y17" s="839"/>
      <c r="Z17" s="839"/>
      <c r="AA17" s="841"/>
    </row>
    <row r="18" spans="1:28" ht="15.6" x14ac:dyDescent="0.3">
      <c r="A18" s="407"/>
      <c r="B18" s="416"/>
      <c r="C18" s="430"/>
      <c r="D18" s="430"/>
      <c r="E18" s="430"/>
      <c r="F18" s="430"/>
      <c r="G18" s="430"/>
      <c r="H18" s="430"/>
      <c r="I18" s="420"/>
      <c r="J18" s="430"/>
      <c r="K18" s="430"/>
      <c r="L18" s="430"/>
      <c r="M18" s="421"/>
      <c r="N18" s="421"/>
      <c r="O18" s="421"/>
      <c r="P18" s="421"/>
      <c r="Q18" s="421"/>
      <c r="R18" s="430"/>
      <c r="S18" s="430"/>
      <c r="U18" s="430"/>
      <c r="V18" s="842"/>
      <c r="Y18" s="420"/>
      <c r="Z18" s="421"/>
      <c r="AA18" s="430"/>
    </row>
    <row r="19" spans="1:28" ht="15.6" x14ac:dyDescent="0.3">
      <c r="A19" s="407"/>
      <c r="C19" s="433" t="s">
        <v>683</v>
      </c>
      <c r="M19" s="436"/>
      <c r="N19" s="436"/>
      <c r="O19" s="436"/>
      <c r="P19" s="436"/>
      <c r="Q19" s="436"/>
      <c r="V19" s="842"/>
      <c r="Y19" s="435"/>
      <c r="Z19" s="436"/>
    </row>
    <row r="20" spans="1:28" x14ac:dyDescent="0.25">
      <c r="A20" s="407"/>
      <c r="M20" s="436"/>
      <c r="N20" s="436"/>
      <c r="O20" s="436"/>
      <c r="P20" s="436"/>
      <c r="Q20" s="436"/>
      <c r="V20" s="842"/>
      <c r="Y20" s="435"/>
      <c r="Z20" s="436"/>
    </row>
    <row r="21" spans="1:28" ht="15.6" x14ac:dyDescent="0.3">
      <c r="A21" s="407"/>
      <c r="C21" s="417" t="s">
        <v>461</v>
      </c>
      <c r="M21" s="436"/>
      <c r="N21" s="436"/>
      <c r="O21" s="436"/>
      <c r="P21" s="436"/>
      <c r="Q21" s="436"/>
      <c r="S21" s="437"/>
      <c r="U21" s="438"/>
      <c r="V21" s="842"/>
      <c r="Y21" s="435"/>
      <c r="Z21" s="436"/>
      <c r="AA21" s="437"/>
    </row>
    <row r="22" spans="1:28" ht="15.6" x14ac:dyDescent="0.3">
      <c r="A22" s="407"/>
      <c r="C22" s="427"/>
      <c r="M22" s="436"/>
      <c r="N22" s="436"/>
      <c r="O22" s="436"/>
      <c r="P22" s="436"/>
      <c r="Q22" s="436"/>
      <c r="S22" s="437"/>
      <c r="U22" s="438"/>
      <c r="V22" s="842"/>
      <c r="Y22" s="435"/>
      <c r="Z22" s="436"/>
      <c r="AA22" s="437"/>
    </row>
    <row r="23" spans="1:28" s="444" customFormat="1" x14ac:dyDescent="0.25">
      <c r="A23" s="439">
        <v>311</v>
      </c>
      <c r="B23" s="440"/>
      <c r="C23" s="440" t="s">
        <v>2</v>
      </c>
      <c r="D23" s="440"/>
      <c r="E23" s="441"/>
      <c r="F23" s="440"/>
      <c r="G23" s="440"/>
      <c r="H23" s="440"/>
      <c r="I23" s="442"/>
      <c r="J23" s="440"/>
      <c r="K23" s="440"/>
      <c r="L23" s="440"/>
      <c r="M23" s="443"/>
      <c r="N23" s="443"/>
      <c r="O23" s="443"/>
      <c r="P23" s="443"/>
      <c r="Q23" s="443"/>
      <c r="V23" s="843"/>
      <c r="Y23" s="442"/>
    </row>
    <row r="24" spans="1:28" s="444" customFormat="1" x14ac:dyDescent="0.25">
      <c r="A24" s="672"/>
      <c r="B24" s="673"/>
      <c r="C24" s="674" t="s">
        <v>462</v>
      </c>
      <c r="D24" s="673"/>
      <c r="E24" s="675">
        <v>44742</v>
      </c>
      <c r="F24" s="673"/>
      <c r="G24" s="676" t="s">
        <v>684</v>
      </c>
      <c r="H24" s="676" t="s">
        <v>685</v>
      </c>
      <c r="I24" s="677">
        <v>0</v>
      </c>
      <c r="J24" s="673"/>
      <c r="K24" s="678">
        <v>9209467.8399999999</v>
      </c>
      <c r="L24" s="679"/>
      <c r="M24" s="680">
        <v>5369107.8200000003</v>
      </c>
      <c r="N24" s="680"/>
      <c r="O24" s="678">
        <f>K24*(1-(I24/100))-M24</f>
        <v>3840360.0199999996</v>
      </c>
      <c r="P24" s="680"/>
      <c r="Q24" s="914">
        <f>'Col 1&amp;2 $18.5M'!K3</f>
        <v>532662.70825186267</v>
      </c>
      <c r="R24" s="681"/>
      <c r="S24" s="682">
        <f>Q24/K24*100</f>
        <v>5.7838598006533966</v>
      </c>
      <c r="T24" s="681"/>
      <c r="U24" s="683">
        <v>5.7</v>
      </c>
      <c r="V24" s="843">
        <f>Q24/K24</f>
        <v>5.7838598006533966E-2</v>
      </c>
      <c r="W24" s="684">
        <f>S24/100-V24</f>
        <v>0</v>
      </c>
      <c r="X24" s="684"/>
      <c r="Y24" s="677">
        <v>-11</v>
      </c>
      <c r="Z24" s="680">
        <f>(K24*(1-(Y24/100))-M24)/AB24</f>
        <v>851275.99999995716</v>
      </c>
      <c r="AA24" s="682">
        <f>Z24/K24*100</f>
        <v>9.2434874065422346</v>
      </c>
      <c r="AB24" s="683">
        <v>5.7013254013977184</v>
      </c>
    </row>
    <row r="25" spans="1:28" s="444" customFormat="1" x14ac:dyDescent="0.25">
      <c r="A25" s="672"/>
      <c r="B25" s="673"/>
      <c r="C25" s="674" t="s">
        <v>463</v>
      </c>
      <c r="D25" s="673"/>
      <c r="E25" s="675">
        <v>44742</v>
      </c>
      <c r="F25" s="673"/>
      <c r="G25" s="676" t="s">
        <v>684</v>
      </c>
      <c r="H25" s="676" t="s">
        <v>685</v>
      </c>
      <c r="I25" s="677">
        <v>0</v>
      </c>
      <c r="J25" s="673"/>
      <c r="K25" s="678">
        <v>4336957.28</v>
      </c>
      <c r="L25" s="679"/>
      <c r="M25" s="680">
        <v>1063478.6000000001</v>
      </c>
      <c r="N25" s="680"/>
      <c r="O25" s="678">
        <f>K25*(1-(I25/100))-M25</f>
        <v>3273478.68</v>
      </c>
      <c r="P25" s="680"/>
      <c r="Q25" s="914">
        <f>'Col 1&amp;2 $18.5M'!K12</f>
        <v>256296.64887833167</v>
      </c>
      <c r="R25" s="681"/>
      <c r="S25" s="682">
        <f>Q25/K25*100</f>
        <v>5.9095958832762969</v>
      </c>
      <c r="T25" s="681"/>
      <c r="U25" s="683">
        <v>5.7</v>
      </c>
      <c r="V25" s="843">
        <f t="shared" ref="V25:V36" si="0">Q25/K25</f>
        <v>5.9095958832762967E-2</v>
      </c>
      <c r="W25" s="684">
        <f t="shared" ref="W25:W88" si="1">S25/100-V25</f>
        <v>0</v>
      </c>
      <c r="X25" s="684"/>
      <c r="Y25" s="677">
        <v>-11</v>
      </c>
      <c r="Z25" s="680">
        <f>(K25*(1-(Y25/100))-M25)/AB25</f>
        <v>655912.99999793409</v>
      </c>
      <c r="AA25" s="682">
        <f>Z25/K25*100</f>
        <v>15.123805877053373</v>
      </c>
      <c r="AB25" s="683">
        <v>5.7180509927563765</v>
      </c>
    </row>
    <row r="26" spans="1:28" s="444" customFormat="1" x14ac:dyDescent="0.25">
      <c r="A26" s="439"/>
      <c r="B26" s="440"/>
      <c r="C26" s="446" t="s">
        <v>464</v>
      </c>
      <c r="D26" s="440"/>
      <c r="E26" s="447">
        <v>49490</v>
      </c>
      <c r="F26" s="440"/>
      <c r="G26" s="448" t="s">
        <v>684</v>
      </c>
      <c r="H26" s="448" t="s">
        <v>685</v>
      </c>
      <c r="I26" s="449">
        <v>-13</v>
      </c>
      <c r="J26" s="440"/>
      <c r="K26" s="209">
        <v>29664979.16</v>
      </c>
      <c r="L26" s="210"/>
      <c r="M26" s="211">
        <v>21454594.690000001</v>
      </c>
      <c r="N26" s="211"/>
      <c r="O26" s="211">
        <v>12066832</v>
      </c>
      <c r="P26" s="211"/>
      <c r="Q26" s="211">
        <f>O26/U26</f>
        <v>997258.84297520667</v>
      </c>
      <c r="S26" s="450">
        <v>2.25</v>
      </c>
      <c r="U26" s="915">
        <f>AB26</f>
        <v>12.1</v>
      </c>
      <c r="V26" s="843">
        <f t="shared" si="0"/>
        <v>3.3617378849195412E-2</v>
      </c>
      <c r="W26" s="685">
        <f t="shared" si="1"/>
        <v>-1.1117378849195413E-2</v>
      </c>
      <c r="X26" s="685"/>
      <c r="Y26" s="449">
        <v>-13</v>
      </c>
      <c r="Z26" s="211">
        <v>666220</v>
      </c>
      <c r="AA26" s="450">
        <v>2.25</v>
      </c>
      <c r="AB26" s="915">
        <v>12.1</v>
      </c>
    </row>
    <row r="27" spans="1:28" s="444" customFormat="1" x14ac:dyDescent="0.25">
      <c r="A27" s="439"/>
      <c r="B27" s="440"/>
      <c r="C27" s="446" t="s">
        <v>465</v>
      </c>
      <c r="D27" s="440"/>
      <c r="E27" s="447">
        <v>49490</v>
      </c>
      <c r="F27" s="440"/>
      <c r="G27" s="448" t="s">
        <v>684</v>
      </c>
      <c r="H27" s="448" t="s">
        <v>685</v>
      </c>
      <c r="I27" s="449">
        <v>-13</v>
      </c>
      <c r="J27" s="440"/>
      <c r="K27" s="209">
        <v>27862834.57</v>
      </c>
      <c r="L27" s="210"/>
      <c r="M27" s="211">
        <v>19334080.890000001</v>
      </c>
      <c r="N27" s="211"/>
      <c r="O27" s="211">
        <v>12150922</v>
      </c>
      <c r="P27" s="211"/>
      <c r="Q27" s="443">
        <f>O27/U27</f>
        <v>1004208.4297520661</v>
      </c>
      <c r="S27" s="450">
        <v>2.4</v>
      </c>
      <c r="U27" s="915">
        <f>AB27</f>
        <v>12.1</v>
      </c>
      <c r="V27" s="843">
        <f t="shared" si="0"/>
        <v>3.6041143883950001E-2</v>
      </c>
      <c r="W27" s="685">
        <f t="shared" si="1"/>
        <v>-1.2041143883950001E-2</v>
      </c>
      <c r="X27" s="685"/>
      <c r="Y27" s="449">
        <v>-13</v>
      </c>
      <c r="Z27" s="211">
        <v>669654</v>
      </c>
      <c r="AA27" s="450">
        <v>2.4</v>
      </c>
      <c r="AB27" s="915">
        <v>12.1</v>
      </c>
    </row>
    <row r="28" spans="1:28" s="444" customFormat="1" x14ac:dyDescent="0.25">
      <c r="A28" s="672"/>
      <c r="B28" s="673"/>
      <c r="C28" s="674" t="s">
        <v>466</v>
      </c>
      <c r="D28" s="673"/>
      <c r="E28" s="675">
        <v>44742</v>
      </c>
      <c r="F28" s="673"/>
      <c r="G28" s="676" t="s">
        <v>684</v>
      </c>
      <c r="H28" s="676" t="s">
        <v>685</v>
      </c>
      <c r="I28" s="677">
        <v>0</v>
      </c>
      <c r="J28" s="673"/>
      <c r="K28" s="678">
        <v>30934199.879999999</v>
      </c>
      <c r="L28" s="679"/>
      <c r="M28" s="680">
        <v>26913190.699999999</v>
      </c>
      <c r="N28" s="680"/>
      <c r="O28" s="678">
        <f>K28*(1-(I28/100))-M28</f>
        <v>4021009.1799999997</v>
      </c>
      <c r="P28" s="680"/>
      <c r="Q28" s="914">
        <f>'Col 1&amp;2 $18.5M'!K21</f>
        <v>1828086.2026329411</v>
      </c>
      <c r="R28" s="681"/>
      <c r="S28" s="682">
        <f>Q28/K28*100</f>
        <v>5.9095958832762969</v>
      </c>
      <c r="T28" s="681"/>
      <c r="U28" s="683">
        <v>5.7</v>
      </c>
      <c r="V28" s="843">
        <f t="shared" si="0"/>
        <v>5.9095958832762967E-2</v>
      </c>
      <c r="W28" s="684">
        <f t="shared" si="1"/>
        <v>0</v>
      </c>
      <c r="X28" s="684"/>
      <c r="Y28" s="677">
        <v>-11</v>
      </c>
      <c r="Z28" s="680">
        <f>(K28*(1-(Y28/100))-M28)/AB28</f>
        <v>1305543.0000033337</v>
      </c>
      <c r="AA28" s="682">
        <f>Z28/K28*100</f>
        <v>4.2203871607082073</v>
      </c>
      <c r="AB28" s="683">
        <v>5.6863474943230878</v>
      </c>
    </row>
    <row r="29" spans="1:28" s="444" customFormat="1" x14ac:dyDescent="0.25">
      <c r="A29" s="439"/>
      <c r="B29" s="440"/>
      <c r="C29" s="446" t="s">
        <v>467</v>
      </c>
      <c r="D29" s="440"/>
      <c r="E29" s="447">
        <v>49490</v>
      </c>
      <c r="F29" s="440"/>
      <c r="G29" s="448" t="s">
        <v>684</v>
      </c>
      <c r="H29" s="448" t="s">
        <v>685</v>
      </c>
      <c r="I29" s="449">
        <v>-13</v>
      </c>
      <c r="J29" s="440"/>
      <c r="K29" s="209">
        <v>70065640.599999994</v>
      </c>
      <c r="L29" s="210"/>
      <c r="M29" s="211">
        <v>52568883.729999997</v>
      </c>
      <c r="N29" s="211"/>
      <c r="O29" s="211">
        <v>26605290</v>
      </c>
      <c r="P29" s="211"/>
      <c r="Q29" s="443">
        <f>O29/U29</f>
        <v>2198784.2975206613</v>
      </c>
      <c r="S29" s="450">
        <v>2.1</v>
      </c>
      <c r="U29" s="915">
        <f>AB29</f>
        <v>12.1</v>
      </c>
      <c r="V29" s="843">
        <f t="shared" si="0"/>
        <v>3.1381776840853741E-2</v>
      </c>
      <c r="W29" s="685">
        <f t="shared" si="1"/>
        <v>-1.038177684085374E-2</v>
      </c>
      <c r="X29" s="685"/>
      <c r="Y29" s="449">
        <v>-13</v>
      </c>
      <c r="Z29" s="211">
        <v>1471709</v>
      </c>
      <c r="AA29" s="450">
        <v>2.1</v>
      </c>
      <c r="AB29" s="915">
        <v>12.1</v>
      </c>
    </row>
    <row r="30" spans="1:28" s="444" customFormat="1" x14ac:dyDescent="0.25">
      <c r="A30" s="439"/>
      <c r="B30" s="440"/>
      <c r="C30" s="446" t="s">
        <v>468</v>
      </c>
      <c r="D30" s="440"/>
      <c r="E30" s="447">
        <v>52047</v>
      </c>
      <c r="F30" s="440"/>
      <c r="G30" s="448" t="s">
        <v>684</v>
      </c>
      <c r="H30" s="448" t="s">
        <v>685</v>
      </c>
      <c r="I30" s="449">
        <v>-5</v>
      </c>
      <c r="J30" s="440"/>
      <c r="K30" s="209">
        <v>403636</v>
      </c>
      <c r="L30" s="210"/>
      <c r="M30" s="211">
        <v>8557.1200000000008</v>
      </c>
      <c r="N30" s="211"/>
      <c r="O30" s="211">
        <v>415261</v>
      </c>
      <c r="P30" s="211"/>
      <c r="Q30" s="211">
        <v>16597</v>
      </c>
      <c r="S30" s="450">
        <v>4.1100000000000003</v>
      </c>
      <c r="U30" s="451">
        <v>25</v>
      </c>
      <c r="V30" s="843">
        <f t="shared" si="0"/>
        <v>4.1118730737595262E-2</v>
      </c>
      <c r="W30" s="685">
        <f t="shared" si="1"/>
        <v>-1.873073759525723E-5</v>
      </c>
      <c r="X30" s="685"/>
      <c r="Y30" s="449">
        <v>-5</v>
      </c>
      <c r="Z30" s="211">
        <v>16597</v>
      </c>
      <c r="AA30" s="450">
        <v>4.1100000000000003</v>
      </c>
      <c r="AB30" s="451">
        <v>25</v>
      </c>
    </row>
    <row r="31" spans="1:28" s="444" customFormat="1" x14ac:dyDescent="0.25">
      <c r="A31" s="439"/>
      <c r="B31" s="440"/>
      <c r="C31" s="446" t="s">
        <v>469</v>
      </c>
      <c r="D31" s="440"/>
      <c r="E31" s="447">
        <v>52778</v>
      </c>
      <c r="F31" s="440"/>
      <c r="G31" s="448" t="s">
        <v>684</v>
      </c>
      <c r="H31" s="448" t="s">
        <v>685</v>
      </c>
      <c r="I31" s="449">
        <v>-5</v>
      </c>
      <c r="J31" s="440"/>
      <c r="K31" s="209">
        <v>2131451.9700000002</v>
      </c>
      <c r="L31" s="210"/>
      <c r="M31" s="211">
        <v>1475543.82</v>
      </c>
      <c r="N31" s="211"/>
      <c r="O31" s="211">
        <v>762481</v>
      </c>
      <c r="P31" s="211"/>
      <c r="Q31" s="211">
        <v>28273</v>
      </c>
      <c r="S31" s="450">
        <v>1.33</v>
      </c>
      <c r="U31" s="451">
        <v>27</v>
      </c>
      <c r="V31" s="843">
        <f t="shared" si="0"/>
        <v>1.3264666714493218E-2</v>
      </c>
      <c r="W31" s="685">
        <f t="shared" si="1"/>
        <v>3.5333285506783385E-5</v>
      </c>
      <c r="X31" s="685"/>
      <c r="Y31" s="449">
        <v>-5</v>
      </c>
      <c r="Z31" s="211">
        <v>28273</v>
      </c>
      <c r="AA31" s="450">
        <v>1.33</v>
      </c>
      <c r="AB31" s="451">
        <v>27</v>
      </c>
    </row>
    <row r="32" spans="1:28" s="444" customFormat="1" x14ac:dyDescent="0.25">
      <c r="A32" s="439"/>
      <c r="B32" s="440"/>
      <c r="C32" s="446" t="s">
        <v>470</v>
      </c>
      <c r="D32" s="440"/>
      <c r="E32" s="447">
        <v>53873</v>
      </c>
      <c r="F32" s="440"/>
      <c r="G32" s="448" t="s">
        <v>684</v>
      </c>
      <c r="H32" s="448" t="s">
        <v>685</v>
      </c>
      <c r="I32" s="449">
        <v>-5</v>
      </c>
      <c r="J32" s="440"/>
      <c r="K32" s="209">
        <v>458042</v>
      </c>
      <c r="L32" s="210"/>
      <c r="M32" s="211">
        <v>117385.54</v>
      </c>
      <c r="N32" s="211"/>
      <c r="O32" s="211">
        <v>363559</v>
      </c>
      <c r="P32" s="211"/>
      <c r="Q32" s="211">
        <v>12208</v>
      </c>
      <c r="S32" s="450">
        <v>2.67</v>
      </c>
      <c r="U32" s="451">
        <v>29.8</v>
      </c>
      <c r="V32" s="843">
        <f t="shared" si="0"/>
        <v>2.6652577711214254E-2</v>
      </c>
      <c r="W32" s="685">
        <f t="shared" si="1"/>
        <v>4.7422288785743671E-5</v>
      </c>
      <c r="X32" s="685"/>
      <c r="Y32" s="449">
        <v>-5</v>
      </c>
      <c r="Z32" s="211">
        <v>12208</v>
      </c>
      <c r="AA32" s="450">
        <v>2.67</v>
      </c>
      <c r="AB32" s="451">
        <v>29.8</v>
      </c>
    </row>
    <row r="33" spans="1:28" s="444" customFormat="1" x14ac:dyDescent="0.25">
      <c r="A33" s="439"/>
      <c r="B33" s="440"/>
      <c r="C33" s="446" t="s">
        <v>471</v>
      </c>
      <c r="D33" s="440"/>
      <c r="E33" s="447">
        <v>48760</v>
      </c>
      <c r="F33" s="440"/>
      <c r="G33" s="448" t="s">
        <v>684</v>
      </c>
      <c r="H33" s="448" t="s">
        <v>685</v>
      </c>
      <c r="I33" s="449">
        <v>-5</v>
      </c>
      <c r="J33" s="440"/>
      <c r="K33" s="209">
        <v>1492711.69</v>
      </c>
      <c r="L33" s="210"/>
      <c r="M33" s="211">
        <v>1197365.06</v>
      </c>
      <c r="N33" s="211"/>
      <c r="O33" s="211">
        <v>369982</v>
      </c>
      <c r="P33" s="211"/>
      <c r="Q33" s="211">
        <v>22408</v>
      </c>
      <c r="S33" s="450">
        <v>1.5</v>
      </c>
      <c r="U33" s="451">
        <v>16.5</v>
      </c>
      <c r="V33" s="843">
        <f t="shared" si="0"/>
        <v>1.501160615952569E-2</v>
      </c>
      <c r="W33" s="685">
        <f t="shared" si="1"/>
        <v>-1.1606159525690343E-5</v>
      </c>
      <c r="X33" s="685"/>
      <c r="Y33" s="449">
        <v>-5</v>
      </c>
      <c r="Z33" s="211">
        <v>22408</v>
      </c>
      <c r="AA33" s="450">
        <v>1.5</v>
      </c>
      <c r="AB33" s="451">
        <v>16.5</v>
      </c>
    </row>
    <row r="34" spans="1:28" s="444" customFormat="1" x14ac:dyDescent="0.25">
      <c r="A34" s="439"/>
      <c r="B34" s="440"/>
      <c r="C34" s="446" t="s">
        <v>472</v>
      </c>
      <c r="D34" s="440"/>
      <c r="E34" s="447">
        <v>49125</v>
      </c>
      <c r="F34" s="440"/>
      <c r="G34" s="448" t="s">
        <v>684</v>
      </c>
      <c r="H34" s="448" t="s">
        <v>685</v>
      </c>
      <c r="I34" s="449">
        <v>-5</v>
      </c>
      <c r="J34" s="440"/>
      <c r="K34" s="212">
        <v>571513.38</v>
      </c>
      <c r="L34" s="210"/>
      <c r="M34" s="213">
        <v>367245.85</v>
      </c>
      <c r="N34" s="211"/>
      <c r="O34" s="213">
        <v>232843</v>
      </c>
      <c r="P34" s="211"/>
      <c r="Q34" s="213">
        <v>13296</v>
      </c>
      <c r="S34" s="450">
        <v>2.33</v>
      </c>
      <c r="U34" s="451">
        <v>17.5</v>
      </c>
      <c r="V34" s="843">
        <f t="shared" si="0"/>
        <v>2.3264547192228466E-2</v>
      </c>
      <c r="W34" s="685">
        <f t="shared" si="1"/>
        <v>3.5452807771535477E-5</v>
      </c>
      <c r="X34" s="685"/>
      <c r="Y34" s="449">
        <v>-5</v>
      </c>
      <c r="Z34" s="213">
        <v>13296</v>
      </c>
      <c r="AA34" s="450">
        <v>2.33</v>
      </c>
      <c r="AB34" s="451">
        <v>17.5</v>
      </c>
    </row>
    <row r="35" spans="1:28" s="444" customFormat="1" x14ac:dyDescent="0.25">
      <c r="A35" s="439"/>
      <c r="B35" s="440"/>
      <c r="C35" s="446"/>
      <c r="D35" s="440"/>
      <c r="E35" s="447"/>
      <c r="F35" s="440"/>
      <c r="G35" s="448"/>
      <c r="H35" s="448"/>
      <c r="I35" s="449"/>
      <c r="J35" s="440"/>
      <c r="K35" s="209"/>
      <c r="L35" s="210"/>
      <c r="M35" s="211"/>
      <c r="N35" s="211"/>
      <c r="O35" s="211"/>
      <c r="P35" s="211"/>
      <c r="Q35" s="211"/>
      <c r="S35" s="450"/>
      <c r="U35" s="451"/>
      <c r="V35" s="843"/>
      <c r="W35" s="685">
        <f t="shared" si="1"/>
        <v>0</v>
      </c>
      <c r="X35" s="685"/>
      <c r="Y35" s="449"/>
      <c r="Z35" s="211"/>
      <c r="AA35" s="450"/>
      <c r="AB35" s="451"/>
    </row>
    <row r="36" spans="1:28" s="444" customFormat="1" ht="15.6" x14ac:dyDescent="0.3">
      <c r="A36" s="439"/>
      <c r="B36" s="440"/>
      <c r="C36" s="452" t="s">
        <v>428</v>
      </c>
      <c r="D36" s="440"/>
      <c r="E36" s="441"/>
      <c r="F36" s="440"/>
      <c r="G36" s="448"/>
      <c r="H36" s="448"/>
      <c r="I36" s="449"/>
      <c r="J36" s="440"/>
      <c r="K36" s="209">
        <f>+SUBTOTAL(9,K24:K34)</f>
        <v>177131434.36999997</v>
      </c>
      <c r="L36" s="210"/>
      <c r="M36" s="211">
        <f>+SUBTOTAL(9,M24:M34)</f>
        <v>129869433.82000001</v>
      </c>
      <c r="N36" s="211"/>
      <c r="O36" s="211">
        <f>+SUBTOTAL(9,O24:O34)</f>
        <v>64102017.879999995</v>
      </c>
      <c r="P36" s="211"/>
      <c r="Q36" s="211">
        <f>+SUBTOTAL(9,Q24:Q34)</f>
        <v>6910079.1300110687</v>
      </c>
      <c r="S36" s="450">
        <f t="shared" ref="S36:S83" si="2">Q36/K36*100</f>
        <v>3.9011026781260014</v>
      </c>
      <c r="U36" s="451">
        <f t="shared" ref="U36:U83" si="3">ROUND(O36/Q36,1)</f>
        <v>9.3000000000000007</v>
      </c>
      <c r="V36" s="843">
        <f t="shared" si="0"/>
        <v>3.9011026781260012E-2</v>
      </c>
      <c r="W36" s="685">
        <f t="shared" si="1"/>
        <v>0</v>
      </c>
      <c r="X36" s="685"/>
      <c r="Y36" s="449"/>
      <c r="Z36" s="211">
        <v>5713097</v>
      </c>
      <c r="AA36" s="450">
        <v>3.125119147608145</v>
      </c>
      <c r="AB36" s="451"/>
    </row>
    <row r="37" spans="1:28" s="444" customFormat="1" x14ac:dyDescent="0.25">
      <c r="A37" s="439"/>
      <c r="B37" s="440"/>
      <c r="C37" s="446"/>
      <c r="D37" s="440"/>
      <c r="E37" s="441"/>
      <c r="F37" s="440"/>
      <c r="G37" s="448"/>
      <c r="H37" s="448"/>
      <c r="I37" s="449"/>
      <c r="J37" s="440"/>
      <c r="K37" s="209"/>
      <c r="L37" s="210"/>
      <c r="M37" s="211"/>
      <c r="N37" s="211"/>
      <c r="O37" s="211"/>
      <c r="P37" s="211"/>
      <c r="Q37" s="211"/>
      <c r="S37" s="450"/>
      <c r="U37" s="451"/>
      <c r="V37" s="843"/>
      <c r="W37" s="685">
        <f t="shared" si="1"/>
        <v>0</v>
      </c>
      <c r="X37" s="685"/>
      <c r="Y37" s="449"/>
      <c r="Z37" s="211"/>
      <c r="AA37" s="450"/>
    </row>
    <row r="38" spans="1:28" s="444" customFormat="1" x14ac:dyDescent="0.25">
      <c r="A38" s="439">
        <v>312</v>
      </c>
      <c r="B38" s="440"/>
      <c r="C38" s="446" t="s">
        <v>3</v>
      </c>
      <c r="D38" s="440"/>
      <c r="E38" s="441"/>
      <c r="F38" s="440"/>
      <c r="G38" s="448"/>
      <c r="H38" s="448"/>
      <c r="I38" s="449"/>
      <c r="J38" s="440"/>
      <c r="K38" s="209"/>
      <c r="L38" s="210"/>
      <c r="M38" s="211"/>
      <c r="N38" s="211"/>
      <c r="O38" s="211"/>
      <c r="P38" s="211"/>
      <c r="Q38" s="211"/>
      <c r="S38" s="450"/>
      <c r="U38" s="451"/>
      <c r="V38" s="843"/>
      <c r="W38" s="685">
        <f t="shared" si="1"/>
        <v>0</v>
      </c>
      <c r="X38" s="685"/>
      <c r="Y38" s="449"/>
      <c r="Z38" s="211"/>
      <c r="AA38" s="450"/>
    </row>
    <row r="39" spans="1:28" s="444" customFormat="1" x14ac:dyDescent="0.25">
      <c r="A39" s="672"/>
      <c r="B39" s="673"/>
      <c r="C39" s="674" t="s">
        <v>473</v>
      </c>
      <c r="D39" s="673"/>
      <c r="E39" s="675">
        <v>44742</v>
      </c>
      <c r="F39" s="673"/>
      <c r="G39" s="676" t="s">
        <v>844</v>
      </c>
      <c r="H39" s="676" t="s">
        <v>685</v>
      </c>
      <c r="I39" s="677">
        <v>0</v>
      </c>
      <c r="J39" s="673"/>
      <c r="K39" s="678">
        <v>88145747.640000001</v>
      </c>
      <c r="L39" s="679"/>
      <c r="M39" s="680">
        <v>42279305.32</v>
      </c>
      <c r="N39" s="680"/>
      <c r="O39" s="678">
        <f>K39*(1-(I39/100))-M39</f>
        <v>45866442.32</v>
      </c>
      <c r="P39" s="680"/>
      <c r="Q39" s="914">
        <f>'Col 1&amp;2 $18.5M'!K4</f>
        <v>5098226.4637353504</v>
      </c>
      <c r="R39" s="681"/>
      <c r="S39" s="682">
        <f>Q39/K39*100</f>
        <v>5.7838598006533974</v>
      </c>
      <c r="T39" s="681"/>
      <c r="U39" s="683">
        <v>5.7</v>
      </c>
      <c r="V39" s="843">
        <f t="shared" ref="V39:V52" si="4">Q39/K39</f>
        <v>5.7838598006533973E-2</v>
      </c>
      <c r="W39" s="684">
        <f t="shared" si="1"/>
        <v>0</v>
      </c>
      <c r="X39" s="684"/>
      <c r="Y39" s="677">
        <v>-11</v>
      </c>
      <c r="Z39" s="680">
        <f>(K39*(1-(Y39/100))-M39)/AB39</f>
        <v>9805944.0000239573</v>
      </c>
      <c r="AA39" s="682">
        <f t="shared" ref="AA39:AA40" si="5">Z39/K39*100</f>
        <v>11.124693207065249</v>
      </c>
      <c r="AB39" s="683">
        <v>5.6662035353520537</v>
      </c>
    </row>
    <row r="40" spans="1:28" s="444" customFormat="1" x14ac:dyDescent="0.25">
      <c r="A40" s="672"/>
      <c r="B40" s="673"/>
      <c r="C40" s="674" t="s">
        <v>474</v>
      </c>
      <c r="D40" s="673"/>
      <c r="E40" s="675">
        <v>44742</v>
      </c>
      <c r="F40" s="673"/>
      <c r="G40" s="676" t="s">
        <v>844</v>
      </c>
      <c r="H40" s="676" t="s">
        <v>685</v>
      </c>
      <c r="I40" s="677">
        <v>0</v>
      </c>
      <c r="J40" s="673"/>
      <c r="K40" s="678">
        <v>88368523.219999999</v>
      </c>
      <c r="L40" s="679"/>
      <c r="M40" s="680">
        <v>36998691.5</v>
      </c>
      <c r="N40" s="680"/>
      <c r="O40" s="678">
        <f>K40*(1-(I40/100))-M40</f>
        <v>51369831.719999999</v>
      </c>
      <c r="P40" s="680"/>
      <c r="Q40" s="914">
        <f>'Col 1&amp;2 $18.5M'!K13</f>
        <v>5222222.6103211781</v>
      </c>
      <c r="R40" s="681"/>
      <c r="S40" s="682">
        <f>Q40/K40*100</f>
        <v>5.9095958832762969</v>
      </c>
      <c r="T40" s="681"/>
      <c r="U40" s="683">
        <v>5.7</v>
      </c>
      <c r="V40" s="843">
        <f t="shared" si="4"/>
        <v>5.9095958832762967E-2</v>
      </c>
      <c r="W40" s="684">
        <f t="shared" si="1"/>
        <v>0</v>
      </c>
      <c r="X40" s="684"/>
      <c r="Y40" s="677">
        <v>-11</v>
      </c>
      <c r="Z40" s="680">
        <f>(K40*(1-(Y40/100))-M40)/AB40</f>
        <v>10769052.000035863</v>
      </c>
      <c r="AA40" s="682">
        <f t="shared" si="5"/>
        <v>12.186524802757548</v>
      </c>
      <c r="AB40" s="683">
        <v>5.6727713148749368</v>
      </c>
    </row>
    <row r="41" spans="1:28" s="444" customFormat="1" x14ac:dyDescent="0.25">
      <c r="A41" s="439"/>
      <c r="B41" s="440"/>
      <c r="C41" s="446" t="s">
        <v>475</v>
      </c>
      <c r="D41" s="440"/>
      <c r="E41" s="447">
        <v>49490</v>
      </c>
      <c r="F41" s="440"/>
      <c r="G41" s="448" t="s">
        <v>844</v>
      </c>
      <c r="H41" s="448" t="s">
        <v>685</v>
      </c>
      <c r="I41" s="449">
        <v>-12</v>
      </c>
      <c r="J41" s="440"/>
      <c r="K41" s="209">
        <v>137645881.58000001</v>
      </c>
      <c r="L41" s="210"/>
      <c r="M41" s="211">
        <v>88664394.599999994</v>
      </c>
      <c r="N41" s="211"/>
      <c r="O41" s="211">
        <v>65498993</v>
      </c>
      <c r="P41" s="211"/>
      <c r="Q41" s="443">
        <f>O41/U41</f>
        <v>5646464.9137931038</v>
      </c>
      <c r="S41" s="450">
        <v>2.71</v>
      </c>
      <c r="U41" s="915">
        <f t="shared" ref="U41:U42" si="6">AB41</f>
        <v>11.6</v>
      </c>
      <c r="V41" s="843">
        <f t="shared" si="4"/>
        <v>4.1021677139765123E-2</v>
      </c>
      <c r="W41" s="685">
        <f t="shared" si="1"/>
        <v>-1.3921677139765123E-2</v>
      </c>
      <c r="X41" s="685"/>
      <c r="Y41" s="449">
        <v>-12</v>
      </c>
      <c r="Z41" s="211">
        <v>3728844</v>
      </c>
      <c r="AA41" s="450">
        <v>2.71</v>
      </c>
      <c r="AB41" s="916">
        <v>11.6</v>
      </c>
    </row>
    <row r="42" spans="1:28" s="444" customFormat="1" x14ac:dyDescent="0.25">
      <c r="A42" s="439"/>
      <c r="B42" s="440"/>
      <c r="C42" s="446" t="s">
        <v>476</v>
      </c>
      <c r="D42" s="440"/>
      <c r="E42" s="447">
        <v>49490</v>
      </c>
      <c r="F42" s="440"/>
      <c r="G42" s="448" t="s">
        <v>844</v>
      </c>
      <c r="H42" s="448" t="s">
        <v>685</v>
      </c>
      <c r="I42" s="449">
        <v>-12</v>
      </c>
      <c r="J42" s="440"/>
      <c r="K42" s="209">
        <v>126930413.23</v>
      </c>
      <c r="L42" s="210"/>
      <c r="M42" s="211">
        <v>74762985.319999993</v>
      </c>
      <c r="N42" s="211"/>
      <c r="O42" s="211">
        <v>67399077</v>
      </c>
      <c r="P42" s="211"/>
      <c r="Q42" s="443">
        <f>O42/U42</f>
        <v>5810265.2586206896</v>
      </c>
      <c r="S42" s="450">
        <v>3.01</v>
      </c>
      <c r="U42" s="915">
        <f t="shared" si="6"/>
        <v>11.6</v>
      </c>
      <c r="V42" s="843">
        <f t="shared" si="4"/>
        <v>4.5775201630301111E-2</v>
      </c>
      <c r="W42" s="685">
        <f t="shared" si="1"/>
        <v>-1.5675201630301113E-2</v>
      </c>
      <c r="X42" s="685"/>
      <c r="Y42" s="449">
        <v>-12</v>
      </c>
      <c r="Z42" s="211">
        <v>3825428</v>
      </c>
      <c r="AA42" s="450">
        <v>3.01</v>
      </c>
      <c r="AB42" s="916">
        <v>11.6</v>
      </c>
    </row>
    <row r="43" spans="1:28" s="444" customFormat="1" x14ac:dyDescent="0.25">
      <c r="A43" s="672"/>
      <c r="B43" s="673"/>
      <c r="C43" s="674" t="s">
        <v>477</v>
      </c>
      <c r="D43" s="673"/>
      <c r="E43" s="675">
        <v>44742</v>
      </c>
      <c r="F43" s="673"/>
      <c r="G43" s="676" t="s">
        <v>844</v>
      </c>
      <c r="H43" s="676" t="s">
        <v>685</v>
      </c>
      <c r="I43" s="677">
        <v>0</v>
      </c>
      <c r="J43" s="673"/>
      <c r="K43" s="678">
        <v>6043572.0999999996</v>
      </c>
      <c r="L43" s="679"/>
      <c r="M43" s="680">
        <v>5184006.7300000004</v>
      </c>
      <c r="N43" s="680"/>
      <c r="O43" s="678">
        <f>K43*(1-(I43/100))-M43</f>
        <v>859565.36999999918</v>
      </c>
      <c r="P43" s="680"/>
      <c r="Q43" s="914">
        <f>'Col 1&amp;2 $18.5M'!K22</f>
        <v>357150.68802443484</v>
      </c>
      <c r="R43" s="681"/>
      <c r="S43" s="682">
        <f>Q43/K43*100</f>
        <v>5.9095958832762978</v>
      </c>
      <c r="T43" s="681"/>
      <c r="U43" s="683">
        <v>5.7</v>
      </c>
      <c r="V43" s="843">
        <f t="shared" si="4"/>
        <v>5.9095958832762974E-2</v>
      </c>
      <c r="W43" s="684">
        <f t="shared" si="1"/>
        <v>0</v>
      </c>
      <c r="X43" s="684"/>
      <c r="Y43" s="677">
        <v>-11</v>
      </c>
      <c r="Z43" s="680">
        <f>(K43*(1-(Y43/100))-M43)/AB43</f>
        <v>272594.00000034977</v>
      </c>
      <c r="AA43" s="682">
        <f>Z43/K43*100</f>
        <v>4.5104781657250319</v>
      </c>
      <c r="AB43" s="683">
        <v>5.5920464170086062</v>
      </c>
    </row>
    <row r="44" spans="1:28" s="444" customFormat="1" x14ac:dyDescent="0.25">
      <c r="A44" s="439"/>
      <c r="B44" s="440"/>
      <c r="C44" s="440" t="s">
        <v>478</v>
      </c>
      <c r="D44" s="440"/>
      <c r="E44" s="447">
        <v>49490</v>
      </c>
      <c r="F44" s="440"/>
      <c r="G44" s="448" t="s">
        <v>844</v>
      </c>
      <c r="H44" s="448" t="s">
        <v>685</v>
      </c>
      <c r="I44" s="449">
        <v>-12</v>
      </c>
      <c r="J44" s="440"/>
      <c r="K44" s="209">
        <v>15254041.73</v>
      </c>
      <c r="L44" s="210"/>
      <c r="M44" s="211">
        <v>10094597.470000001</v>
      </c>
      <c r="N44" s="211"/>
      <c r="O44" s="211">
        <v>6989929</v>
      </c>
      <c r="P44" s="211"/>
      <c r="Q44" s="443">
        <f>O44/U44</f>
        <v>618577.78761061945</v>
      </c>
      <c r="S44" s="450">
        <v>2.65</v>
      </c>
      <c r="U44" s="915">
        <f>AB44</f>
        <v>11.3</v>
      </c>
      <c r="V44" s="843">
        <f t="shared" si="4"/>
        <v>4.0551730391170202E-2</v>
      </c>
      <c r="W44" s="685">
        <f t="shared" si="1"/>
        <v>-1.4051730391170202E-2</v>
      </c>
      <c r="X44" s="685"/>
      <c r="Y44" s="449">
        <v>-12</v>
      </c>
      <c r="Z44" s="211">
        <v>404976</v>
      </c>
      <c r="AA44" s="450">
        <v>2.65</v>
      </c>
      <c r="AB44" s="916">
        <v>11.3</v>
      </c>
    </row>
    <row r="45" spans="1:28" s="444" customFormat="1" x14ac:dyDescent="0.25">
      <c r="A45" s="439"/>
      <c r="B45" s="440"/>
      <c r="C45" s="446" t="s">
        <v>479</v>
      </c>
      <c r="D45" s="440"/>
      <c r="E45" s="447">
        <v>48760</v>
      </c>
      <c r="F45" s="440"/>
      <c r="G45" s="448" t="s">
        <v>844</v>
      </c>
      <c r="H45" s="448" t="s">
        <v>685</v>
      </c>
      <c r="I45" s="449">
        <v>-5</v>
      </c>
      <c r="J45" s="440"/>
      <c r="K45" s="209">
        <v>42923481.280000001</v>
      </c>
      <c r="L45" s="210"/>
      <c r="M45" s="211">
        <v>34057590.030000001</v>
      </c>
      <c r="N45" s="211"/>
      <c r="O45" s="211">
        <v>11012065</v>
      </c>
      <c r="P45" s="211"/>
      <c r="Q45" s="211">
        <v>689589</v>
      </c>
      <c r="S45" s="450">
        <v>1.61</v>
      </c>
      <c r="U45" s="451">
        <v>16</v>
      </c>
      <c r="V45" s="843">
        <f t="shared" si="4"/>
        <v>1.6065542202917983E-2</v>
      </c>
      <c r="W45" s="685">
        <f t="shared" si="1"/>
        <v>3.44577970820166E-5</v>
      </c>
      <c r="X45" s="685"/>
      <c r="Y45" s="449">
        <v>-5</v>
      </c>
      <c r="Z45" s="211">
        <v>689589</v>
      </c>
      <c r="AA45" s="450">
        <v>1.61</v>
      </c>
      <c r="AB45" s="444">
        <v>16</v>
      </c>
    </row>
    <row r="46" spans="1:28" s="444" customFormat="1" x14ac:dyDescent="0.25">
      <c r="A46" s="439"/>
      <c r="B46" s="440"/>
      <c r="C46" s="446" t="s">
        <v>468</v>
      </c>
      <c r="D46" s="440"/>
      <c r="E46" s="447">
        <v>52047</v>
      </c>
      <c r="F46" s="440"/>
      <c r="G46" s="448" t="s">
        <v>844</v>
      </c>
      <c r="H46" s="448" t="s">
        <v>685</v>
      </c>
      <c r="I46" s="449">
        <v>-5</v>
      </c>
      <c r="J46" s="440"/>
      <c r="K46" s="209">
        <v>18138531.280000001</v>
      </c>
      <c r="L46" s="210"/>
      <c r="M46" s="211">
        <v>7308605.0700000003</v>
      </c>
      <c r="N46" s="211"/>
      <c r="O46" s="211">
        <v>11736853</v>
      </c>
      <c r="P46" s="211"/>
      <c r="Q46" s="211">
        <v>489745</v>
      </c>
      <c r="S46" s="450">
        <v>2.7</v>
      </c>
      <c r="U46" s="451">
        <v>24</v>
      </c>
      <c r="V46" s="843">
        <f t="shared" si="4"/>
        <v>2.7000256660251489E-2</v>
      </c>
      <c r="W46" s="685">
        <f t="shared" si="1"/>
        <v>-2.5666025148599059E-7</v>
      </c>
      <c r="X46" s="685"/>
      <c r="Y46" s="449">
        <v>-5</v>
      </c>
      <c r="Z46" s="211">
        <v>489745</v>
      </c>
      <c r="AA46" s="450">
        <v>2.7</v>
      </c>
      <c r="AB46" s="444">
        <v>24</v>
      </c>
    </row>
    <row r="47" spans="1:28" s="444" customFormat="1" x14ac:dyDescent="0.25">
      <c r="A47" s="439"/>
      <c r="B47" s="440"/>
      <c r="C47" s="446" t="s">
        <v>469</v>
      </c>
      <c r="D47" s="440"/>
      <c r="E47" s="447">
        <v>52778</v>
      </c>
      <c r="F47" s="440"/>
      <c r="G47" s="448" t="s">
        <v>844</v>
      </c>
      <c r="H47" s="448" t="s">
        <v>685</v>
      </c>
      <c r="I47" s="449">
        <v>-5</v>
      </c>
      <c r="J47" s="440"/>
      <c r="K47" s="209">
        <v>86173649.709999993</v>
      </c>
      <c r="L47" s="210"/>
      <c r="M47" s="211">
        <v>66841916.810000002</v>
      </c>
      <c r="N47" s="211"/>
      <c r="O47" s="211">
        <v>23640415</v>
      </c>
      <c r="P47" s="211"/>
      <c r="Q47" s="211">
        <v>914220</v>
      </c>
      <c r="S47" s="450">
        <v>1.06</v>
      </c>
      <c r="U47" s="451">
        <v>25.9</v>
      </c>
      <c r="V47" s="843">
        <f t="shared" si="4"/>
        <v>1.060904351941252E-2</v>
      </c>
      <c r="W47" s="685">
        <f t="shared" si="1"/>
        <v>-9.0435194125201845E-6</v>
      </c>
      <c r="X47" s="685"/>
      <c r="Y47" s="449">
        <v>-5</v>
      </c>
      <c r="Z47" s="211">
        <v>914220</v>
      </c>
      <c r="AA47" s="450">
        <v>1.06</v>
      </c>
      <c r="AB47" s="444">
        <v>25.9</v>
      </c>
    </row>
    <row r="48" spans="1:28" s="444" customFormat="1" x14ac:dyDescent="0.25">
      <c r="A48" s="439"/>
      <c r="B48" s="440"/>
      <c r="C48" s="446" t="s">
        <v>470</v>
      </c>
      <c r="D48" s="440"/>
      <c r="E48" s="447">
        <v>53873</v>
      </c>
      <c r="F48" s="440"/>
      <c r="G48" s="448" t="s">
        <v>844</v>
      </c>
      <c r="H48" s="448" t="s">
        <v>685</v>
      </c>
      <c r="I48" s="449">
        <v>-5</v>
      </c>
      <c r="J48" s="440"/>
      <c r="K48" s="209">
        <v>26297846.77</v>
      </c>
      <c r="L48" s="210"/>
      <c r="M48" s="211">
        <v>3059103.69</v>
      </c>
      <c r="N48" s="211"/>
      <c r="O48" s="211">
        <v>24553635</v>
      </c>
      <c r="P48" s="211"/>
      <c r="Q48" s="211">
        <v>860987</v>
      </c>
      <c r="S48" s="450">
        <v>3.27</v>
      </c>
      <c r="U48" s="451">
        <v>28.5</v>
      </c>
      <c r="V48" s="843">
        <f t="shared" si="4"/>
        <v>3.2739828759752107E-2</v>
      </c>
      <c r="W48" s="685">
        <f t="shared" si="1"/>
        <v>-3.9828759752107146E-5</v>
      </c>
      <c r="X48" s="685"/>
      <c r="Y48" s="449">
        <v>-5</v>
      </c>
      <c r="Z48" s="211">
        <v>860987</v>
      </c>
      <c r="AA48" s="450">
        <v>3.27</v>
      </c>
      <c r="AB48" s="444">
        <v>28.5</v>
      </c>
    </row>
    <row r="49" spans="1:28" s="444" customFormat="1" x14ac:dyDescent="0.25">
      <c r="A49" s="439"/>
      <c r="B49" s="440"/>
      <c r="C49" s="446" t="s">
        <v>471</v>
      </c>
      <c r="D49" s="440"/>
      <c r="E49" s="447">
        <v>48760</v>
      </c>
      <c r="F49" s="440"/>
      <c r="G49" s="448" t="s">
        <v>844</v>
      </c>
      <c r="H49" s="448" t="s">
        <v>685</v>
      </c>
      <c r="I49" s="449">
        <v>-5</v>
      </c>
      <c r="J49" s="440"/>
      <c r="K49" s="209">
        <v>15704258.640000001</v>
      </c>
      <c r="L49" s="210"/>
      <c r="M49" s="211">
        <v>13938346.76</v>
      </c>
      <c r="N49" s="211"/>
      <c r="O49" s="211">
        <v>2551125</v>
      </c>
      <c r="P49" s="211"/>
      <c r="Q49" s="211">
        <v>157672</v>
      </c>
      <c r="S49" s="450">
        <v>1</v>
      </c>
      <c r="U49" s="451">
        <v>16.2</v>
      </c>
      <c r="V49" s="843">
        <f t="shared" si="4"/>
        <v>1.00400791667043E-2</v>
      </c>
      <c r="W49" s="685">
        <f t="shared" si="1"/>
        <v>-4.0079166704299826E-5</v>
      </c>
      <c r="X49" s="685"/>
      <c r="Y49" s="449">
        <v>-5</v>
      </c>
      <c r="Z49" s="211">
        <v>157672</v>
      </c>
      <c r="AA49" s="450">
        <v>1</v>
      </c>
      <c r="AB49" s="444">
        <v>16.2</v>
      </c>
    </row>
    <row r="50" spans="1:28" s="444" customFormat="1" x14ac:dyDescent="0.25">
      <c r="A50" s="439"/>
      <c r="B50" s="440"/>
      <c r="C50" s="440" t="s">
        <v>472</v>
      </c>
      <c r="D50" s="440"/>
      <c r="E50" s="447">
        <v>49125</v>
      </c>
      <c r="F50" s="440"/>
      <c r="G50" s="448" t="s">
        <v>844</v>
      </c>
      <c r="H50" s="448" t="s">
        <v>685</v>
      </c>
      <c r="I50" s="449">
        <v>-5</v>
      </c>
      <c r="J50" s="440"/>
      <c r="K50" s="212">
        <v>44686467.799999997</v>
      </c>
      <c r="L50" s="210"/>
      <c r="M50" s="213">
        <v>30590588.719999999</v>
      </c>
      <c r="N50" s="211"/>
      <c r="O50" s="213">
        <v>16330202</v>
      </c>
      <c r="P50" s="211"/>
      <c r="Q50" s="213">
        <v>947227</v>
      </c>
      <c r="S50" s="450">
        <v>2.12</v>
      </c>
      <c r="U50" s="451">
        <v>17.2</v>
      </c>
      <c r="V50" s="843">
        <f t="shared" si="4"/>
        <v>2.119717772815331E-2</v>
      </c>
      <c r="W50" s="685">
        <f t="shared" si="1"/>
        <v>2.8222718466905383E-6</v>
      </c>
      <c r="X50" s="685"/>
      <c r="Y50" s="449">
        <v>-5</v>
      </c>
      <c r="Z50" s="213">
        <v>947227</v>
      </c>
      <c r="AA50" s="450">
        <v>2.12</v>
      </c>
      <c r="AB50" s="444">
        <v>17.2</v>
      </c>
    </row>
    <row r="51" spans="1:28" s="444" customFormat="1" x14ac:dyDescent="0.25">
      <c r="A51" s="439"/>
      <c r="B51" s="440"/>
      <c r="C51" s="440"/>
      <c r="D51" s="440"/>
      <c r="E51" s="441"/>
      <c r="F51" s="440"/>
      <c r="G51" s="440"/>
      <c r="H51" s="440"/>
      <c r="I51" s="442"/>
      <c r="J51" s="440"/>
      <c r="K51" s="209"/>
      <c r="L51" s="440"/>
      <c r="M51" s="443"/>
      <c r="N51" s="443"/>
      <c r="O51" s="443"/>
      <c r="P51" s="443"/>
      <c r="Q51" s="443"/>
      <c r="S51" s="450"/>
      <c r="U51" s="451"/>
      <c r="V51" s="843"/>
      <c r="W51" s="685">
        <f t="shared" si="1"/>
        <v>0</v>
      </c>
      <c r="X51" s="685"/>
      <c r="Y51" s="442"/>
      <c r="Z51" s="443"/>
      <c r="AA51" s="450"/>
    </row>
    <row r="52" spans="1:28" s="444" customFormat="1" ht="15.6" x14ac:dyDescent="0.3">
      <c r="A52" s="439"/>
      <c r="B52" s="440"/>
      <c r="C52" s="452" t="s">
        <v>480</v>
      </c>
      <c r="D52" s="440"/>
      <c r="E52" s="441"/>
      <c r="F52" s="440"/>
      <c r="G52" s="448"/>
      <c r="H52" s="448"/>
      <c r="I52" s="449"/>
      <c r="J52" s="440"/>
      <c r="K52" s="209">
        <f>+SUBTOTAL(9,K39:K50)</f>
        <v>696312414.98000002</v>
      </c>
      <c r="L52" s="210"/>
      <c r="M52" s="211">
        <f>+SUBTOTAL(9,M39:M50)</f>
        <v>413780132.01999998</v>
      </c>
      <c r="N52" s="211"/>
      <c r="O52" s="211">
        <f>+SUBTOTAL(9,O39:O50)</f>
        <v>327808133.40999997</v>
      </c>
      <c r="P52" s="211"/>
      <c r="Q52" s="211">
        <f>+SUBTOTAL(9,Q39:Q50)</f>
        <v>26812347.722105376</v>
      </c>
      <c r="S52" s="450">
        <f t="shared" si="2"/>
        <v>3.8506203746023253</v>
      </c>
      <c r="U52" s="451">
        <f t="shared" si="3"/>
        <v>12.2</v>
      </c>
      <c r="V52" s="843">
        <f t="shared" si="4"/>
        <v>3.8506203746023253E-2</v>
      </c>
      <c r="W52" s="685">
        <f t="shared" si="1"/>
        <v>0</v>
      </c>
      <c r="X52" s="685"/>
      <c r="Y52" s="449"/>
      <c r="Z52" s="211">
        <v>32866278</v>
      </c>
      <c r="AA52" s="450">
        <v>4.7200476816062524</v>
      </c>
      <c r="AB52" s="444">
        <v>10</v>
      </c>
    </row>
    <row r="53" spans="1:28" s="444" customFormat="1" x14ac:dyDescent="0.25">
      <c r="A53" s="439"/>
      <c r="B53" s="440"/>
      <c r="C53" s="446"/>
      <c r="D53" s="440"/>
      <c r="E53" s="441"/>
      <c r="F53" s="440"/>
      <c r="G53" s="448"/>
      <c r="H53" s="448"/>
      <c r="I53" s="449"/>
      <c r="J53" s="440"/>
      <c r="K53" s="209"/>
      <c r="L53" s="210"/>
      <c r="M53" s="211"/>
      <c r="N53" s="211"/>
      <c r="O53" s="211"/>
      <c r="P53" s="211"/>
      <c r="Q53" s="211"/>
      <c r="S53" s="450"/>
      <c r="U53" s="451"/>
      <c r="V53" s="843"/>
      <c r="W53" s="685">
        <f t="shared" si="1"/>
        <v>0</v>
      </c>
      <c r="X53" s="685"/>
      <c r="Y53" s="449"/>
      <c r="Z53" s="211"/>
      <c r="AA53" s="450"/>
    </row>
    <row r="54" spans="1:28" s="444" customFormat="1" x14ac:dyDescent="0.25">
      <c r="A54" s="439">
        <v>314</v>
      </c>
      <c r="B54" s="440"/>
      <c r="C54" s="446" t="s">
        <v>481</v>
      </c>
      <c r="D54" s="440"/>
      <c r="E54" s="441"/>
      <c r="F54" s="440"/>
      <c r="G54" s="448"/>
      <c r="H54" s="448"/>
      <c r="I54" s="449"/>
      <c r="J54" s="440"/>
      <c r="K54" s="209"/>
      <c r="L54" s="210"/>
      <c r="M54" s="211"/>
      <c r="N54" s="211"/>
      <c r="O54" s="211"/>
      <c r="P54" s="211"/>
      <c r="Q54" s="211"/>
      <c r="S54" s="450"/>
      <c r="U54" s="451"/>
      <c r="V54" s="843"/>
      <c r="W54" s="685">
        <f t="shared" si="1"/>
        <v>0</v>
      </c>
      <c r="X54" s="685"/>
      <c r="Y54" s="449"/>
      <c r="Z54" s="211"/>
      <c r="AA54" s="450"/>
    </row>
    <row r="55" spans="1:28" s="444" customFormat="1" x14ac:dyDescent="0.25">
      <c r="A55" s="672"/>
      <c r="B55" s="673"/>
      <c r="C55" s="674" t="s">
        <v>482</v>
      </c>
      <c r="D55" s="673"/>
      <c r="E55" s="675">
        <v>44742</v>
      </c>
      <c r="F55" s="673"/>
      <c r="G55" s="676" t="s">
        <v>686</v>
      </c>
      <c r="H55" s="676" t="s">
        <v>685</v>
      </c>
      <c r="I55" s="677">
        <v>0</v>
      </c>
      <c r="J55" s="673"/>
      <c r="K55" s="678">
        <v>28781740.460000001</v>
      </c>
      <c r="L55" s="679"/>
      <c r="M55" s="680">
        <v>9901631.0199999996</v>
      </c>
      <c r="N55" s="680"/>
      <c r="O55" s="678">
        <f>K55*(1-(I55/100))-M55</f>
        <v>18880109.440000001</v>
      </c>
      <c r="P55" s="680"/>
      <c r="Q55" s="914">
        <f>'Col 1&amp;2 $18.5M'!K5</f>
        <v>1664695.5163943344</v>
      </c>
      <c r="R55" s="681"/>
      <c r="S55" s="682">
        <f>Q55/K55*100</f>
        <v>5.7838598006533983</v>
      </c>
      <c r="T55" s="681"/>
      <c r="U55" s="683">
        <v>5.7</v>
      </c>
      <c r="V55" s="843">
        <f t="shared" ref="V55:V65" si="7">Q55/K55</f>
        <v>5.783859800653398E-2</v>
      </c>
      <c r="W55" s="684">
        <f t="shared" si="1"/>
        <v>0</v>
      </c>
      <c r="X55" s="684"/>
      <c r="Y55" s="677">
        <v>-10</v>
      </c>
      <c r="Z55" s="680">
        <f>(K55*(1-(Y55/100))-M55)/AB55</f>
        <v>3914005.0000042361</v>
      </c>
      <c r="AA55" s="682">
        <f t="shared" ref="AA55:AA56" si="8">Z55/K55*100</f>
        <v>13.598917012832503</v>
      </c>
      <c r="AB55" s="683">
        <v>5.559084233662567</v>
      </c>
    </row>
    <row r="56" spans="1:28" s="444" customFormat="1" x14ac:dyDescent="0.25">
      <c r="A56" s="672"/>
      <c r="B56" s="673"/>
      <c r="C56" s="674" t="s">
        <v>483</v>
      </c>
      <c r="D56" s="673"/>
      <c r="E56" s="675">
        <v>44742</v>
      </c>
      <c r="F56" s="673"/>
      <c r="G56" s="676" t="s">
        <v>686</v>
      </c>
      <c r="H56" s="676" t="s">
        <v>685</v>
      </c>
      <c r="I56" s="677">
        <v>0</v>
      </c>
      <c r="J56" s="673"/>
      <c r="K56" s="678">
        <v>34145118.659999996</v>
      </c>
      <c r="L56" s="679"/>
      <c r="M56" s="680">
        <v>12039662.810000001</v>
      </c>
      <c r="N56" s="680"/>
      <c r="O56" s="678">
        <f>K56*(1-(I56/100))-M56</f>
        <v>22105455.849999994</v>
      </c>
      <c r="P56" s="680"/>
      <c r="Q56" s="914">
        <f>'Col 1&amp;2 $18.5M'!K14</f>
        <v>2017838.5266711663</v>
      </c>
      <c r="R56" s="681"/>
      <c r="S56" s="682">
        <f>Q56/K56*100</f>
        <v>5.9095958832762969</v>
      </c>
      <c r="T56" s="681"/>
      <c r="U56" s="683">
        <v>5.7</v>
      </c>
      <c r="V56" s="843">
        <f t="shared" si="7"/>
        <v>5.9095958832762967E-2</v>
      </c>
      <c r="W56" s="684">
        <f t="shared" si="1"/>
        <v>0</v>
      </c>
      <c r="X56" s="684"/>
      <c r="Y56" s="677">
        <v>-10</v>
      </c>
      <c r="Z56" s="680">
        <f>(K56*(1-(Y56/100))-M56)/AB56</f>
        <v>4582212.0000130916</v>
      </c>
      <c r="AA56" s="682">
        <f t="shared" si="8"/>
        <v>13.419815715506703</v>
      </c>
      <c r="AB56" s="683">
        <v>5.5693555243465571</v>
      </c>
    </row>
    <row r="57" spans="1:28" s="444" customFormat="1" x14ac:dyDescent="0.25">
      <c r="A57" s="439"/>
      <c r="B57" s="440"/>
      <c r="C57" s="446" t="s">
        <v>484</v>
      </c>
      <c r="D57" s="440"/>
      <c r="E57" s="447">
        <v>49490</v>
      </c>
      <c r="F57" s="440"/>
      <c r="G57" s="448" t="s">
        <v>686</v>
      </c>
      <c r="H57" s="448" t="s">
        <v>685</v>
      </c>
      <c r="I57" s="449">
        <v>-10</v>
      </c>
      <c r="J57" s="440"/>
      <c r="K57" s="209">
        <v>42228337.039999999</v>
      </c>
      <c r="L57" s="210"/>
      <c r="M57" s="211">
        <v>15440101.08</v>
      </c>
      <c r="N57" s="211"/>
      <c r="O57" s="211">
        <v>31011070</v>
      </c>
      <c r="P57" s="211"/>
      <c r="Q57" s="443">
        <f>O57/U57</f>
        <v>3040300.9803921571</v>
      </c>
      <c r="S57" s="450">
        <v>4.55</v>
      </c>
      <c r="U57" s="915">
        <f t="shared" ref="U57:U58" si="9">AB57</f>
        <v>10.199999999999999</v>
      </c>
      <c r="V57" s="843">
        <f t="shared" si="7"/>
        <v>7.1996701587189876E-2</v>
      </c>
      <c r="W57" s="685">
        <f t="shared" si="1"/>
        <v>-2.6496701587189878E-2</v>
      </c>
      <c r="X57" s="685"/>
      <c r="Y57" s="449">
        <v>-10</v>
      </c>
      <c r="Z57" s="211">
        <v>1919620</v>
      </c>
      <c r="AA57" s="450">
        <v>4.55</v>
      </c>
      <c r="AB57" s="916">
        <v>10.199999999999999</v>
      </c>
    </row>
    <row r="58" spans="1:28" s="444" customFormat="1" x14ac:dyDescent="0.25">
      <c r="A58" s="439"/>
      <c r="B58" s="440"/>
      <c r="C58" s="446" t="s">
        <v>485</v>
      </c>
      <c r="D58" s="440"/>
      <c r="E58" s="447">
        <v>49490</v>
      </c>
      <c r="F58" s="440"/>
      <c r="G58" s="448" t="s">
        <v>686</v>
      </c>
      <c r="H58" s="448" t="s">
        <v>685</v>
      </c>
      <c r="I58" s="449">
        <v>-10</v>
      </c>
      <c r="J58" s="440"/>
      <c r="K58" s="209">
        <v>39133170.240000002</v>
      </c>
      <c r="L58" s="210"/>
      <c r="M58" s="211">
        <v>15579408.57</v>
      </c>
      <c r="N58" s="211"/>
      <c r="O58" s="211">
        <v>27467079</v>
      </c>
      <c r="P58" s="211"/>
      <c r="Q58" s="443">
        <f>O58/U58</f>
        <v>2641065.2884615385</v>
      </c>
      <c r="S58" s="450">
        <v>4.2699999999999996</v>
      </c>
      <c r="U58" s="915">
        <f t="shared" si="9"/>
        <v>10.4</v>
      </c>
      <c r="V58" s="843">
        <f t="shared" si="7"/>
        <v>6.7489172798016028E-2</v>
      </c>
      <c r="W58" s="685">
        <f t="shared" si="1"/>
        <v>-2.4789172798016033E-2</v>
      </c>
      <c r="X58" s="685"/>
      <c r="Y58" s="449">
        <v>-10</v>
      </c>
      <c r="Z58" s="211">
        <v>1672938</v>
      </c>
      <c r="AA58" s="450">
        <v>4.2699999999999996</v>
      </c>
      <c r="AB58" s="916">
        <v>10.4</v>
      </c>
    </row>
    <row r="59" spans="1:28" s="444" customFormat="1" x14ac:dyDescent="0.25">
      <c r="A59" s="672"/>
      <c r="B59" s="673"/>
      <c r="C59" s="674" t="s">
        <v>486</v>
      </c>
      <c r="D59" s="673"/>
      <c r="E59" s="675">
        <v>44742</v>
      </c>
      <c r="F59" s="673"/>
      <c r="G59" s="676" t="s">
        <v>686</v>
      </c>
      <c r="H59" s="676" t="s">
        <v>685</v>
      </c>
      <c r="I59" s="677">
        <v>0</v>
      </c>
      <c r="J59" s="673"/>
      <c r="K59" s="678">
        <v>3813725.5</v>
      </c>
      <c r="L59" s="679"/>
      <c r="M59" s="680">
        <v>3575881.91</v>
      </c>
      <c r="N59" s="680"/>
      <c r="O59" s="678">
        <f>K59*(1-(I59/100))-M59</f>
        <v>237843.58999999985</v>
      </c>
      <c r="P59" s="680"/>
      <c r="Q59" s="914">
        <f>'Col 1&amp;2 $18.5M'!K23</f>
        <v>225375.76514745835</v>
      </c>
      <c r="R59" s="681"/>
      <c r="S59" s="682">
        <f>Q59/K59*100</f>
        <v>5.9095958832762969</v>
      </c>
      <c r="T59" s="681"/>
      <c r="U59" s="683">
        <v>5.7</v>
      </c>
      <c r="V59" s="843">
        <f t="shared" si="7"/>
        <v>5.9095958832762967E-2</v>
      </c>
      <c r="W59" s="684">
        <f t="shared" si="1"/>
        <v>0</v>
      </c>
      <c r="X59" s="684"/>
      <c r="Y59" s="677">
        <v>-10</v>
      </c>
      <c r="Z59" s="680">
        <f>(K59*(1-(Y59/100))-M59)/AB59</f>
        <v>116677.99999986631</v>
      </c>
      <c r="AA59" s="682">
        <f>Z59/K59*100</f>
        <v>3.0594231283784401</v>
      </c>
      <c r="AB59" s="683">
        <v>5.3070513721585053</v>
      </c>
    </row>
    <row r="60" spans="1:28" s="444" customFormat="1" x14ac:dyDescent="0.25">
      <c r="A60" s="439"/>
      <c r="B60" s="440"/>
      <c r="C60" s="446" t="s">
        <v>479</v>
      </c>
      <c r="D60" s="440"/>
      <c r="E60" s="447">
        <v>48760</v>
      </c>
      <c r="F60" s="440"/>
      <c r="G60" s="448" t="s">
        <v>686</v>
      </c>
      <c r="H60" s="448" t="s">
        <v>685</v>
      </c>
      <c r="I60" s="449">
        <v>-5</v>
      </c>
      <c r="J60" s="440"/>
      <c r="K60" s="209">
        <v>20710885.199999999</v>
      </c>
      <c r="L60" s="210"/>
      <c r="M60" s="211">
        <v>16987715.850000001</v>
      </c>
      <c r="N60" s="211"/>
      <c r="O60" s="211">
        <v>4758714</v>
      </c>
      <c r="P60" s="211"/>
      <c r="Q60" s="211">
        <v>309829</v>
      </c>
      <c r="S60" s="450">
        <v>1.5</v>
      </c>
      <c r="U60" s="451">
        <v>15.4</v>
      </c>
      <c r="V60" s="843">
        <f t="shared" si="7"/>
        <v>1.4959717897523763E-2</v>
      </c>
      <c r="W60" s="685">
        <f t="shared" si="1"/>
        <v>4.0282102476236689E-5</v>
      </c>
      <c r="X60" s="685"/>
      <c r="Y60" s="449">
        <v>-5</v>
      </c>
      <c r="Z60" s="211">
        <v>309829</v>
      </c>
      <c r="AA60" s="450">
        <v>1.5</v>
      </c>
      <c r="AB60" s="444">
        <v>15.4</v>
      </c>
    </row>
    <row r="61" spans="1:28" s="444" customFormat="1" x14ac:dyDescent="0.25">
      <c r="A61" s="439"/>
      <c r="B61" s="440"/>
      <c r="C61" s="446" t="s">
        <v>468</v>
      </c>
      <c r="D61" s="440"/>
      <c r="E61" s="447">
        <v>52047</v>
      </c>
      <c r="F61" s="440"/>
      <c r="G61" s="448" t="s">
        <v>686</v>
      </c>
      <c r="H61" s="448" t="s">
        <v>685</v>
      </c>
      <c r="I61" s="449">
        <v>-5</v>
      </c>
      <c r="J61" s="440"/>
      <c r="K61" s="209">
        <v>15800824.039999999</v>
      </c>
      <c r="L61" s="210"/>
      <c r="M61" s="211">
        <v>6391663.0700000003</v>
      </c>
      <c r="N61" s="211"/>
      <c r="O61" s="211">
        <v>10199202</v>
      </c>
      <c r="P61" s="211"/>
      <c r="Q61" s="211">
        <v>452092</v>
      </c>
      <c r="S61" s="450">
        <v>2.86</v>
      </c>
      <c r="U61" s="451">
        <v>22.6</v>
      </c>
      <c r="V61" s="843">
        <f t="shared" si="7"/>
        <v>2.8611925482843362E-2</v>
      </c>
      <c r="W61" s="685">
        <f t="shared" si="1"/>
        <v>-1.1925482843361951E-5</v>
      </c>
      <c r="X61" s="685"/>
      <c r="Y61" s="449">
        <v>-5</v>
      </c>
      <c r="Z61" s="211">
        <v>452092</v>
      </c>
      <c r="AA61" s="450">
        <v>2.86</v>
      </c>
      <c r="AB61" s="444">
        <v>22.6</v>
      </c>
    </row>
    <row r="62" spans="1:28" s="444" customFormat="1" x14ac:dyDescent="0.25">
      <c r="A62" s="439"/>
      <c r="B62" s="440"/>
      <c r="C62" s="446" t="s">
        <v>469</v>
      </c>
      <c r="D62" s="440"/>
      <c r="E62" s="447">
        <v>52778</v>
      </c>
      <c r="F62" s="440"/>
      <c r="G62" s="448" t="s">
        <v>686</v>
      </c>
      <c r="H62" s="448" t="s">
        <v>685</v>
      </c>
      <c r="I62" s="449">
        <v>-5</v>
      </c>
      <c r="J62" s="440"/>
      <c r="K62" s="209">
        <v>89524456.269999996</v>
      </c>
      <c r="L62" s="210"/>
      <c r="M62" s="211">
        <v>69143032.489999995</v>
      </c>
      <c r="N62" s="211"/>
      <c r="O62" s="211">
        <v>24857647</v>
      </c>
      <c r="P62" s="211"/>
      <c r="Q62" s="211">
        <v>1016648</v>
      </c>
      <c r="S62" s="450">
        <v>1.1399999999999999</v>
      </c>
      <c r="U62" s="451">
        <v>24.5</v>
      </c>
      <c r="V62" s="843">
        <f t="shared" si="7"/>
        <v>1.1356092428351143E-2</v>
      </c>
      <c r="W62" s="685">
        <f t="shared" si="1"/>
        <v>4.3907571648856003E-5</v>
      </c>
      <c r="X62" s="685"/>
      <c r="Y62" s="449">
        <v>-5</v>
      </c>
      <c r="Z62" s="211">
        <v>1016648</v>
      </c>
      <c r="AA62" s="450">
        <v>1.1399999999999999</v>
      </c>
      <c r="AB62" s="444">
        <v>24.5</v>
      </c>
    </row>
    <row r="63" spans="1:28" s="444" customFormat="1" x14ac:dyDescent="0.25">
      <c r="A63" s="439"/>
      <c r="B63" s="440"/>
      <c r="C63" s="446" t="s">
        <v>470</v>
      </c>
      <c r="D63" s="440"/>
      <c r="E63" s="447">
        <v>53873</v>
      </c>
      <c r="F63" s="440"/>
      <c r="G63" s="448" t="s">
        <v>686</v>
      </c>
      <c r="H63" s="448" t="s">
        <v>685</v>
      </c>
      <c r="I63" s="449">
        <v>-5</v>
      </c>
      <c r="J63" s="440"/>
      <c r="K63" s="209">
        <v>24647469.629999999</v>
      </c>
      <c r="L63" s="210"/>
      <c r="M63" s="211">
        <v>6463275.29</v>
      </c>
      <c r="N63" s="211"/>
      <c r="O63" s="211">
        <v>19416568</v>
      </c>
      <c r="P63" s="211"/>
      <c r="Q63" s="211">
        <v>728552</v>
      </c>
      <c r="S63" s="450">
        <v>2.96</v>
      </c>
      <c r="U63" s="451">
        <v>26.7</v>
      </c>
      <c r="V63" s="843">
        <f t="shared" si="7"/>
        <v>2.9558896346634833E-2</v>
      </c>
      <c r="W63" s="685">
        <f t="shared" si="1"/>
        <v>4.1103653365168191E-5</v>
      </c>
      <c r="X63" s="685"/>
      <c r="Y63" s="449">
        <v>-5</v>
      </c>
      <c r="Z63" s="211">
        <v>728552</v>
      </c>
      <c r="AA63" s="450">
        <v>2.96</v>
      </c>
      <c r="AB63" s="444">
        <v>26.7</v>
      </c>
    </row>
    <row r="64" spans="1:28" s="444" customFormat="1" x14ac:dyDescent="0.25">
      <c r="A64" s="439"/>
      <c r="B64" s="440"/>
      <c r="C64" s="446" t="s">
        <v>471</v>
      </c>
      <c r="D64" s="440"/>
      <c r="E64" s="447">
        <v>48760</v>
      </c>
      <c r="F64" s="440"/>
      <c r="G64" s="448" t="s">
        <v>686</v>
      </c>
      <c r="H64" s="448" t="s">
        <v>685</v>
      </c>
      <c r="I64" s="449">
        <v>-5</v>
      </c>
      <c r="J64" s="440"/>
      <c r="K64" s="209">
        <v>22032534.57</v>
      </c>
      <c r="L64" s="210"/>
      <c r="M64" s="211">
        <v>17817477.420000002</v>
      </c>
      <c r="N64" s="211"/>
      <c r="O64" s="211">
        <v>5316684</v>
      </c>
      <c r="P64" s="211"/>
      <c r="Q64" s="211">
        <v>336528</v>
      </c>
      <c r="S64" s="450">
        <v>1.53</v>
      </c>
      <c r="U64" s="451">
        <v>15.8</v>
      </c>
      <c r="V64" s="843">
        <f t="shared" si="7"/>
        <v>1.5274139202224341E-2</v>
      </c>
      <c r="W64" s="685">
        <f t="shared" si="1"/>
        <v>2.5860797775660582E-5</v>
      </c>
      <c r="X64" s="685"/>
      <c r="Y64" s="449">
        <v>-5</v>
      </c>
      <c r="Z64" s="211">
        <v>336528</v>
      </c>
      <c r="AA64" s="450">
        <v>1.53</v>
      </c>
      <c r="AB64" s="444">
        <v>15.8</v>
      </c>
    </row>
    <row r="65" spans="1:28" s="444" customFormat="1" x14ac:dyDescent="0.25">
      <c r="A65" s="439"/>
      <c r="B65" s="440"/>
      <c r="C65" s="446" t="s">
        <v>472</v>
      </c>
      <c r="D65" s="440"/>
      <c r="E65" s="447">
        <v>49125</v>
      </c>
      <c r="F65" s="440"/>
      <c r="G65" s="448" t="s">
        <v>686</v>
      </c>
      <c r="H65" s="448" t="s">
        <v>685</v>
      </c>
      <c r="I65" s="449">
        <v>-5</v>
      </c>
      <c r="J65" s="440"/>
      <c r="K65" s="212">
        <v>18176144.670000002</v>
      </c>
      <c r="L65" s="210"/>
      <c r="M65" s="213">
        <v>11698599.039999999</v>
      </c>
      <c r="N65" s="211"/>
      <c r="O65" s="213">
        <v>7386353</v>
      </c>
      <c r="P65" s="211"/>
      <c r="Q65" s="213">
        <v>439610</v>
      </c>
      <c r="S65" s="450">
        <v>2.42</v>
      </c>
      <c r="U65" s="451">
        <v>16.8</v>
      </c>
      <c r="V65" s="843">
        <f t="shared" si="7"/>
        <v>2.4186097105927139E-2</v>
      </c>
      <c r="W65" s="685">
        <f t="shared" si="1"/>
        <v>1.390289407286055E-5</v>
      </c>
      <c r="X65" s="685"/>
      <c r="Y65" s="449">
        <v>-5</v>
      </c>
      <c r="Z65" s="213">
        <v>439610</v>
      </c>
      <c r="AA65" s="450">
        <v>2.42</v>
      </c>
      <c r="AB65" s="444">
        <v>16.8</v>
      </c>
    </row>
    <row r="66" spans="1:28" s="444" customFormat="1" x14ac:dyDescent="0.25">
      <c r="A66" s="439"/>
      <c r="B66" s="440"/>
      <c r="C66" s="446"/>
      <c r="D66" s="440"/>
      <c r="E66" s="441"/>
      <c r="F66" s="440"/>
      <c r="G66" s="448"/>
      <c r="H66" s="448"/>
      <c r="I66" s="449"/>
      <c r="J66" s="440"/>
      <c r="K66" s="209"/>
      <c r="L66" s="210"/>
      <c r="M66" s="211"/>
      <c r="N66" s="211"/>
      <c r="O66" s="211"/>
      <c r="P66" s="211"/>
      <c r="Q66" s="211"/>
      <c r="S66" s="450"/>
      <c r="U66" s="451"/>
      <c r="V66" s="843"/>
      <c r="W66" s="685">
        <f t="shared" si="1"/>
        <v>0</v>
      </c>
      <c r="X66" s="685"/>
      <c r="Y66" s="449"/>
      <c r="Z66" s="211"/>
      <c r="AA66" s="450"/>
    </row>
    <row r="67" spans="1:28" s="444" customFormat="1" ht="15.6" x14ac:dyDescent="0.3">
      <c r="A67" s="439"/>
      <c r="B67" s="440"/>
      <c r="C67" s="452" t="s">
        <v>487</v>
      </c>
      <c r="D67" s="440"/>
      <c r="E67" s="441"/>
      <c r="F67" s="440"/>
      <c r="G67" s="448"/>
      <c r="H67" s="448"/>
      <c r="I67" s="449"/>
      <c r="J67" s="440"/>
      <c r="K67" s="209">
        <f>+SUBTOTAL(9,K55:K65)</f>
        <v>338994406.27999997</v>
      </c>
      <c r="L67" s="210"/>
      <c r="M67" s="211">
        <f>+SUBTOTAL(9,M55:M65)</f>
        <v>185038448.54999998</v>
      </c>
      <c r="N67" s="211"/>
      <c r="O67" s="211">
        <f>+SUBTOTAL(9,O55:O65)</f>
        <v>171636725.88</v>
      </c>
      <c r="P67" s="211"/>
      <c r="Q67" s="211">
        <f>+SUBTOTAL(9,Q55:Q65)</f>
        <v>12872535.077066654</v>
      </c>
      <c r="S67" s="450">
        <f t="shared" si="2"/>
        <v>3.7972706447652405</v>
      </c>
      <c r="U67" s="451">
        <f t="shared" si="3"/>
        <v>13.3</v>
      </c>
      <c r="V67" s="843"/>
      <c r="W67" s="685">
        <f t="shared" si="1"/>
        <v>3.7972706447652403E-2</v>
      </c>
      <c r="X67" s="685"/>
      <c r="Y67" s="449"/>
      <c r="Z67" s="211">
        <v>15488712</v>
      </c>
      <c r="AA67" s="450">
        <v>4.5690169846657449</v>
      </c>
      <c r="AB67" s="444">
        <v>11.1</v>
      </c>
    </row>
    <row r="68" spans="1:28" s="444" customFormat="1" x14ac:dyDescent="0.25">
      <c r="A68" s="439"/>
      <c r="B68" s="440"/>
      <c r="C68" s="446"/>
      <c r="D68" s="440"/>
      <c r="E68" s="441"/>
      <c r="F68" s="440"/>
      <c r="G68" s="448"/>
      <c r="H68" s="448"/>
      <c r="I68" s="449"/>
      <c r="J68" s="440"/>
      <c r="K68" s="209"/>
      <c r="L68" s="210"/>
      <c r="M68" s="211"/>
      <c r="N68" s="211"/>
      <c r="O68" s="211"/>
      <c r="P68" s="211"/>
      <c r="Q68" s="211"/>
      <c r="S68" s="450"/>
      <c r="U68" s="451"/>
      <c r="V68" s="843"/>
      <c r="W68" s="685">
        <f t="shared" si="1"/>
        <v>0</v>
      </c>
      <c r="X68" s="685"/>
      <c r="Y68" s="449"/>
      <c r="Z68" s="211"/>
      <c r="AA68" s="450"/>
    </row>
    <row r="69" spans="1:28" s="444" customFormat="1" x14ac:dyDescent="0.25">
      <c r="A69" s="439">
        <v>315</v>
      </c>
      <c r="B69" s="440"/>
      <c r="C69" s="446" t="s">
        <v>5</v>
      </c>
      <c r="D69" s="440"/>
      <c r="E69" s="441"/>
      <c r="F69" s="440"/>
      <c r="G69" s="448"/>
      <c r="H69" s="448"/>
      <c r="I69" s="449"/>
      <c r="J69" s="440"/>
      <c r="K69" s="209"/>
      <c r="L69" s="210"/>
      <c r="M69" s="211"/>
      <c r="N69" s="211"/>
      <c r="O69" s="211"/>
      <c r="P69" s="211"/>
      <c r="Q69" s="211"/>
      <c r="S69" s="450"/>
      <c r="U69" s="451"/>
      <c r="V69" s="843"/>
      <c r="W69" s="685">
        <f t="shared" si="1"/>
        <v>0</v>
      </c>
      <c r="X69" s="685"/>
      <c r="Y69" s="449"/>
      <c r="Z69" s="211"/>
      <c r="AA69" s="450"/>
    </row>
    <row r="70" spans="1:28" s="444" customFormat="1" x14ac:dyDescent="0.25">
      <c r="A70" s="672"/>
      <c r="B70" s="673"/>
      <c r="C70" s="674" t="s">
        <v>488</v>
      </c>
      <c r="D70" s="673"/>
      <c r="E70" s="675">
        <v>44742</v>
      </c>
      <c r="F70" s="673"/>
      <c r="G70" s="676" t="s">
        <v>687</v>
      </c>
      <c r="H70" s="676" t="s">
        <v>685</v>
      </c>
      <c r="I70" s="677">
        <v>0</v>
      </c>
      <c r="J70" s="673"/>
      <c r="K70" s="678">
        <v>7465362.6200000001</v>
      </c>
      <c r="L70" s="679"/>
      <c r="M70" s="680">
        <v>4686399.93</v>
      </c>
      <c r="N70" s="680"/>
      <c r="O70" s="678">
        <f>K70*(1-(I70/100))-M70</f>
        <v>2778962.6900000004</v>
      </c>
      <c r="P70" s="680"/>
      <c r="Q70" s="914">
        <f>'Col 1&amp;2 $18.5M'!K6</f>
        <v>431786.10755118524</v>
      </c>
      <c r="R70" s="681"/>
      <c r="S70" s="682">
        <f>Q70/K70*100</f>
        <v>5.7838598006533974</v>
      </c>
      <c r="T70" s="681"/>
      <c r="U70" s="683">
        <v>5.7</v>
      </c>
      <c r="V70" s="843">
        <f t="shared" ref="V70:V81" si="10">Q70/K70</f>
        <v>5.7838598006533973E-2</v>
      </c>
      <c r="W70" s="684">
        <f t="shared" si="1"/>
        <v>0</v>
      </c>
      <c r="X70" s="684"/>
      <c r="Y70" s="677">
        <v>-10</v>
      </c>
      <c r="Z70" s="680">
        <f>(K70*(1-(Y70/100))-M70)/AB70</f>
        <v>627932.99999831407</v>
      </c>
      <c r="AA70" s="682">
        <f t="shared" ref="AA70:AA71" si="11">Z70/K70*100</f>
        <v>8.4112859878508353</v>
      </c>
      <c r="AB70" s="683">
        <v>5.614450828367783</v>
      </c>
    </row>
    <row r="71" spans="1:28" s="444" customFormat="1" x14ac:dyDescent="0.25">
      <c r="A71" s="672"/>
      <c r="B71" s="673"/>
      <c r="C71" s="674" t="s">
        <v>489</v>
      </c>
      <c r="D71" s="673"/>
      <c r="E71" s="675">
        <v>44742</v>
      </c>
      <c r="F71" s="673"/>
      <c r="G71" s="676" t="s">
        <v>687</v>
      </c>
      <c r="H71" s="676" t="s">
        <v>685</v>
      </c>
      <c r="I71" s="677">
        <v>0</v>
      </c>
      <c r="J71" s="673"/>
      <c r="K71" s="678">
        <v>4167725.42</v>
      </c>
      <c r="L71" s="679"/>
      <c r="M71" s="680">
        <v>1460587.68</v>
      </c>
      <c r="N71" s="680"/>
      <c r="O71" s="678">
        <f>K71*(1-(I71/100))-M71</f>
        <v>2707137.74</v>
      </c>
      <c r="P71" s="680"/>
      <c r="Q71" s="914">
        <f>'Col 1&amp;2 $18.5M'!K15</f>
        <v>246295.72984657975</v>
      </c>
      <c r="R71" s="681"/>
      <c r="S71" s="682">
        <f>Q71/K71*100</f>
        <v>5.9095958832762969</v>
      </c>
      <c r="T71" s="681"/>
      <c r="U71" s="683">
        <v>5.7</v>
      </c>
      <c r="V71" s="843">
        <f t="shared" si="10"/>
        <v>5.9095958832762967E-2</v>
      </c>
      <c r="W71" s="684">
        <f t="shared" si="1"/>
        <v>0</v>
      </c>
      <c r="X71" s="684"/>
      <c r="Y71" s="677">
        <v>-11</v>
      </c>
      <c r="Z71" s="680">
        <f>(K71*(1-(Y71/100))-M71)/AB71</f>
        <v>560351.99999992829</v>
      </c>
      <c r="AA71" s="682">
        <f t="shared" si="11"/>
        <v>13.445031606710989</v>
      </c>
      <c r="AB71" s="683">
        <v>5.6492839076159376</v>
      </c>
    </row>
    <row r="72" spans="1:28" s="444" customFormat="1" x14ac:dyDescent="0.25">
      <c r="A72" s="439"/>
      <c r="B72" s="440"/>
      <c r="C72" s="446" t="s">
        <v>490</v>
      </c>
      <c r="D72" s="440"/>
      <c r="E72" s="447">
        <v>49490</v>
      </c>
      <c r="F72" s="440"/>
      <c r="G72" s="448" t="s">
        <v>687</v>
      </c>
      <c r="H72" s="448" t="s">
        <v>685</v>
      </c>
      <c r="I72" s="449">
        <v>-10</v>
      </c>
      <c r="J72" s="440"/>
      <c r="K72" s="209">
        <v>6769581.5</v>
      </c>
      <c r="L72" s="210"/>
      <c r="M72" s="211">
        <v>4484209.88</v>
      </c>
      <c r="N72" s="211"/>
      <c r="O72" s="211">
        <v>2962330</v>
      </c>
      <c r="P72" s="211"/>
      <c r="Q72" s="443">
        <f>O72/U72</f>
        <v>271773.39449541282</v>
      </c>
      <c r="S72" s="450">
        <v>2.59</v>
      </c>
      <c r="U72" s="915">
        <f t="shared" ref="U72:U73" si="12">AB72</f>
        <v>10.9</v>
      </c>
      <c r="V72" s="843">
        <f t="shared" si="10"/>
        <v>4.0146262290425609E-2</v>
      </c>
      <c r="W72" s="685">
        <f t="shared" si="1"/>
        <v>-1.424626229042561E-2</v>
      </c>
      <c r="X72" s="685"/>
      <c r="Y72" s="449">
        <v>-10</v>
      </c>
      <c r="Z72" s="211">
        <v>175611</v>
      </c>
      <c r="AA72" s="450">
        <v>2.59</v>
      </c>
      <c r="AB72" s="916">
        <v>10.9</v>
      </c>
    </row>
    <row r="73" spans="1:28" s="444" customFormat="1" x14ac:dyDescent="0.25">
      <c r="A73" s="439"/>
      <c r="B73" s="440"/>
      <c r="C73" s="446" t="s">
        <v>491</v>
      </c>
      <c r="D73" s="440"/>
      <c r="E73" s="447">
        <v>49490</v>
      </c>
      <c r="F73" s="440"/>
      <c r="G73" s="448" t="s">
        <v>687</v>
      </c>
      <c r="H73" s="448" t="s">
        <v>685</v>
      </c>
      <c r="I73" s="449">
        <v>-11</v>
      </c>
      <c r="J73" s="440"/>
      <c r="K73" s="209">
        <v>6474413.5999999996</v>
      </c>
      <c r="L73" s="210"/>
      <c r="M73" s="211">
        <v>3767316.75</v>
      </c>
      <c r="N73" s="211"/>
      <c r="O73" s="211">
        <v>3419282</v>
      </c>
      <c r="P73" s="211"/>
      <c r="Q73" s="443">
        <f>O73/U73</f>
        <v>302591.32743362832</v>
      </c>
      <c r="S73" s="450">
        <v>3.06</v>
      </c>
      <c r="U73" s="915">
        <f t="shared" si="12"/>
        <v>11.3</v>
      </c>
      <c r="V73" s="843">
        <f t="shared" si="10"/>
        <v>4.6736483970321006E-2</v>
      </c>
      <c r="W73" s="685">
        <f t="shared" si="1"/>
        <v>-1.6136483970321004E-2</v>
      </c>
      <c r="X73" s="685"/>
      <c r="Y73" s="449">
        <v>-11</v>
      </c>
      <c r="Z73" s="211">
        <v>197994</v>
      </c>
      <c r="AA73" s="450">
        <v>3.06</v>
      </c>
      <c r="AB73" s="916">
        <v>11.3</v>
      </c>
    </row>
    <row r="74" spans="1:28" s="444" customFormat="1" x14ac:dyDescent="0.25">
      <c r="A74" s="672"/>
      <c r="B74" s="673"/>
      <c r="C74" s="674" t="s">
        <v>492</v>
      </c>
      <c r="D74" s="673"/>
      <c r="E74" s="675">
        <v>44742</v>
      </c>
      <c r="F74" s="673"/>
      <c r="G74" s="676" t="s">
        <v>687</v>
      </c>
      <c r="H74" s="676" t="s">
        <v>685</v>
      </c>
      <c r="I74" s="677">
        <v>0</v>
      </c>
      <c r="J74" s="673"/>
      <c r="K74" s="678">
        <v>2272860.64</v>
      </c>
      <c r="L74" s="679"/>
      <c r="M74" s="680">
        <v>1998202.47</v>
      </c>
      <c r="N74" s="680"/>
      <c r="O74" s="678">
        <f>K74*(1-(I74/100))-M74</f>
        <v>274658.17000000016</v>
      </c>
      <c r="P74" s="680"/>
      <c r="Q74" s="914">
        <f>'Col 1&amp;2 $18.5M'!K24</f>
        <v>134316.87881404729</v>
      </c>
      <c r="R74" s="681"/>
      <c r="S74" s="682">
        <f>Q74/K74*100</f>
        <v>5.9095958832762969</v>
      </c>
      <c r="T74" s="681"/>
      <c r="U74" s="683">
        <v>5.7</v>
      </c>
      <c r="V74" s="843">
        <f t="shared" si="10"/>
        <v>5.9095958832762967E-2</v>
      </c>
      <c r="W74" s="684">
        <f t="shared" si="1"/>
        <v>0</v>
      </c>
      <c r="X74" s="684"/>
      <c r="Y74" s="677">
        <v>-10</v>
      </c>
      <c r="Z74" s="680">
        <f>(K74*(1-(Y74/100))-M74)/AB74</f>
        <v>91460.000000207685</v>
      </c>
      <c r="AA74" s="682">
        <f>Z74/K74*100</f>
        <v>4.024003865023932</v>
      </c>
      <c r="AB74" s="683">
        <v>5.4881285151854424</v>
      </c>
    </row>
    <row r="75" spans="1:28" s="444" customFormat="1" x14ac:dyDescent="0.25">
      <c r="B75" s="440"/>
      <c r="C75" s="446" t="s">
        <v>493</v>
      </c>
      <c r="D75" s="440"/>
      <c r="E75" s="447">
        <v>49490</v>
      </c>
      <c r="F75" s="440"/>
      <c r="G75" s="448" t="s">
        <v>687</v>
      </c>
      <c r="H75" s="448" t="s">
        <v>685</v>
      </c>
      <c r="I75" s="449">
        <v>-10</v>
      </c>
      <c r="J75" s="440"/>
      <c r="K75" s="209">
        <v>7639006.2400000002</v>
      </c>
      <c r="L75" s="210"/>
      <c r="M75" s="211">
        <v>5452900.6699999999</v>
      </c>
      <c r="N75" s="211"/>
      <c r="O75" s="211">
        <v>2950006</v>
      </c>
      <c r="P75" s="211"/>
      <c r="Q75" s="443">
        <f>O75/U75</f>
        <v>275701.49532710284</v>
      </c>
      <c r="S75" s="450">
        <v>2.3199999999999998</v>
      </c>
      <c r="U75" s="915">
        <f>AB75</f>
        <v>10.7</v>
      </c>
      <c r="V75" s="843">
        <f t="shared" si="10"/>
        <v>3.6091277669528757E-2</v>
      </c>
      <c r="W75" s="685">
        <f t="shared" si="1"/>
        <v>-1.2891277669528758E-2</v>
      </c>
      <c r="X75" s="685"/>
      <c r="Y75" s="449">
        <v>-10</v>
      </c>
      <c r="Z75" s="211">
        <v>176897</v>
      </c>
      <c r="AA75" s="450">
        <v>2.3199999999999998</v>
      </c>
      <c r="AB75" s="916">
        <v>10.7</v>
      </c>
    </row>
    <row r="76" spans="1:28" s="444" customFormat="1" x14ac:dyDescent="0.25">
      <c r="A76" s="439"/>
      <c r="B76" s="440"/>
      <c r="C76" s="446" t="s">
        <v>479</v>
      </c>
      <c r="D76" s="440"/>
      <c r="E76" s="447">
        <v>48760</v>
      </c>
      <c r="F76" s="440"/>
      <c r="G76" s="448" t="s">
        <v>687</v>
      </c>
      <c r="H76" s="448" t="s">
        <v>685</v>
      </c>
      <c r="I76" s="449">
        <v>0</v>
      </c>
      <c r="J76" s="440"/>
      <c r="K76" s="209">
        <v>1678558.68</v>
      </c>
      <c r="L76" s="210"/>
      <c r="M76" s="211">
        <v>1328205.7</v>
      </c>
      <c r="N76" s="211"/>
      <c r="O76" s="211">
        <v>350353</v>
      </c>
      <c r="P76" s="211"/>
      <c r="Q76" s="211">
        <v>21481</v>
      </c>
      <c r="S76" s="450">
        <v>1.28</v>
      </c>
      <c r="U76" s="451">
        <v>16.3</v>
      </c>
      <c r="V76" s="843">
        <f t="shared" si="10"/>
        <v>1.2797288683407839E-2</v>
      </c>
      <c r="W76" s="685">
        <f t="shared" si="1"/>
        <v>2.7113165921612004E-6</v>
      </c>
      <c r="X76" s="685"/>
      <c r="Y76" s="449">
        <v>0</v>
      </c>
      <c r="Z76" s="211">
        <v>21481</v>
      </c>
      <c r="AA76" s="450">
        <v>1.28</v>
      </c>
      <c r="AB76" s="444">
        <v>16.3</v>
      </c>
    </row>
    <row r="77" spans="1:28" s="444" customFormat="1" x14ac:dyDescent="0.25">
      <c r="A77" s="439"/>
      <c r="B77" s="440"/>
      <c r="C77" s="446" t="s">
        <v>468</v>
      </c>
      <c r="D77" s="440"/>
      <c r="E77" s="447">
        <v>52047</v>
      </c>
      <c r="F77" s="440"/>
      <c r="G77" s="448" t="s">
        <v>687</v>
      </c>
      <c r="H77" s="448" t="s">
        <v>685</v>
      </c>
      <c r="I77" s="449">
        <v>0</v>
      </c>
      <c r="J77" s="440"/>
      <c r="K77" s="209">
        <v>962486.71</v>
      </c>
      <c r="L77" s="210"/>
      <c r="M77" s="211">
        <v>358861.47</v>
      </c>
      <c r="N77" s="211"/>
      <c r="O77" s="211">
        <v>603625</v>
      </c>
      <c r="P77" s="211"/>
      <c r="Q77" s="211">
        <v>24389</v>
      </c>
      <c r="S77" s="450">
        <v>2.5299999999999998</v>
      </c>
      <c r="U77" s="451">
        <v>24.7</v>
      </c>
      <c r="V77" s="843">
        <f t="shared" si="10"/>
        <v>2.5339570662747127E-2</v>
      </c>
      <c r="W77" s="685">
        <f t="shared" si="1"/>
        <v>-3.95706627471272E-5</v>
      </c>
      <c r="X77" s="685"/>
      <c r="Y77" s="449">
        <v>0</v>
      </c>
      <c r="Z77" s="211">
        <v>24389</v>
      </c>
      <c r="AA77" s="450">
        <v>2.5299999999999998</v>
      </c>
      <c r="AB77" s="444">
        <v>24.7</v>
      </c>
    </row>
    <row r="78" spans="1:28" s="444" customFormat="1" x14ac:dyDescent="0.25">
      <c r="A78" s="439"/>
      <c r="B78" s="440"/>
      <c r="C78" s="446" t="s">
        <v>469</v>
      </c>
      <c r="D78" s="440"/>
      <c r="E78" s="447">
        <v>52778</v>
      </c>
      <c r="F78" s="440"/>
      <c r="G78" s="448" t="s">
        <v>687</v>
      </c>
      <c r="H78" s="448" t="s">
        <v>685</v>
      </c>
      <c r="I78" s="449">
        <v>0</v>
      </c>
      <c r="J78" s="440"/>
      <c r="K78" s="209">
        <v>7300879</v>
      </c>
      <c r="L78" s="210"/>
      <c r="M78" s="211">
        <v>5714399.6299999999</v>
      </c>
      <c r="N78" s="211"/>
      <c r="O78" s="211">
        <v>1586479</v>
      </c>
      <c r="P78" s="211"/>
      <c r="Q78" s="211">
        <v>59087</v>
      </c>
      <c r="S78" s="450">
        <v>0.81</v>
      </c>
      <c r="U78" s="451">
        <v>26.8</v>
      </c>
      <c r="V78" s="843">
        <f t="shared" si="10"/>
        <v>8.0931350868847438E-3</v>
      </c>
      <c r="W78" s="685">
        <f t="shared" si="1"/>
        <v>6.8649131152575399E-6</v>
      </c>
      <c r="X78" s="685"/>
      <c r="Y78" s="449">
        <v>0</v>
      </c>
      <c r="Z78" s="211">
        <v>59087</v>
      </c>
      <c r="AA78" s="450">
        <v>0.81</v>
      </c>
      <c r="AB78" s="444">
        <v>26.8</v>
      </c>
    </row>
    <row r="79" spans="1:28" s="444" customFormat="1" x14ac:dyDescent="0.25">
      <c r="A79" s="439"/>
      <c r="B79" s="440"/>
      <c r="C79" s="446" t="s">
        <v>470</v>
      </c>
      <c r="D79" s="440"/>
      <c r="E79" s="447">
        <v>53873</v>
      </c>
      <c r="F79" s="440"/>
      <c r="G79" s="448" t="s">
        <v>687</v>
      </c>
      <c r="H79" s="448" t="s">
        <v>685</v>
      </c>
      <c r="I79" s="449">
        <v>0</v>
      </c>
      <c r="J79" s="440"/>
      <c r="K79" s="209">
        <v>2199936</v>
      </c>
      <c r="L79" s="210"/>
      <c r="M79" s="211">
        <v>586806.03</v>
      </c>
      <c r="N79" s="211"/>
      <c r="O79" s="211">
        <v>1613130</v>
      </c>
      <c r="P79" s="211"/>
      <c r="Q79" s="211">
        <v>54516</v>
      </c>
      <c r="S79" s="450">
        <v>2.48</v>
      </c>
      <c r="U79" s="451">
        <v>29.6</v>
      </c>
      <c r="V79" s="843">
        <f t="shared" si="10"/>
        <v>2.4780720893698725E-2</v>
      </c>
      <c r="W79" s="685">
        <f t="shared" si="1"/>
        <v>1.9279106301273857E-5</v>
      </c>
      <c r="X79" s="685"/>
      <c r="Y79" s="449">
        <v>0</v>
      </c>
      <c r="Z79" s="211">
        <v>54516</v>
      </c>
      <c r="AA79" s="450">
        <v>2.48</v>
      </c>
      <c r="AB79" s="444">
        <v>29.6</v>
      </c>
    </row>
    <row r="80" spans="1:28" s="444" customFormat="1" x14ac:dyDescent="0.25">
      <c r="A80" s="439"/>
      <c r="B80" s="440"/>
      <c r="C80" s="446" t="s">
        <v>471</v>
      </c>
      <c r="D80" s="440"/>
      <c r="E80" s="447">
        <v>48760</v>
      </c>
      <c r="F80" s="440"/>
      <c r="G80" s="448" t="s">
        <v>687</v>
      </c>
      <c r="H80" s="448" t="s">
        <v>685</v>
      </c>
      <c r="I80" s="449">
        <v>0</v>
      </c>
      <c r="J80" s="440"/>
      <c r="K80" s="209">
        <v>670281.89</v>
      </c>
      <c r="L80" s="210"/>
      <c r="M80" s="211">
        <v>579011.38</v>
      </c>
      <c r="N80" s="211"/>
      <c r="O80" s="211">
        <v>91271</v>
      </c>
      <c r="P80" s="211"/>
      <c r="Q80" s="211">
        <v>5491</v>
      </c>
      <c r="S80" s="450">
        <v>0.82</v>
      </c>
      <c r="U80" s="451">
        <v>16.600000000000001</v>
      </c>
      <c r="V80" s="843">
        <f t="shared" si="10"/>
        <v>8.1920757250356271E-3</v>
      </c>
      <c r="W80" s="685">
        <f t="shared" si="1"/>
        <v>7.9242749643718829E-6</v>
      </c>
      <c r="X80" s="685"/>
      <c r="Y80" s="449">
        <v>0</v>
      </c>
      <c r="Z80" s="211">
        <v>5491</v>
      </c>
      <c r="AA80" s="450">
        <v>0.82</v>
      </c>
      <c r="AB80" s="444">
        <v>16.600000000000001</v>
      </c>
    </row>
    <row r="81" spans="1:29" s="444" customFormat="1" x14ac:dyDescent="0.25">
      <c r="A81" s="439"/>
      <c r="B81" s="440"/>
      <c r="C81" s="446" t="s">
        <v>472</v>
      </c>
      <c r="D81" s="440"/>
      <c r="E81" s="447">
        <v>49125</v>
      </c>
      <c r="F81" s="440"/>
      <c r="G81" s="448" t="s">
        <v>687</v>
      </c>
      <c r="H81" s="448" t="s">
        <v>685</v>
      </c>
      <c r="I81" s="449">
        <v>0</v>
      </c>
      <c r="J81" s="440"/>
      <c r="K81" s="212">
        <v>1279531</v>
      </c>
      <c r="L81" s="210"/>
      <c r="M81" s="213">
        <v>862621.84</v>
      </c>
      <c r="N81" s="211"/>
      <c r="O81" s="213">
        <v>416909</v>
      </c>
      <c r="P81" s="211"/>
      <c r="Q81" s="213">
        <v>23581</v>
      </c>
      <c r="S81" s="450">
        <v>1.84</v>
      </c>
      <c r="U81" s="451">
        <v>17.7</v>
      </c>
      <c r="V81" s="843">
        <f t="shared" si="10"/>
        <v>1.8429408900604988E-2</v>
      </c>
      <c r="W81" s="685">
        <f t="shared" si="1"/>
        <v>-2.940890060498802E-5</v>
      </c>
      <c r="X81" s="685"/>
      <c r="Y81" s="449">
        <v>0</v>
      </c>
      <c r="Z81" s="213">
        <v>23581</v>
      </c>
      <c r="AA81" s="450">
        <v>1.84</v>
      </c>
      <c r="AB81" s="444">
        <v>17.7</v>
      </c>
    </row>
    <row r="82" spans="1:29" s="444" customFormat="1" x14ac:dyDescent="0.25">
      <c r="A82" s="439"/>
      <c r="B82" s="440"/>
      <c r="C82" s="446"/>
      <c r="D82" s="440"/>
      <c r="E82" s="441"/>
      <c r="F82" s="440"/>
      <c r="G82" s="448"/>
      <c r="H82" s="448"/>
      <c r="I82" s="449"/>
      <c r="J82" s="440"/>
      <c r="K82" s="209"/>
      <c r="L82" s="210"/>
      <c r="M82" s="211"/>
      <c r="N82" s="211"/>
      <c r="O82" s="211"/>
      <c r="P82" s="211"/>
      <c r="Q82" s="211"/>
      <c r="S82" s="450"/>
      <c r="U82" s="451"/>
      <c r="V82" s="843"/>
      <c r="W82" s="685">
        <f t="shared" si="1"/>
        <v>0</v>
      </c>
      <c r="X82" s="685"/>
      <c r="Y82" s="449"/>
      <c r="Z82" s="211"/>
      <c r="AA82" s="450"/>
    </row>
    <row r="83" spans="1:29" s="444" customFormat="1" ht="15.6" x14ac:dyDescent="0.3">
      <c r="A83" s="439"/>
      <c r="B83" s="440"/>
      <c r="C83" s="452" t="s">
        <v>494</v>
      </c>
      <c r="D83" s="440"/>
      <c r="E83" s="441"/>
      <c r="F83" s="440"/>
      <c r="G83" s="448"/>
      <c r="H83" s="448"/>
      <c r="I83" s="449"/>
      <c r="J83" s="440"/>
      <c r="K83" s="209">
        <f>+SUBTOTAL(9,K70:K81)</f>
        <v>48880623.300000004</v>
      </c>
      <c r="L83" s="210"/>
      <c r="M83" s="211">
        <f>+SUBTOTAL(9,M70:M81)</f>
        <v>31279523.429999996</v>
      </c>
      <c r="N83" s="211"/>
      <c r="O83" s="211">
        <f>+SUBTOTAL(9,O70:O81)</f>
        <v>19754143.600000001</v>
      </c>
      <c r="P83" s="211"/>
      <c r="Q83" s="211">
        <f>+SUBTOTAL(9,Q70:Q81)</f>
        <v>1851009.9334679563</v>
      </c>
      <c r="S83" s="450">
        <f t="shared" si="2"/>
        <v>3.7867969115442031</v>
      </c>
      <c r="U83" s="451">
        <f t="shared" si="3"/>
        <v>10.7</v>
      </c>
      <c r="V83" s="843">
        <f t="shared" ref="V83" si="13">Q83/K83</f>
        <v>3.7867969115442032E-2</v>
      </c>
      <c r="W83" s="685">
        <f t="shared" si="1"/>
        <v>0</v>
      </c>
      <c r="X83" s="685"/>
      <c r="Y83" s="449"/>
      <c r="Z83" s="211">
        <v>2018792</v>
      </c>
      <c r="AA83" s="450">
        <v>4.1300455348326128</v>
      </c>
      <c r="AB83" s="444">
        <v>10.5</v>
      </c>
    </row>
    <row r="84" spans="1:29" s="444" customFormat="1" x14ac:dyDescent="0.25">
      <c r="A84" s="439"/>
      <c r="B84" s="440"/>
      <c r="C84" s="446"/>
      <c r="D84" s="440"/>
      <c r="E84" s="441"/>
      <c r="F84" s="440"/>
      <c r="G84" s="448"/>
      <c r="H84" s="448"/>
      <c r="I84" s="449"/>
      <c r="J84" s="440"/>
      <c r="K84" s="209"/>
      <c r="L84" s="440"/>
      <c r="M84" s="443"/>
      <c r="N84" s="443"/>
      <c r="O84" s="443"/>
      <c r="P84" s="443"/>
      <c r="Q84" s="443"/>
      <c r="S84" s="450"/>
      <c r="U84" s="451"/>
      <c r="V84" s="843"/>
      <c r="W84" s="685">
        <f t="shared" si="1"/>
        <v>0</v>
      </c>
      <c r="X84" s="685"/>
      <c r="Y84" s="449"/>
      <c r="Z84" s="443"/>
      <c r="AA84" s="450"/>
    </row>
    <row r="85" spans="1:29" s="444" customFormat="1" x14ac:dyDescent="0.25">
      <c r="A85" s="439">
        <v>316</v>
      </c>
      <c r="B85" s="440"/>
      <c r="C85" s="446" t="s">
        <v>495</v>
      </c>
      <c r="D85" s="440"/>
      <c r="E85" s="441"/>
      <c r="F85" s="440"/>
      <c r="G85" s="448"/>
      <c r="H85" s="448"/>
      <c r="I85" s="449"/>
      <c r="J85" s="440"/>
      <c r="K85" s="209"/>
      <c r="L85" s="440"/>
      <c r="M85" s="443"/>
      <c r="N85" s="443"/>
      <c r="O85" s="443"/>
      <c r="P85" s="443"/>
      <c r="Q85" s="443"/>
      <c r="S85" s="450"/>
      <c r="U85" s="451"/>
      <c r="V85" s="843"/>
      <c r="W85" s="685">
        <f t="shared" si="1"/>
        <v>0</v>
      </c>
      <c r="X85" s="685"/>
      <c r="Y85" s="449"/>
      <c r="Z85" s="443"/>
      <c r="AA85" s="450"/>
    </row>
    <row r="86" spans="1:29" s="444" customFormat="1" x14ac:dyDescent="0.25">
      <c r="A86" s="672"/>
      <c r="B86" s="673"/>
      <c r="C86" s="674" t="s">
        <v>496</v>
      </c>
      <c r="D86" s="673"/>
      <c r="E86" s="675">
        <v>44742</v>
      </c>
      <c r="F86" s="673"/>
      <c r="G86" s="676" t="s">
        <v>688</v>
      </c>
      <c r="H86" s="676" t="s">
        <v>685</v>
      </c>
      <c r="I86" s="677">
        <v>0</v>
      </c>
      <c r="J86" s="673"/>
      <c r="K86" s="678">
        <v>946611.59</v>
      </c>
      <c r="L86" s="679"/>
      <c r="M86" s="680">
        <v>373568.68</v>
      </c>
      <c r="N86" s="680"/>
      <c r="O86" s="678">
        <f>K86*(1-(I86/100))-M86</f>
        <v>573042.90999999992</v>
      </c>
      <c r="P86" s="680"/>
      <c r="Q86" s="914">
        <f>'Col 1&amp;2 $18.5M'!K7</f>
        <v>54750.687222335953</v>
      </c>
      <c r="R86" s="681"/>
      <c r="S86" s="682">
        <f>Q86/K86*100</f>
        <v>5.7838598006533974</v>
      </c>
      <c r="T86" s="681"/>
      <c r="U86" s="683">
        <v>5.7</v>
      </c>
      <c r="V86" s="843">
        <f t="shared" ref="V86:V97" si="14">Q86/K86</f>
        <v>5.7838598006533973E-2</v>
      </c>
      <c r="W86" s="684">
        <f t="shared" si="1"/>
        <v>0</v>
      </c>
      <c r="X86" s="684"/>
      <c r="Y86" s="677">
        <v>-11</v>
      </c>
      <c r="Z86" s="680">
        <f>(K86*(1-(Y86/100))-M86)/AB86</f>
        <v>120034.99999988863</v>
      </c>
      <c r="AA86" s="682">
        <f t="shared" ref="AA86:AA87" si="15">Z86/K86*100</f>
        <v>12.680491266738942</v>
      </c>
      <c r="AB86" s="683">
        <v>5.6414394543310573</v>
      </c>
    </row>
    <row r="87" spans="1:29" s="444" customFormat="1" x14ac:dyDescent="0.25">
      <c r="A87" s="672"/>
      <c r="B87" s="673"/>
      <c r="C87" s="674" t="s">
        <v>497</v>
      </c>
      <c r="D87" s="673"/>
      <c r="E87" s="675">
        <v>44742</v>
      </c>
      <c r="F87" s="673"/>
      <c r="G87" s="676" t="s">
        <v>688</v>
      </c>
      <c r="H87" s="676" t="s">
        <v>685</v>
      </c>
      <c r="I87" s="677">
        <v>0</v>
      </c>
      <c r="J87" s="673"/>
      <c r="K87" s="678">
        <v>1075704.3200000001</v>
      </c>
      <c r="L87" s="679"/>
      <c r="M87" s="680">
        <v>483996.02</v>
      </c>
      <c r="N87" s="680"/>
      <c r="O87" s="678">
        <f>K87*(1-(I87/100))-M87</f>
        <v>591708.30000000005</v>
      </c>
      <c r="P87" s="680"/>
      <c r="Q87" s="914">
        <f>'Col 1&amp;2 $18.5M'!K16</f>
        <v>63569.778210945289</v>
      </c>
      <c r="R87" s="681"/>
      <c r="S87" s="682">
        <f>Q87/K87*100</f>
        <v>5.9095958832762978</v>
      </c>
      <c r="T87" s="681"/>
      <c r="U87" s="683">
        <v>5.7</v>
      </c>
      <c r="V87" s="843">
        <f t="shared" si="14"/>
        <v>5.9095958832762974E-2</v>
      </c>
      <c r="W87" s="684">
        <f t="shared" si="1"/>
        <v>0</v>
      </c>
      <c r="X87" s="684"/>
      <c r="Y87" s="677">
        <v>-11</v>
      </c>
      <c r="Z87" s="680">
        <f>(K87*(1-(Y87/100))-M87)/AB87</f>
        <v>126436.99999963425</v>
      </c>
      <c r="AA87" s="682">
        <f t="shared" si="15"/>
        <v>11.753880471506728</v>
      </c>
      <c r="AB87" s="683">
        <v>5.6157277948864195</v>
      </c>
    </row>
    <row r="88" spans="1:29" s="444" customFormat="1" x14ac:dyDescent="0.25">
      <c r="A88" s="439"/>
      <c r="B88" s="440"/>
      <c r="C88" s="446" t="s">
        <v>498</v>
      </c>
      <c r="D88" s="440"/>
      <c r="E88" s="447">
        <v>49490</v>
      </c>
      <c r="F88" s="440"/>
      <c r="G88" s="448" t="s">
        <v>688</v>
      </c>
      <c r="H88" s="448" t="s">
        <v>685</v>
      </c>
      <c r="I88" s="449">
        <v>-11</v>
      </c>
      <c r="J88" s="440"/>
      <c r="K88" s="209">
        <v>1043990.99</v>
      </c>
      <c r="L88" s="210"/>
      <c r="M88" s="211">
        <v>378123.11</v>
      </c>
      <c r="N88" s="211"/>
      <c r="O88" s="211">
        <v>780707</v>
      </c>
      <c r="P88" s="211"/>
      <c r="Q88" s="443">
        <f>O88/U88</f>
        <v>69089.115044247781</v>
      </c>
      <c r="S88" s="450">
        <v>4.33</v>
      </c>
      <c r="U88" s="915">
        <f t="shared" ref="U88:U89" si="16">AB88</f>
        <v>11.3</v>
      </c>
      <c r="V88" s="843">
        <f t="shared" si="14"/>
        <v>6.6177884393664912E-2</v>
      </c>
      <c r="W88" s="685">
        <f t="shared" si="1"/>
        <v>-2.2877884393664914E-2</v>
      </c>
      <c r="X88" s="685"/>
      <c r="Y88" s="449">
        <v>-11</v>
      </c>
      <c r="Z88" s="211">
        <v>45212</v>
      </c>
      <c r="AA88" s="450">
        <v>4.33</v>
      </c>
      <c r="AB88" s="916">
        <v>11.3</v>
      </c>
    </row>
    <row r="89" spans="1:29" s="444" customFormat="1" x14ac:dyDescent="0.25">
      <c r="A89" s="439"/>
      <c r="B89" s="440"/>
      <c r="C89" s="446" t="s">
        <v>499</v>
      </c>
      <c r="D89" s="440"/>
      <c r="E89" s="447">
        <v>49490</v>
      </c>
      <c r="F89" s="440"/>
      <c r="G89" s="448" t="s">
        <v>688</v>
      </c>
      <c r="H89" s="448" t="s">
        <v>685</v>
      </c>
      <c r="I89" s="449">
        <v>-11</v>
      </c>
      <c r="J89" s="440"/>
      <c r="K89" s="209">
        <v>1165681.21</v>
      </c>
      <c r="L89" s="210"/>
      <c r="M89" s="211">
        <v>420604.1</v>
      </c>
      <c r="N89" s="211"/>
      <c r="O89" s="211">
        <v>873302</v>
      </c>
      <c r="P89" s="211"/>
      <c r="Q89" s="443">
        <f>O89/U89</f>
        <v>77973.392857142855</v>
      </c>
      <c r="S89" s="450">
        <v>4.3600000000000003</v>
      </c>
      <c r="U89" s="915">
        <f t="shared" si="16"/>
        <v>11.2</v>
      </c>
      <c r="V89" s="843">
        <f t="shared" si="14"/>
        <v>6.6890837896531635E-2</v>
      </c>
      <c r="W89" s="685">
        <f t="shared" ref="W89:W152" si="17">S89/100-V89</f>
        <v>-2.3290837896531635E-2</v>
      </c>
      <c r="X89" s="685"/>
      <c r="Y89" s="449">
        <v>-11</v>
      </c>
      <c r="Z89" s="211">
        <v>50848</v>
      </c>
      <c r="AA89" s="450">
        <v>4.3600000000000003</v>
      </c>
      <c r="AB89" s="916">
        <v>11.2</v>
      </c>
    </row>
    <row r="90" spans="1:29" s="444" customFormat="1" x14ac:dyDescent="0.25">
      <c r="A90" s="672"/>
      <c r="B90" s="673"/>
      <c r="C90" s="674" t="s">
        <v>500</v>
      </c>
      <c r="D90" s="673"/>
      <c r="E90" s="675">
        <v>44742</v>
      </c>
      <c r="F90" s="673"/>
      <c r="G90" s="676" t="s">
        <v>688</v>
      </c>
      <c r="H90" s="676" t="s">
        <v>685</v>
      </c>
      <c r="I90" s="677">
        <v>0</v>
      </c>
      <c r="J90" s="673"/>
      <c r="K90" s="678">
        <v>6205596.7199999997</v>
      </c>
      <c r="L90" s="679"/>
      <c r="M90" s="680">
        <v>5331195.47</v>
      </c>
      <c r="N90" s="680"/>
      <c r="O90" s="678">
        <f>K90*(1-(I90/100))-M90</f>
        <v>874401.25</v>
      </c>
      <c r="P90" s="680"/>
      <c r="Q90" s="914">
        <f>'Col 1&amp;2 $18.5M'!K25</f>
        <v>366725.68829784892</v>
      </c>
      <c r="R90" s="681"/>
      <c r="S90" s="682">
        <f>Q90/K90*100</f>
        <v>5.9095958832762978</v>
      </c>
      <c r="T90" s="681"/>
      <c r="U90" s="683">
        <v>5.7</v>
      </c>
      <c r="V90" s="843">
        <f t="shared" si="14"/>
        <v>5.9095958832762974E-2</v>
      </c>
      <c r="W90" s="684">
        <f t="shared" si="17"/>
        <v>0</v>
      </c>
      <c r="X90" s="684"/>
      <c r="Y90" s="677">
        <v>-10</v>
      </c>
      <c r="Z90" s="680">
        <f>(K90*(1-(Y90/100))-M90)/AB90</f>
        <v>270436.99999918981</v>
      </c>
      <c r="AA90" s="682">
        <f>Z90/K90*100</f>
        <v>4.357953186477606</v>
      </c>
      <c r="AB90" s="683">
        <v>5.527945222009115</v>
      </c>
      <c r="AC90" s="443"/>
    </row>
    <row r="91" spans="1:29" s="444" customFormat="1" x14ac:dyDescent="0.25">
      <c r="A91" s="439"/>
      <c r="B91" s="440"/>
      <c r="C91" s="446" t="s">
        <v>501</v>
      </c>
      <c r="D91" s="440"/>
      <c r="E91" s="447">
        <v>49490</v>
      </c>
      <c r="F91" s="440"/>
      <c r="G91" s="448" t="s">
        <v>688</v>
      </c>
      <c r="H91" s="448" t="s">
        <v>685</v>
      </c>
      <c r="I91" s="449">
        <v>-9</v>
      </c>
      <c r="J91" s="440"/>
      <c r="K91" s="209">
        <v>251533.56</v>
      </c>
      <c r="L91" s="210"/>
      <c r="M91" s="211">
        <v>195027.13</v>
      </c>
      <c r="N91" s="211"/>
      <c r="O91" s="211">
        <v>79144</v>
      </c>
      <c r="P91" s="211"/>
      <c r="Q91" s="443">
        <f>O91/U91</f>
        <v>4977.6100628930817</v>
      </c>
      <c r="S91" s="450">
        <v>1.98</v>
      </c>
      <c r="U91" s="915">
        <f t="shared" ref="U91:U92" si="18">AB91</f>
        <v>15.9</v>
      </c>
      <c r="V91" s="843">
        <f t="shared" si="14"/>
        <v>1.9789049472734698E-2</v>
      </c>
      <c r="W91" s="685">
        <f t="shared" si="17"/>
        <v>1.095052726530002E-5</v>
      </c>
      <c r="X91" s="685"/>
      <c r="Y91" s="449">
        <v>-9</v>
      </c>
      <c r="Z91" s="211">
        <v>4975</v>
      </c>
      <c r="AA91" s="450">
        <v>1.98</v>
      </c>
      <c r="AB91" s="916">
        <v>15.9</v>
      </c>
    </row>
    <row r="92" spans="1:29" s="444" customFormat="1" x14ac:dyDescent="0.25">
      <c r="A92" s="439"/>
      <c r="B92" s="440"/>
      <c r="C92" s="446" t="s">
        <v>502</v>
      </c>
      <c r="D92" s="440"/>
      <c r="E92" s="447">
        <v>49490</v>
      </c>
      <c r="F92" s="440"/>
      <c r="G92" s="448" t="s">
        <v>688</v>
      </c>
      <c r="H92" s="448" t="s">
        <v>685</v>
      </c>
      <c r="I92" s="449">
        <v>-10</v>
      </c>
      <c r="J92" s="440"/>
      <c r="K92" s="209">
        <v>4444375.42</v>
      </c>
      <c r="L92" s="210"/>
      <c r="M92" s="211">
        <v>2910937.53</v>
      </c>
      <c r="N92" s="211"/>
      <c r="O92" s="211">
        <v>1977875</v>
      </c>
      <c r="P92" s="211"/>
      <c r="Q92" s="443">
        <f>O92/U92</f>
        <v>192026.6990291262</v>
      </c>
      <c r="S92" s="450">
        <v>2.72</v>
      </c>
      <c r="U92" s="915">
        <f t="shared" si="18"/>
        <v>10.3</v>
      </c>
      <c r="V92" s="843">
        <f t="shared" si="14"/>
        <v>4.3206678302870782E-2</v>
      </c>
      <c r="W92" s="685">
        <f t="shared" si="17"/>
        <v>-1.600667830287078E-2</v>
      </c>
      <c r="X92" s="685"/>
      <c r="Y92" s="449">
        <v>-10</v>
      </c>
      <c r="Z92" s="211">
        <v>121076</v>
      </c>
      <c r="AA92" s="450">
        <v>2.72</v>
      </c>
      <c r="AB92" s="916">
        <v>10.3</v>
      </c>
    </row>
    <row r="93" spans="1:29" s="444" customFormat="1" x14ac:dyDescent="0.25">
      <c r="A93" s="439"/>
      <c r="B93" s="440"/>
      <c r="C93" s="446" t="s">
        <v>468</v>
      </c>
      <c r="D93" s="440"/>
      <c r="E93" s="447">
        <v>52047</v>
      </c>
      <c r="F93" s="440"/>
      <c r="G93" s="448" t="s">
        <v>688</v>
      </c>
      <c r="H93" s="448" t="s">
        <v>685</v>
      </c>
      <c r="I93" s="449">
        <v>0</v>
      </c>
      <c r="J93" s="440"/>
      <c r="K93" s="209">
        <v>336377.91</v>
      </c>
      <c r="L93" s="210"/>
      <c r="M93" s="211">
        <v>138260.22</v>
      </c>
      <c r="N93" s="211"/>
      <c r="O93" s="211">
        <v>198118</v>
      </c>
      <c r="P93" s="211"/>
      <c r="Q93" s="211">
        <v>8565</v>
      </c>
      <c r="S93" s="450">
        <v>2.5499999999999998</v>
      </c>
      <c r="U93" s="451">
        <v>23.1</v>
      </c>
      <c r="V93" s="843">
        <f t="shared" si="14"/>
        <v>2.5462433011727792E-2</v>
      </c>
      <c r="W93" s="685">
        <f t="shared" si="17"/>
        <v>3.756698827220642E-5</v>
      </c>
      <c r="X93" s="685"/>
      <c r="Y93" s="449">
        <v>0</v>
      </c>
      <c r="Z93" s="211">
        <v>8565</v>
      </c>
      <c r="AA93" s="450">
        <v>2.5499999999999998</v>
      </c>
      <c r="AB93" s="444">
        <v>23.1</v>
      </c>
    </row>
    <row r="94" spans="1:29" s="444" customFormat="1" x14ac:dyDescent="0.25">
      <c r="A94" s="439"/>
      <c r="B94" s="440"/>
      <c r="C94" s="446" t="s">
        <v>469</v>
      </c>
      <c r="D94" s="440"/>
      <c r="E94" s="447">
        <v>52778</v>
      </c>
      <c r="F94" s="440"/>
      <c r="G94" s="448" t="s">
        <v>688</v>
      </c>
      <c r="H94" s="448" t="s">
        <v>685</v>
      </c>
      <c r="I94" s="449">
        <v>0</v>
      </c>
      <c r="J94" s="440"/>
      <c r="K94" s="209">
        <v>6163</v>
      </c>
      <c r="L94" s="210"/>
      <c r="M94" s="211">
        <v>4823.62</v>
      </c>
      <c r="N94" s="211"/>
      <c r="O94" s="211">
        <v>1339</v>
      </c>
      <c r="P94" s="211"/>
      <c r="Q94" s="211">
        <v>54</v>
      </c>
      <c r="S94" s="450">
        <v>0.88</v>
      </c>
      <c r="U94" s="451">
        <v>24.8</v>
      </c>
      <c r="V94" s="843">
        <f t="shared" si="14"/>
        <v>8.7619665747201043E-3</v>
      </c>
      <c r="W94" s="685">
        <f t="shared" si="17"/>
        <v>3.8033425279896185E-5</v>
      </c>
      <c r="X94" s="685"/>
      <c r="Y94" s="449">
        <v>0</v>
      </c>
      <c r="Z94" s="211">
        <v>54</v>
      </c>
      <c r="AA94" s="450">
        <v>0.88</v>
      </c>
      <c r="AB94" s="444">
        <v>24.8</v>
      </c>
    </row>
    <row r="95" spans="1:29" s="444" customFormat="1" x14ac:dyDescent="0.25">
      <c r="A95" s="439"/>
      <c r="B95" s="440"/>
      <c r="C95" s="446" t="s">
        <v>470</v>
      </c>
      <c r="D95" s="440"/>
      <c r="E95" s="447">
        <v>53873</v>
      </c>
      <c r="F95" s="440"/>
      <c r="G95" s="448" t="s">
        <v>688</v>
      </c>
      <c r="H95" s="448" t="s">
        <v>685</v>
      </c>
      <c r="I95" s="449">
        <v>0</v>
      </c>
      <c r="J95" s="440"/>
      <c r="K95" s="209">
        <v>152757</v>
      </c>
      <c r="L95" s="210"/>
      <c r="M95" s="211">
        <v>38798.85</v>
      </c>
      <c r="N95" s="211"/>
      <c r="O95" s="211">
        <v>113958</v>
      </c>
      <c r="P95" s="211"/>
      <c r="Q95" s="211">
        <v>4168</v>
      </c>
      <c r="S95" s="450">
        <v>2.73</v>
      </c>
      <c r="U95" s="451">
        <v>27.3</v>
      </c>
      <c r="V95" s="843">
        <f t="shared" si="14"/>
        <v>2.7285165327939145E-2</v>
      </c>
      <c r="W95" s="685">
        <f t="shared" si="17"/>
        <v>1.4834672060856646E-5</v>
      </c>
      <c r="X95" s="685"/>
      <c r="Y95" s="449">
        <v>0</v>
      </c>
      <c r="Z95" s="211">
        <v>4168</v>
      </c>
      <c r="AA95" s="450">
        <v>2.73</v>
      </c>
      <c r="AB95" s="444">
        <v>27.3</v>
      </c>
    </row>
    <row r="96" spans="1:29" s="444" customFormat="1" x14ac:dyDescent="0.25">
      <c r="A96" s="439"/>
      <c r="B96" s="440"/>
      <c r="C96" s="446" t="s">
        <v>471</v>
      </c>
      <c r="D96" s="440"/>
      <c r="E96" s="447">
        <v>48760</v>
      </c>
      <c r="F96" s="440"/>
      <c r="G96" s="448" t="s">
        <v>688</v>
      </c>
      <c r="H96" s="448" t="s">
        <v>685</v>
      </c>
      <c r="I96" s="449">
        <v>0</v>
      </c>
      <c r="J96" s="440"/>
      <c r="K96" s="209">
        <v>123691</v>
      </c>
      <c r="L96" s="210"/>
      <c r="M96" s="211">
        <v>109782.03</v>
      </c>
      <c r="N96" s="211"/>
      <c r="O96" s="211">
        <v>13909</v>
      </c>
      <c r="P96" s="211"/>
      <c r="Q96" s="211">
        <v>874</v>
      </c>
      <c r="S96" s="450">
        <v>0.71</v>
      </c>
      <c r="U96" s="451">
        <v>15.9</v>
      </c>
      <c r="V96" s="843">
        <f t="shared" si="14"/>
        <v>7.0659951006944721E-3</v>
      </c>
      <c r="W96" s="685">
        <f t="shared" si="17"/>
        <v>3.4004899305527421E-5</v>
      </c>
      <c r="X96" s="685"/>
      <c r="Y96" s="449">
        <v>0</v>
      </c>
      <c r="Z96" s="211">
        <v>874</v>
      </c>
      <c r="AA96" s="450">
        <v>0.71</v>
      </c>
      <c r="AB96" s="444">
        <v>15.9</v>
      </c>
    </row>
    <row r="97" spans="1:28" s="444" customFormat="1" x14ac:dyDescent="0.25">
      <c r="A97" s="439"/>
      <c r="B97" s="440"/>
      <c r="C97" s="446" t="s">
        <v>472</v>
      </c>
      <c r="D97" s="440"/>
      <c r="E97" s="447">
        <v>49125</v>
      </c>
      <c r="F97" s="440"/>
      <c r="G97" s="448" t="s">
        <v>688</v>
      </c>
      <c r="H97" s="448" t="s">
        <v>685</v>
      </c>
      <c r="I97" s="449">
        <v>0</v>
      </c>
      <c r="J97" s="440"/>
      <c r="K97" s="212">
        <v>62866</v>
      </c>
      <c r="L97" s="210"/>
      <c r="M97" s="213">
        <v>43035.78</v>
      </c>
      <c r="N97" s="211"/>
      <c r="O97" s="213">
        <v>19830</v>
      </c>
      <c r="P97" s="211"/>
      <c r="Q97" s="213">
        <v>1171</v>
      </c>
      <c r="S97" s="450">
        <v>1.86</v>
      </c>
      <c r="U97" s="451">
        <v>16.899999999999999</v>
      </c>
      <c r="V97" s="843">
        <f t="shared" si="14"/>
        <v>1.8626920752075844E-2</v>
      </c>
      <c r="W97" s="685">
        <f t="shared" si="17"/>
        <v>-2.6920752075842297E-5</v>
      </c>
      <c r="X97" s="685"/>
      <c r="Y97" s="449">
        <v>0</v>
      </c>
      <c r="Z97" s="213">
        <v>1171</v>
      </c>
      <c r="AA97" s="450">
        <v>1.86</v>
      </c>
      <c r="AB97" s="444">
        <v>16.899999999999999</v>
      </c>
    </row>
    <row r="98" spans="1:28" s="444" customFormat="1" x14ac:dyDescent="0.25">
      <c r="A98" s="439"/>
      <c r="B98" s="440"/>
      <c r="C98" s="446"/>
      <c r="D98" s="440"/>
      <c r="E98" s="441"/>
      <c r="F98" s="440"/>
      <c r="G98" s="448"/>
      <c r="H98" s="448"/>
      <c r="I98" s="449"/>
      <c r="J98" s="440"/>
      <c r="K98" s="209"/>
      <c r="L98" s="210"/>
      <c r="M98" s="211"/>
      <c r="N98" s="211"/>
      <c r="O98" s="211"/>
      <c r="P98" s="211"/>
      <c r="Q98" s="211"/>
      <c r="S98" s="450"/>
      <c r="U98" s="451"/>
      <c r="V98" s="843"/>
      <c r="W98" s="685">
        <f t="shared" si="17"/>
        <v>0</v>
      </c>
      <c r="X98" s="685"/>
      <c r="Z98" s="211"/>
      <c r="AA98" s="450"/>
    </row>
    <row r="99" spans="1:28" s="444" customFormat="1" ht="15.6" x14ac:dyDescent="0.3">
      <c r="A99" s="439"/>
      <c r="B99" s="440"/>
      <c r="C99" s="452" t="s">
        <v>503</v>
      </c>
      <c r="D99" s="440"/>
      <c r="E99" s="441"/>
      <c r="F99" s="440"/>
      <c r="G99" s="448"/>
      <c r="H99" s="448"/>
      <c r="I99" s="449"/>
      <c r="J99" s="440"/>
      <c r="K99" s="212">
        <f>+SUBTOTAL(9,K86:K97)</f>
        <v>15815348.720000001</v>
      </c>
      <c r="L99" s="210"/>
      <c r="M99" s="213">
        <f>+SUBTOTAL(9,M86:M97)</f>
        <v>10428152.539999997</v>
      </c>
      <c r="N99" s="211"/>
      <c r="O99" s="213">
        <f>+SUBTOTAL(9,O86:O97)</f>
        <v>6097334.46</v>
      </c>
      <c r="P99" s="211"/>
      <c r="Q99" s="213">
        <f>+SUBTOTAL(9,Q86:Q97)</f>
        <v>843944.97072454018</v>
      </c>
      <c r="S99" s="450">
        <f t="shared" ref="S99" si="19">Q99/K99*100</f>
        <v>5.3362400391291542</v>
      </c>
      <c r="U99" s="451">
        <f t="shared" ref="U99" si="20">ROUND(O99/Q99,1)</f>
        <v>7.2</v>
      </c>
      <c r="V99" s="843">
        <f t="shared" ref="V99:V101" si="21">Q99/K99</f>
        <v>5.3362400391291538E-2</v>
      </c>
      <c r="W99" s="685">
        <f t="shared" si="17"/>
        <v>0</v>
      </c>
      <c r="X99" s="685"/>
      <c r="Z99" s="213">
        <v>753852</v>
      </c>
      <c r="AA99" s="450">
        <v>4.7665847484392367</v>
      </c>
    </row>
    <row r="100" spans="1:28" s="444" customFormat="1" x14ac:dyDescent="0.25">
      <c r="A100" s="439"/>
      <c r="B100" s="453"/>
      <c r="C100" s="446"/>
      <c r="D100" s="454"/>
      <c r="E100" s="441"/>
      <c r="F100" s="454"/>
      <c r="G100" s="448"/>
      <c r="H100" s="448"/>
      <c r="I100" s="449"/>
      <c r="J100" s="454"/>
      <c r="K100" s="209"/>
      <c r="L100" s="210"/>
      <c r="M100" s="211"/>
      <c r="N100" s="211"/>
      <c r="O100" s="211"/>
      <c r="P100" s="211"/>
      <c r="Q100" s="211"/>
      <c r="R100" s="445"/>
      <c r="S100" s="450"/>
      <c r="T100" s="445"/>
      <c r="U100" s="451"/>
      <c r="V100" s="843"/>
      <c r="W100" s="685">
        <f t="shared" si="17"/>
        <v>0</v>
      </c>
      <c r="X100" s="685"/>
      <c r="Z100" s="211"/>
      <c r="AA100" s="450"/>
    </row>
    <row r="101" spans="1:28" ht="15.6" x14ac:dyDescent="0.3">
      <c r="A101" s="438"/>
      <c r="C101" s="433" t="s">
        <v>504</v>
      </c>
      <c r="G101" s="455"/>
      <c r="H101" s="455"/>
      <c r="I101" s="456"/>
      <c r="K101" s="214">
        <f>SUBTOTAL(9,K23:K99)</f>
        <v>1277134227.6500003</v>
      </c>
      <c r="L101" s="457"/>
      <c r="M101" s="215">
        <f>SUBTOTAL(9,M23:M99)</f>
        <v>770395690.3599999</v>
      </c>
      <c r="N101" s="458"/>
      <c r="O101" s="215">
        <f>SUBTOTAL(9,O23:O99)</f>
        <v>589398355.22999978</v>
      </c>
      <c r="P101" s="458"/>
      <c r="Q101" s="215">
        <f>SUBTOTAL(9,Q23:Q99)</f>
        <v>49289916.833375596</v>
      </c>
      <c r="S101" s="459">
        <f>ROUND(Q101/K101*100,2)</f>
        <v>3.86</v>
      </c>
      <c r="U101" s="437"/>
      <c r="V101" s="843">
        <f t="shared" si="21"/>
        <v>3.8594155388092487E-2</v>
      </c>
      <c r="W101" s="685">
        <f t="shared" si="17"/>
        <v>5.8446119075086789E-6</v>
      </c>
      <c r="X101" s="685"/>
      <c r="Z101" s="215">
        <v>56840731</v>
      </c>
      <c r="AA101" s="459">
        <v>4.4400000000000004</v>
      </c>
    </row>
    <row r="102" spans="1:28" ht="15.6" x14ac:dyDescent="0.3">
      <c r="A102" s="438"/>
      <c r="C102" s="433"/>
      <c r="G102" s="455"/>
      <c r="H102" s="455"/>
      <c r="I102" s="456"/>
      <c r="K102" s="216"/>
      <c r="L102" s="416"/>
      <c r="M102" s="460"/>
      <c r="N102" s="460"/>
      <c r="O102" s="460"/>
      <c r="P102" s="460"/>
      <c r="Q102" s="460"/>
      <c r="S102" s="438"/>
      <c r="U102" s="437"/>
      <c r="V102" s="842"/>
      <c r="W102" s="685">
        <f t="shared" si="17"/>
        <v>0</v>
      </c>
      <c r="X102" s="685"/>
      <c r="Z102" s="460"/>
      <c r="AA102" s="438"/>
    </row>
    <row r="103" spans="1:28" s="444" customFormat="1" x14ac:dyDescent="0.25">
      <c r="A103" s="450"/>
      <c r="C103" s="461"/>
      <c r="E103" s="424"/>
      <c r="G103" s="455"/>
      <c r="H103" s="455"/>
      <c r="I103" s="456"/>
      <c r="K103" s="216"/>
      <c r="M103" s="462"/>
      <c r="N103" s="462"/>
      <c r="O103" s="462"/>
      <c r="P103" s="462"/>
      <c r="Q103" s="462"/>
      <c r="S103" s="450"/>
      <c r="U103" s="451"/>
      <c r="V103" s="843"/>
      <c r="W103" s="685">
        <f t="shared" si="17"/>
        <v>0</v>
      </c>
      <c r="X103" s="685"/>
      <c r="Z103" s="462"/>
      <c r="AA103" s="450"/>
    </row>
    <row r="104" spans="1:28" s="444" customFormat="1" ht="15.6" x14ac:dyDescent="0.3">
      <c r="A104" s="450"/>
      <c r="C104" s="463" t="s">
        <v>505</v>
      </c>
      <c r="E104" s="424"/>
      <c r="G104" s="455"/>
      <c r="H104" s="455"/>
      <c r="I104" s="456"/>
      <c r="K104" s="216"/>
      <c r="M104" s="462"/>
      <c r="N104" s="462"/>
      <c r="O104" s="462"/>
      <c r="P104" s="462"/>
      <c r="Q104" s="462"/>
      <c r="S104" s="450"/>
      <c r="U104" s="451"/>
      <c r="V104" s="843"/>
      <c r="W104" s="685">
        <f t="shared" si="17"/>
        <v>0</v>
      </c>
      <c r="X104" s="685"/>
      <c r="Z104" s="462"/>
      <c r="AA104" s="450"/>
    </row>
    <row r="105" spans="1:28" s="444" customFormat="1" x14ac:dyDescent="0.25">
      <c r="A105" s="450"/>
      <c r="C105" s="461"/>
      <c r="E105" s="424"/>
      <c r="G105" s="455"/>
      <c r="H105" s="455"/>
      <c r="I105" s="456"/>
      <c r="K105" s="216"/>
      <c r="M105" s="462"/>
      <c r="N105" s="462"/>
      <c r="O105" s="462"/>
      <c r="P105" s="462"/>
      <c r="Q105" s="462"/>
      <c r="S105" s="450"/>
      <c r="U105" s="451"/>
      <c r="V105" s="843"/>
      <c r="W105" s="685">
        <f t="shared" si="17"/>
        <v>0</v>
      </c>
      <c r="X105" s="685"/>
      <c r="Z105" s="462"/>
      <c r="AA105" s="450"/>
    </row>
    <row r="106" spans="1:28" s="444" customFormat="1" x14ac:dyDescent="0.25">
      <c r="A106" s="450">
        <v>330.1</v>
      </c>
      <c r="C106" s="461" t="s">
        <v>38</v>
      </c>
      <c r="E106" s="447">
        <v>54604</v>
      </c>
      <c r="G106" s="448" t="s">
        <v>689</v>
      </c>
      <c r="H106" s="448" t="s">
        <v>685</v>
      </c>
      <c r="I106" s="449">
        <v>0</v>
      </c>
      <c r="J106" s="440"/>
      <c r="K106" s="209">
        <v>32898.730000000003</v>
      </c>
      <c r="L106" s="210"/>
      <c r="M106" s="211">
        <v>11389.88</v>
      </c>
      <c r="N106" s="211"/>
      <c r="O106" s="211">
        <v>21509</v>
      </c>
      <c r="P106" s="211"/>
      <c r="Q106" s="211">
        <v>657</v>
      </c>
      <c r="S106" s="450">
        <v>2</v>
      </c>
      <c r="U106" s="451">
        <v>32.700000000000003</v>
      </c>
      <c r="V106" s="843">
        <f t="shared" ref="V106" si="22">Q106/K106</f>
        <v>1.9970375756146207E-2</v>
      </c>
      <c r="W106" s="685">
        <f t="shared" si="17"/>
        <v>2.9624243853793725E-5</v>
      </c>
      <c r="X106" s="685"/>
      <c r="Z106" s="211">
        <v>657</v>
      </c>
      <c r="AA106" s="450">
        <v>2</v>
      </c>
    </row>
    <row r="107" spans="1:28" s="444" customFormat="1" x14ac:dyDescent="0.25">
      <c r="A107" s="450">
        <v>331</v>
      </c>
      <c r="C107" s="461" t="s">
        <v>2</v>
      </c>
      <c r="E107" s="424"/>
      <c r="G107" s="455"/>
      <c r="H107" s="455"/>
      <c r="I107" s="456"/>
      <c r="K107" s="216"/>
      <c r="M107" s="462"/>
      <c r="N107" s="462"/>
      <c r="O107" s="462"/>
      <c r="P107" s="462"/>
      <c r="Q107" s="462"/>
      <c r="S107" s="450"/>
      <c r="U107" s="451"/>
      <c r="V107" s="843"/>
      <c r="W107" s="685">
        <f t="shared" si="17"/>
        <v>0</v>
      </c>
      <c r="X107" s="685"/>
      <c r="Z107" s="462"/>
      <c r="AA107" s="450"/>
    </row>
    <row r="108" spans="1:28" s="444" customFormat="1" x14ac:dyDescent="0.25">
      <c r="A108" s="450"/>
      <c r="C108" s="461" t="s">
        <v>506</v>
      </c>
      <c r="E108" s="447">
        <v>58014</v>
      </c>
      <c r="G108" s="448" t="s">
        <v>845</v>
      </c>
      <c r="H108" s="448" t="s">
        <v>685</v>
      </c>
      <c r="I108" s="449">
        <v>-5</v>
      </c>
      <c r="J108" s="440"/>
      <c r="K108" s="209">
        <v>35273454.280000001</v>
      </c>
      <c r="L108" s="210"/>
      <c r="M108" s="211">
        <v>6306965.7300000004</v>
      </c>
      <c r="N108" s="211"/>
      <c r="O108" s="211">
        <v>30730161</v>
      </c>
      <c r="P108" s="211"/>
      <c r="Q108" s="211">
        <v>776755</v>
      </c>
      <c r="S108" s="450">
        <v>2.2000000000000002</v>
      </c>
      <c r="U108" s="451">
        <v>39.6</v>
      </c>
      <c r="V108" s="843">
        <f t="shared" ref="V108:V111" si="23">Q108/K108</f>
        <v>2.2020950764677985E-2</v>
      </c>
      <c r="W108" s="685">
        <f t="shared" si="17"/>
        <v>-2.0950764677982875E-5</v>
      </c>
      <c r="X108" s="685"/>
      <c r="Z108" s="211">
        <v>776755</v>
      </c>
      <c r="AA108" s="450">
        <v>2.2000000000000002</v>
      </c>
    </row>
    <row r="109" spans="1:28" s="444" customFormat="1" x14ac:dyDescent="0.25">
      <c r="A109" s="450"/>
      <c r="C109" s="461" t="s">
        <v>507</v>
      </c>
      <c r="E109" s="447">
        <v>58014</v>
      </c>
      <c r="G109" s="448" t="s">
        <v>845</v>
      </c>
      <c r="H109" s="448" t="s">
        <v>685</v>
      </c>
      <c r="I109" s="449">
        <v>-7</v>
      </c>
      <c r="J109" s="440"/>
      <c r="K109" s="209">
        <v>15612653.91</v>
      </c>
      <c r="L109" s="210"/>
      <c r="M109" s="211">
        <v>6565230.3499999996</v>
      </c>
      <c r="N109" s="211"/>
      <c r="O109" s="211">
        <v>10140309</v>
      </c>
      <c r="P109" s="211"/>
      <c r="Q109" s="211">
        <v>260751</v>
      </c>
      <c r="S109" s="450">
        <v>1.67</v>
      </c>
      <c r="U109" s="451">
        <v>38.9</v>
      </c>
      <c r="V109" s="843">
        <f t="shared" si="23"/>
        <v>1.6701260496973382E-2</v>
      </c>
      <c r="W109" s="685">
        <f t="shared" si="17"/>
        <v>-1.2604969733820415E-6</v>
      </c>
      <c r="X109" s="685"/>
      <c r="Z109" s="211">
        <v>260751</v>
      </c>
      <c r="AA109" s="450">
        <v>1.67</v>
      </c>
    </row>
    <row r="110" spans="1:28" s="444" customFormat="1" x14ac:dyDescent="0.25">
      <c r="A110" s="450"/>
      <c r="C110" s="461" t="s">
        <v>508</v>
      </c>
      <c r="E110" s="447">
        <v>52778</v>
      </c>
      <c r="G110" s="448" t="s">
        <v>845</v>
      </c>
      <c r="H110" s="448" t="s">
        <v>685</v>
      </c>
      <c r="I110" s="449">
        <v>-2</v>
      </c>
      <c r="J110" s="440"/>
      <c r="K110" s="209">
        <v>58654809.259999998</v>
      </c>
      <c r="L110" s="210"/>
      <c r="M110" s="211">
        <v>5540003.0700000003</v>
      </c>
      <c r="N110" s="211"/>
      <c r="O110" s="211">
        <v>54287902</v>
      </c>
      <c r="P110" s="211"/>
      <c r="Q110" s="211">
        <v>2009010</v>
      </c>
      <c r="S110" s="450">
        <v>3.43</v>
      </c>
      <c r="U110" s="451">
        <v>27</v>
      </c>
      <c r="V110" s="843">
        <f t="shared" si="23"/>
        <v>3.4251411356477746E-2</v>
      </c>
      <c r="W110" s="685">
        <f t="shared" si="17"/>
        <v>4.8588643522258501E-5</v>
      </c>
      <c r="X110" s="685"/>
      <c r="Z110" s="211">
        <v>2009010</v>
      </c>
      <c r="AA110" s="450">
        <v>3.43</v>
      </c>
    </row>
    <row r="111" spans="1:28" s="444" customFormat="1" x14ac:dyDescent="0.25">
      <c r="A111" s="450"/>
      <c r="C111" s="461" t="s">
        <v>509</v>
      </c>
      <c r="E111" s="447">
        <v>52778</v>
      </c>
      <c r="G111" s="448" t="s">
        <v>845</v>
      </c>
      <c r="H111" s="448" t="s">
        <v>685</v>
      </c>
      <c r="I111" s="449">
        <v>-2</v>
      </c>
      <c r="J111" s="440"/>
      <c r="K111" s="212">
        <v>54612246.020000003</v>
      </c>
      <c r="L111" s="210"/>
      <c r="M111" s="213">
        <v>5903871.9000000004</v>
      </c>
      <c r="N111" s="211"/>
      <c r="O111" s="213">
        <v>49800619</v>
      </c>
      <c r="P111" s="211"/>
      <c r="Q111" s="213">
        <v>1834277</v>
      </c>
      <c r="S111" s="450">
        <v>3.36</v>
      </c>
      <c r="U111" s="451">
        <v>27.1</v>
      </c>
      <c r="V111" s="843">
        <f t="shared" si="23"/>
        <v>3.3587283689600574E-2</v>
      </c>
      <c r="W111" s="685">
        <f t="shared" si="17"/>
        <v>1.2716310399424335E-5</v>
      </c>
      <c r="X111" s="685"/>
      <c r="Z111" s="213">
        <v>1834277</v>
      </c>
      <c r="AA111" s="450">
        <v>3.36</v>
      </c>
    </row>
    <row r="112" spans="1:28" s="444" customFormat="1" x14ac:dyDescent="0.25">
      <c r="A112" s="450"/>
      <c r="C112" s="461"/>
      <c r="E112" s="424"/>
      <c r="G112" s="455"/>
      <c r="H112" s="455"/>
      <c r="I112" s="456"/>
      <c r="K112" s="216"/>
      <c r="M112" s="462"/>
      <c r="N112" s="462"/>
      <c r="O112" s="462"/>
      <c r="P112" s="462"/>
      <c r="Q112" s="462"/>
      <c r="S112" s="450"/>
      <c r="U112" s="451"/>
      <c r="V112" s="843"/>
      <c r="W112" s="685">
        <f t="shared" si="17"/>
        <v>0</v>
      </c>
      <c r="X112" s="685"/>
      <c r="Z112" s="462"/>
      <c r="AA112" s="450"/>
    </row>
    <row r="113" spans="1:27" s="444" customFormat="1" ht="15.6" x14ac:dyDescent="0.3">
      <c r="A113" s="450"/>
      <c r="C113" s="464" t="s">
        <v>428</v>
      </c>
      <c r="E113" s="424"/>
      <c r="G113" s="455"/>
      <c r="H113" s="455"/>
      <c r="I113" s="456"/>
      <c r="K113" s="209">
        <f>+SUBTOTAL(9,K108:K111)</f>
        <v>164153163.47</v>
      </c>
      <c r="M113" s="211">
        <f>+SUBTOTAL(9,M108:M111)</f>
        <v>24316071.049999997</v>
      </c>
      <c r="N113" s="462"/>
      <c r="O113" s="211">
        <f>+SUBTOTAL(9,O108:O111)</f>
        <v>144958991</v>
      </c>
      <c r="P113" s="462"/>
      <c r="Q113" s="211">
        <f>+SUBTOTAL(9,Q108:Q111)</f>
        <v>4880793</v>
      </c>
      <c r="S113" s="450">
        <f>Q113/K113*100</f>
        <v>2.9733164422944518</v>
      </c>
      <c r="U113" s="451">
        <f>ROUND(O113/Q113,1)</f>
        <v>29.7</v>
      </c>
      <c r="V113" s="843">
        <f t="shared" ref="V113" si="24">Q113/K113</f>
        <v>2.9733164422944519E-2</v>
      </c>
      <c r="W113" s="685">
        <f t="shared" si="17"/>
        <v>0</v>
      </c>
      <c r="X113" s="685"/>
      <c r="Z113" s="211">
        <v>4880793</v>
      </c>
      <c r="AA113" s="450">
        <v>2.9733164422944518</v>
      </c>
    </row>
    <row r="114" spans="1:27" s="444" customFormat="1" x14ac:dyDescent="0.25">
      <c r="A114" s="450"/>
      <c r="C114" s="461"/>
      <c r="E114" s="424"/>
      <c r="G114" s="455"/>
      <c r="H114" s="455"/>
      <c r="I114" s="456"/>
      <c r="K114" s="216"/>
      <c r="M114" s="462"/>
      <c r="N114" s="462"/>
      <c r="O114" s="462"/>
      <c r="P114" s="462"/>
      <c r="Q114" s="462"/>
      <c r="S114" s="450"/>
      <c r="U114" s="451"/>
      <c r="V114" s="843"/>
      <c r="W114" s="685">
        <f t="shared" si="17"/>
        <v>0</v>
      </c>
      <c r="X114" s="685"/>
      <c r="Z114" s="462"/>
      <c r="AA114" s="450"/>
    </row>
    <row r="115" spans="1:27" s="444" customFormat="1" x14ac:dyDescent="0.25">
      <c r="A115" s="450">
        <v>332</v>
      </c>
      <c r="C115" s="461" t="s">
        <v>510</v>
      </c>
      <c r="E115" s="424"/>
      <c r="G115" s="455"/>
      <c r="H115" s="455"/>
      <c r="I115" s="456"/>
      <c r="K115" s="216"/>
      <c r="M115" s="462"/>
      <c r="N115" s="462"/>
      <c r="O115" s="462"/>
      <c r="P115" s="462"/>
      <c r="Q115" s="462"/>
      <c r="S115" s="450"/>
      <c r="U115" s="451"/>
      <c r="V115" s="843"/>
      <c r="W115" s="685">
        <f t="shared" si="17"/>
        <v>0</v>
      </c>
      <c r="X115" s="685"/>
      <c r="Z115" s="462"/>
      <c r="AA115" s="450"/>
    </row>
    <row r="116" spans="1:27" s="444" customFormat="1" x14ac:dyDescent="0.25">
      <c r="A116" s="450"/>
      <c r="C116" s="461" t="s">
        <v>511</v>
      </c>
      <c r="E116" s="447">
        <v>58014</v>
      </c>
      <c r="G116" s="448" t="s">
        <v>690</v>
      </c>
      <c r="H116" s="448" t="s">
        <v>685</v>
      </c>
      <c r="I116" s="449">
        <v>-9</v>
      </c>
      <c r="J116" s="440"/>
      <c r="K116" s="209">
        <v>115624469.95999999</v>
      </c>
      <c r="L116" s="210"/>
      <c r="M116" s="211">
        <v>22402337.16</v>
      </c>
      <c r="N116" s="211"/>
      <c r="O116" s="211">
        <v>103628335</v>
      </c>
      <c r="P116" s="211"/>
      <c r="Q116" s="211">
        <v>2636328</v>
      </c>
      <c r="S116" s="450">
        <v>2.2799999999999998</v>
      </c>
      <c r="U116" s="451">
        <v>39.299999999999997</v>
      </c>
      <c r="V116" s="843">
        <f t="shared" ref="V116:V119" si="25">Q116/K116</f>
        <v>2.2800779116324003E-2</v>
      </c>
      <c r="W116" s="685">
        <f t="shared" si="17"/>
        <v>-7.7911632400534669E-7</v>
      </c>
      <c r="X116" s="685"/>
      <c r="Z116" s="211">
        <v>2636328</v>
      </c>
      <c r="AA116" s="450">
        <v>2.2799999999999998</v>
      </c>
    </row>
    <row r="117" spans="1:27" s="444" customFormat="1" x14ac:dyDescent="0.25">
      <c r="A117" s="450"/>
      <c r="C117" s="461" t="s">
        <v>512</v>
      </c>
      <c r="E117" s="447">
        <v>58014</v>
      </c>
      <c r="G117" s="448" t="s">
        <v>690</v>
      </c>
      <c r="H117" s="448" t="s">
        <v>685</v>
      </c>
      <c r="I117" s="449">
        <v>-12</v>
      </c>
      <c r="J117" s="440"/>
      <c r="K117" s="209">
        <v>119603565.13</v>
      </c>
      <c r="L117" s="210"/>
      <c r="M117" s="211">
        <v>59809737.759999998</v>
      </c>
      <c r="N117" s="211"/>
      <c r="O117" s="211">
        <v>74146255</v>
      </c>
      <c r="P117" s="211"/>
      <c r="Q117" s="211">
        <v>1900806</v>
      </c>
      <c r="S117" s="450">
        <v>1.59</v>
      </c>
      <c r="U117" s="451">
        <v>39</v>
      </c>
      <c r="V117" s="843">
        <f t="shared" si="25"/>
        <v>1.5892553018247976E-2</v>
      </c>
      <c r="W117" s="685">
        <f t="shared" si="17"/>
        <v>7.4469817520246562E-6</v>
      </c>
      <c r="X117" s="685"/>
      <c r="Z117" s="211">
        <v>1900806</v>
      </c>
      <c r="AA117" s="450">
        <v>1.59</v>
      </c>
    </row>
    <row r="118" spans="1:27" s="444" customFormat="1" x14ac:dyDescent="0.25">
      <c r="A118" s="450"/>
      <c r="C118" s="461" t="s">
        <v>513</v>
      </c>
      <c r="E118" s="447">
        <v>52778</v>
      </c>
      <c r="G118" s="448" t="s">
        <v>690</v>
      </c>
      <c r="H118" s="448" t="s">
        <v>685</v>
      </c>
      <c r="I118" s="449">
        <v>-4</v>
      </c>
      <c r="J118" s="440"/>
      <c r="K118" s="209">
        <v>53492873.450000003</v>
      </c>
      <c r="L118" s="210"/>
      <c r="M118" s="211">
        <v>4795759.13</v>
      </c>
      <c r="N118" s="211"/>
      <c r="O118" s="211">
        <v>50836829</v>
      </c>
      <c r="P118" s="211"/>
      <c r="Q118" s="211">
        <v>1899379</v>
      </c>
      <c r="S118" s="450">
        <v>3.55</v>
      </c>
      <c r="U118" s="451">
        <v>26.8</v>
      </c>
      <c r="V118" s="843">
        <f t="shared" si="25"/>
        <v>3.5507140998423968E-2</v>
      </c>
      <c r="W118" s="685">
        <f t="shared" si="17"/>
        <v>-7.140998423971201E-6</v>
      </c>
      <c r="X118" s="685"/>
      <c r="Z118" s="211">
        <v>1899379</v>
      </c>
      <c r="AA118" s="450">
        <v>3.55</v>
      </c>
    </row>
    <row r="119" spans="1:27" s="444" customFormat="1" x14ac:dyDescent="0.25">
      <c r="A119" s="450"/>
      <c r="C119" s="461" t="s">
        <v>514</v>
      </c>
      <c r="E119" s="447">
        <v>52778</v>
      </c>
      <c r="G119" s="448" t="s">
        <v>690</v>
      </c>
      <c r="H119" s="448" t="s">
        <v>685</v>
      </c>
      <c r="I119" s="449">
        <v>-4</v>
      </c>
      <c r="J119" s="440"/>
      <c r="K119" s="212">
        <v>60540016.920000002</v>
      </c>
      <c r="L119" s="210"/>
      <c r="M119" s="213">
        <v>4528235</v>
      </c>
      <c r="N119" s="211"/>
      <c r="O119" s="213">
        <v>58433383</v>
      </c>
      <c r="P119" s="211"/>
      <c r="Q119" s="213">
        <v>2184265</v>
      </c>
      <c r="S119" s="450">
        <v>3.61</v>
      </c>
      <c r="U119" s="451">
        <v>26.8</v>
      </c>
      <c r="V119" s="843">
        <f t="shared" si="25"/>
        <v>3.6079689288596915E-2</v>
      </c>
      <c r="W119" s="685">
        <f t="shared" si="17"/>
        <v>2.0310711403084825E-5</v>
      </c>
      <c r="X119" s="685"/>
      <c r="Z119" s="213">
        <v>2184265</v>
      </c>
      <c r="AA119" s="450">
        <v>3.61</v>
      </c>
    </row>
    <row r="120" spans="1:27" s="444" customFormat="1" x14ac:dyDescent="0.25">
      <c r="A120" s="450"/>
      <c r="C120" s="461"/>
      <c r="E120" s="424"/>
      <c r="G120" s="455"/>
      <c r="H120" s="455"/>
      <c r="I120" s="456"/>
      <c r="K120" s="216"/>
      <c r="M120" s="462"/>
      <c r="N120" s="462"/>
      <c r="O120" s="462"/>
      <c r="P120" s="462"/>
      <c r="Q120" s="462"/>
      <c r="S120" s="450"/>
      <c r="U120" s="451"/>
      <c r="V120" s="843"/>
      <c r="W120" s="685">
        <f t="shared" si="17"/>
        <v>0</v>
      </c>
      <c r="X120" s="685"/>
      <c r="Z120" s="462"/>
      <c r="AA120" s="450"/>
    </row>
    <row r="121" spans="1:27" s="444" customFormat="1" ht="15.6" x14ac:dyDescent="0.3">
      <c r="A121" s="450"/>
      <c r="C121" s="464" t="s">
        <v>515</v>
      </c>
      <c r="E121" s="424"/>
      <c r="G121" s="455"/>
      <c r="H121" s="455"/>
      <c r="I121" s="456"/>
      <c r="K121" s="209">
        <f>+SUBTOTAL(9,K116:K119)</f>
        <v>349260925.45999998</v>
      </c>
      <c r="M121" s="211">
        <f>+SUBTOTAL(9,M116:M119)</f>
        <v>91536069.049999997</v>
      </c>
      <c r="N121" s="462"/>
      <c r="O121" s="211">
        <f>+SUBTOTAL(9,O116:O119)</f>
        <v>287044802</v>
      </c>
      <c r="P121" s="462"/>
      <c r="Q121" s="211">
        <f>+SUBTOTAL(9,Q116:Q119)</f>
        <v>8620778</v>
      </c>
      <c r="S121" s="450">
        <f>Q121/K121*100</f>
        <v>2.4682915756023549</v>
      </c>
      <c r="U121" s="451">
        <f>ROUND(O121/Q121,1)</f>
        <v>33.299999999999997</v>
      </c>
      <c r="V121" s="843">
        <f t="shared" ref="V121" si="26">Q121/K121</f>
        <v>2.4682915756023549E-2</v>
      </c>
      <c r="W121" s="685">
        <f t="shared" si="17"/>
        <v>0</v>
      </c>
      <c r="X121" s="685"/>
      <c r="Z121" s="211">
        <v>8620778</v>
      </c>
      <c r="AA121" s="450">
        <v>2.4682915756023549</v>
      </c>
    </row>
    <row r="122" spans="1:27" s="444" customFormat="1" x14ac:dyDescent="0.25">
      <c r="A122" s="450"/>
      <c r="C122" s="461"/>
      <c r="E122" s="424"/>
      <c r="G122" s="455"/>
      <c r="H122" s="455"/>
      <c r="I122" s="456"/>
      <c r="K122" s="216"/>
      <c r="M122" s="462"/>
      <c r="N122" s="462"/>
      <c r="O122" s="462"/>
      <c r="P122" s="462"/>
      <c r="Q122" s="462"/>
      <c r="S122" s="450"/>
      <c r="U122" s="451"/>
      <c r="V122" s="843"/>
      <c r="W122" s="685">
        <f t="shared" si="17"/>
        <v>0</v>
      </c>
      <c r="X122" s="685"/>
      <c r="Z122" s="462"/>
      <c r="AA122" s="450"/>
    </row>
    <row r="123" spans="1:27" s="444" customFormat="1" x14ac:dyDescent="0.25">
      <c r="A123" s="450">
        <v>333</v>
      </c>
      <c r="C123" s="461" t="s">
        <v>516</v>
      </c>
      <c r="E123" s="424"/>
      <c r="G123" s="455"/>
      <c r="H123" s="455"/>
      <c r="I123" s="456"/>
      <c r="K123" s="216"/>
      <c r="M123" s="462"/>
      <c r="N123" s="462"/>
      <c r="O123" s="462"/>
      <c r="P123" s="462"/>
      <c r="Q123" s="462"/>
      <c r="S123" s="450"/>
      <c r="U123" s="451"/>
      <c r="V123" s="843"/>
      <c r="W123" s="685">
        <f t="shared" si="17"/>
        <v>0</v>
      </c>
      <c r="X123" s="685"/>
      <c r="Z123" s="462"/>
      <c r="AA123" s="450"/>
    </row>
    <row r="124" spans="1:27" s="444" customFormat="1" x14ac:dyDescent="0.25">
      <c r="A124" s="450"/>
      <c r="C124" s="461" t="s">
        <v>517</v>
      </c>
      <c r="E124" s="447">
        <v>58014</v>
      </c>
      <c r="G124" s="448" t="s">
        <v>845</v>
      </c>
      <c r="H124" s="448" t="s">
        <v>685</v>
      </c>
      <c r="I124" s="449">
        <v>-6</v>
      </c>
      <c r="J124" s="440"/>
      <c r="K124" s="209">
        <v>41634914.700000003</v>
      </c>
      <c r="L124" s="210"/>
      <c r="M124" s="211">
        <v>9000675.2200000007</v>
      </c>
      <c r="N124" s="211"/>
      <c r="O124" s="211">
        <v>35132334</v>
      </c>
      <c r="P124" s="211"/>
      <c r="Q124" s="211">
        <v>893215</v>
      </c>
      <c r="S124" s="450">
        <v>2.15</v>
      </c>
      <c r="U124" s="451">
        <v>39.299999999999997</v>
      </c>
      <c r="V124" s="843">
        <f t="shared" ref="V124:V127" si="27">Q124/K124</f>
        <v>2.1453508586148248E-2</v>
      </c>
      <c r="W124" s="685">
        <f t="shared" si="17"/>
        <v>4.6491413851750679E-5</v>
      </c>
      <c r="X124" s="685"/>
      <c r="Z124" s="211">
        <v>893215</v>
      </c>
      <c r="AA124" s="450">
        <v>2.15</v>
      </c>
    </row>
    <row r="125" spans="1:27" s="444" customFormat="1" x14ac:dyDescent="0.25">
      <c r="A125" s="450"/>
      <c r="C125" s="461" t="s">
        <v>518</v>
      </c>
      <c r="E125" s="447">
        <v>58014</v>
      </c>
      <c r="G125" s="448" t="s">
        <v>845</v>
      </c>
      <c r="H125" s="448" t="s">
        <v>685</v>
      </c>
      <c r="I125" s="449">
        <v>-9</v>
      </c>
      <c r="J125" s="440"/>
      <c r="K125" s="209">
        <v>13128270.76</v>
      </c>
      <c r="L125" s="210"/>
      <c r="M125" s="211">
        <v>9227177.9600000009</v>
      </c>
      <c r="N125" s="211"/>
      <c r="O125" s="211">
        <v>5082637</v>
      </c>
      <c r="P125" s="211"/>
      <c r="Q125" s="211">
        <v>126284</v>
      </c>
      <c r="S125" s="450">
        <v>0.96</v>
      </c>
      <c r="U125" s="451">
        <v>40.200000000000003</v>
      </c>
      <c r="V125" s="843">
        <f t="shared" si="27"/>
        <v>9.6192409730586643E-3</v>
      </c>
      <c r="W125" s="685">
        <f t="shared" si="17"/>
        <v>-1.9240973058665123E-5</v>
      </c>
      <c r="X125" s="685"/>
      <c r="Z125" s="211">
        <v>126284</v>
      </c>
      <c r="AA125" s="450">
        <v>0.96</v>
      </c>
    </row>
    <row r="126" spans="1:27" s="444" customFormat="1" x14ac:dyDescent="0.25">
      <c r="A126" s="450"/>
      <c r="C126" s="461" t="s">
        <v>519</v>
      </c>
      <c r="E126" s="447">
        <v>52778</v>
      </c>
      <c r="G126" s="448" t="s">
        <v>845</v>
      </c>
      <c r="H126" s="448" t="s">
        <v>685</v>
      </c>
      <c r="I126" s="449">
        <v>-2</v>
      </c>
      <c r="J126" s="440"/>
      <c r="K126" s="209">
        <v>36614585.439999998</v>
      </c>
      <c r="L126" s="210"/>
      <c r="M126" s="211">
        <v>3022250.83</v>
      </c>
      <c r="N126" s="211"/>
      <c r="O126" s="211">
        <v>34324626</v>
      </c>
      <c r="P126" s="211"/>
      <c r="Q126" s="211">
        <v>1266049</v>
      </c>
      <c r="S126" s="450">
        <v>3.46</v>
      </c>
      <c r="U126" s="451">
        <v>27.1</v>
      </c>
      <c r="V126" s="843">
        <f t="shared" si="27"/>
        <v>3.4577723188336067E-2</v>
      </c>
      <c r="W126" s="685">
        <f t="shared" si="17"/>
        <v>2.2276811663932139E-5</v>
      </c>
      <c r="X126" s="685"/>
      <c r="Z126" s="211">
        <v>1266049</v>
      </c>
      <c r="AA126" s="450">
        <v>3.46</v>
      </c>
    </row>
    <row r="127" spans="1:27" s="444" customFormat="1" x14ac:dyDescent="0.25">
      <c r="A127" s="450"/>
      <c r="C127" s="461" t="s">
        <v>520</v>
      </c>
      <c r="E127" s="447">
        <v>52778</v>
      </c>
      <c r="G127" s="448" t="s">
        <v>845</v>
      </c>
      <c r="H127" s="448" t="s">
        <v>685</v>
      </c>
      <c r="I127" s="449">
        <v>-2</v>
      </c>
      <c r="J127" s="440"/>
      <c r="K127" s="212">
        <v>35031623.57</v>
      </c>
      <c r="L127" s="210"/>
      <c r="M127" s="213">
        <v>2768921.16</v>
      </c>
      <c r="N127" s="211"/>
      <c r="O127" s="213">
        <v>32963335</v>
      </c>
      <c r="P127" s="211"/>
      <c r="Q127" s="213">
        <v>1222346</v>
      </c>
      <c r="S127" s="450">
        <v>3.49</v>
      </c>
      <c r="U127" s="451">
        <v>27</v>
      </c>
      <c r="V127" s="843">
        <f t="shared" si="27"/>
        <v>3.4892644857224923E-2</v>
      </c>
      <c r="W127" s="685">
        <f t="shared" si="17"/>
        <v>7.3551427750770393E-6</v>
      </c>
      <c r="X127" s="685"/>
      <c r="Z127" s="213">
        <v>1222346</v>
      </c>
      <c r="AA127" s="450">
        <v>3.49</v>
      </c>
    </row>
    <row r="128" spans="1:27" s="444" customFormat="1" x14ac:dyDescent="0.25">
      <c r="A128" s="450"/>
      <c r="C128" s="461"/>
      <c r="E128" s="424"/>
      <c r="G128" s="455"/>
      <c r="H128" s="455"/>
      <c r="I128" s="456"/>
      <c r="K128" s="216"/>
      <c r="M128" s="462"/>
      <c r="N128" s="462"/>
      <c r="O128" s="462"/>
      <c r="P128" s="462"/>
      <c r="Q128" s="462"/>
      <c r="S128" s="450"/>
      <c r="U128" s="451"/>
      <c r="V128" s="843"/>
      <c r="W128" s="685">
        <f t="shared" si="17"/>
        <v>0</v>
      </c>
      <c r="X128" s="685"/>
      <c r="Z128" s="462"/>
      <c r="AA128" s="450"/>
    </row>
    <row r="129" spans="1:27" s="444" customFormat="1" ht="15.6" x14ac:dyDescent="0.3">
      <c r="A129" s="450"/>
      <c r="C129" s="464" t="s">
        <v>521</v>
      </c>
      <c r="E129" s="424"/>
      <c r="G129" s="455"/>
      <c r="H129" s="455"/>
      <c r="I129" s="456"/>
      <c r="K129" s="209">
        <f>+SUBTOTAL(9,K124:K127)</f>
        <v>126409394.47</v>
      </c>
      <c r="M129" s="211">
        <f>+SUBTOTAL(9,M124:M127)</f>
        <v>24019025.169999998</v>
      </c>
      <c r="N129" s="462"/>
      <c r="O129" s="211">
        <f>+SUBTOTAL(9,O124:O127)</f>
        <v>107502932</v>
      </c>
      <c r="P129" s="462"/>
      <c r="Q129" s="211">
        <f>+SUBTOTAL(9,Q124:Q127)</f>
        <v>3507894</v>
      </c>
      <c r="S129" s="450">
        <v>1.82</v>
      </c>
      <c r="U129" s="451">
        <v>26.2</v>
      </c>
      <c r="V129" s="843">
        <f t="shared" ref="V129" si="28">Q129/K129</f>
        <v>2.7750263457139712E-2</v>
      </c>
      <c r="W129" s="685">
        <f t="shared" si="17"/>
        <v>-9.5502634571397113E-3</v>
      </c>
      <c r="X129" s="685"/>
      <c r="Z129" s="211">
        <v>3507894</v>
      </c>
      <c r="AA129" s="450">
        <v>1.82</v>
      </c>
    </row>
    <row r="130" spans="1:27" s="444" customFormat="1" x14ac:dyDescent="0.25">
      <c r="A130" s="450"/>
      <c r="C130" s="461"/>
      <c r="E130" s="424"/>
      <c r="G130" s="455"/>
      <c r="H130" s="455"/>
      <c r="I130" s="456"/>
      <c r="K130" s="216"/>
      <c r="M130" s="462"/>
      <c r="N130" s="462"/>
      <c r="O130" s="462"/>
      <c r="P130" s="462"/>
      <c r="Q130" s="462"/>
      <c r="S130" s="450"/>
      <c r="U130" s="451"/>
      <c r="V130" s="843"/>
      <c r="W130" s="685">
        <f t="shared" si="17"/>
        <v>0</v>
      </c>
      <c r="X130" s="685"/>
      <c r="Z130" s="462"/>
      <c r="AA130" s="450"/>
    </row>
    <row r="131" spans="1:27" s="444" customFormat="1" x14ac:dyDescent="0.25">
      <c r="A131" s="450">
        <v>334</v>
      </c>
      <c r="C131" s="461" t="s">
        <v>5</v>
      </c>
      <c r="E131" s="424"/>
      <c r="G131" s="455"/>
      <c r="H131" s="455"/>
      <c r="I131" s="456"/>
      <c r="K131" s="216"/>
      <c r="M131" s="462"/>
      <c r="N131" s="462"/>
      <c r="O131" s="462"/>
      <c r="P131" s="462"/>
      <c r="Q131" s="462"/>
      <c r="S131" s="450"/>
      <c r="U131" s="451"/>
      <c r="V131" s="843"/>
      <c r="W131" s="685">
        <f t="shared" si="17"/>
        <v>0</v>
      </c>
      <c r="X131" s="685"/>
      <c r="Z131" s="462"/>
      <c r="AA131" s="450"/>
    </row>
    <row r="132" spans="1:27" s="444" customFormat="1" x14ac:dyDescent="0.25">
      <c r="A132" s="450"/>
      <c r="C132" s="461" t="s">
        <v>522</v>
      </c>
      <c r="E132" s="447">
        <v>58014</v>
      </c>
      <c r="G132" s="448" t="s">
        <v>691</v>
      </c>
      <c r="H132" s="448" t="s">
        <v>685</v>
      </c>
      <c r="I132" s="449">
        <v>-3</v>
      </c>
      <c r="J132" s="440"/>
      <c r="K132" s="209">
        <v>15578198.470000001</v>
      </c>
      <c r="L132" s="210"/>
      <c r="M132" s="211">
        <v>2648683.04</v>
      </c>
      <c r="N132" s="211"/>
      <c r="O132" s="211">
        <v>13396861</v>
      </c>
      <c r="P132" s="211"/>
      <c r="Q132" s="211">
        <v>343909</v>
      </c>
      <c r="S132" s="450">
        <v>2.21</v>
      </c>
      <c r="U132" s="451">
        <v>39</v>
      </c>
      <c r="V132" s="843">
        <f t="shared" ref="V132:V135" si="29">Q132/K132</f>
        <v>2.2076301098762414E-2</v>
      </c>
      <c r="W132" s="685">
        <f t="shared" si="17"/>
        <v>2.3698901237583642E-5</v>
      </c>
      <c r="X132" s="685"/>
      <c r="Z132" s="211">
        <v>343909</v>
      </c>
      <c r="AA132" s="450">
        <v>2.21</v>
      </c>
    </row>
    <row r="133" spans="1:27" s="444" customFormat="1" x14ac:dyDescent="0.25">
      <c r="A133" s="450"/>
      <c r="C133" s="461" t="s">
        <v>518</v>
      </c>
      <c r="E133" s="447">
        <v>58014</v>
      </c>
      <c r="G133" s="448" t="s">
        <v>691</v>
      </c>
      <c r="H133" s="448" t="s">
        <v>685</v>
      </c>
      <c r="I133" s="449">
        <v>-4</v>
      </c>
      <c r="J133" s="440"/>
      <c r="K133" s="209">
        <v>2738077.7</v>
      </c>
      <c r="L133" s="210"/>
      <c r="M133" s="211">
        <v>1380697.6</v>
      </c>
      <c r="N133" s="211"/>
      <c r="O133" s="211">
        <v>1466903</v>
      </c>
      <c r="P133" s="211"/>
      <c r="Q133" s="211">
        <v>38385</v>
      </c>
      <c r="S133" s="450">
        <v>1.4</v>
      </c>
      <c r="U133" s="451">
        <v>38.200000000000003</v>
      </c>
      <c r="V133" s="843">
        <f t="shared" si="29"/>
        <v>1.4018959359699689E-2</v>
      </c>
      <c r="W133" s="685">
        <f t="shared" si="17"/>
        <v>-1.8959359699690856E-5</v>
      </c>
      <c r="X133" s="685"/>
      <c r="Z133" s="211">
        <v>38385</v>
      </c>
      <c r="AA133" s="450">
        <v>1.4</v>
      </c>
    </row>
    <row r="134" spans="1:27" s="444" customFormat="1" x14ac:dyDescent="0.25">
      <c r="A134" s="450"/>
      <c r="C134" s="461" t="s">
        <v>523</v>
      </c>
      <c r="E134" s="447">
        <v>52778</v>
      </c>
      <c r="G134" s="448" t="s">
        <v>691</v>
      </c>
      <c r="H134" s="448" t="s">
        <v>685</v>
      </c>
      <c r="I134" s="449">
        <v>-1</v>
      </c>
      <c r="J134" s="440"/>
      <c r="K134" s="209">
        <v>16156295.24</v>
      </c>
      <c r="L134" s="210"/>
      <c r="M134" s="211">
        <v>1231152.81</v>
      </c>
      <c r="N134" s="211"/>
      <c r="O134" s="211">
        <v>15086705</v>
      </c>
      <c r="P134" s="211"/>
      <c r="Q134" s="211">
        <v>561261</v>
      </c>
      <c r="S134" s="450">
        <v>3.47</v>
      </c>
      <c r="U134" s="451">
        <v>26.9</v>
      </c>
      <c r="V134" s="843">
        <f t="shared" si="29"/>
        <v>3.4739461718328937E-2</v>
      </c>
      <c r="W134" s="685">
        <f t="shared" si="17"/>
        <v>-3.946171832893558E-5</v>
      </c>
      <c r="X134" s="685"/>
      <c r="Z134" s="211">
        <v>561261</v>
      </c>
      <c r="AA134" s="450">
        <v>3.47</v>
      </c>
    </row>
    <row r="135" spans="1:27" s="444" customFormat="1" x14ac:dyDescent="0.25">
      <c r="A135" s="450"/>
      <c r="C135" s="461" t="s">
        <v>524</v>
      </c>
      <c r="E135" s="447">
        <v>52778</v>
      </c>
      <c r="G135" s="448" t="s">
        <v>691</v>
      </c>
      <c r="H135" s="448" t="s">
        <v>685</v>
      </c>
      <c r="I135" s="449">
        <v>-1</v>
      </c>
      <c r="J135" s="440"/>
      <c r="K135" s="212">
        <v>11055386.449999999</v>
      </c>
      <c r="L135" s="210"/>
      <c r="M135" s="213">
        <v>725092.46</v>
      </c>
      <c r="N135" s="211"/>
      <c r="O135" s="213">
        <v>10440848</v>
      </c>
      <c r="P135" s="211"/>
      <c r="Q135" s="213">
        <v>388424</v>
      </c>
      <c r="S135" s="450">
        <v>3.51</v>
      </c>
      <c r="U135" s="451">
        <v>26.9</v>
      </c>
      <c r="V135" s="843">
        <f t="shared" si="29"/>
        <v>3.5134366560293333E-2</v>
      </c>
      <c r="W135" s="685">
        <f t="shared" si="17"/>
        <v>-3.4366560293333515E-5</v>
      </c>
      <c r="X135" s="685"/>
      <c r="Z135" s="213">
        <v>388424</v>
      </c>
      <c r="AA135" s="450">
        <v>3.51</v>
      </c>
    </row>
    <row r="136" spans="1:27" s="444" customFormat="1" x14ac:dyDescent="0.25">
      <c r="A136" s="450"/>
      <c r="C136" s="461"/>
      <c r="E136" s="424"/>
      <c r="G136" s="455"/>
      <c r="H136" s="455"/>
      <c r="I136" s="456"/>
      <c r="K136" s="216"/>
      <c r="M136" s="462"/>
      <c r="N136" s="462"/>
      <c r="O136" s="462"/>
      <c r="P136" s="462"/>
      <c r="Q136" s="462"/>
      <c r="S136" s="450"/>
      <c r="U136" s="451"/>
      <c r="V136" s="843"/>
      <c r="W136" s="685">
        <f t="shared" si="17"/>
        <v>0</v>
      </c>
      <c r="X136" s="685"/>
      <c r="Z136" s="462"/>
      <c r="AA136" s="450"/>
    </row>
    <row r="137" spans="1:27" s="444" customFormat="1" ht="15.6" x14ac:dyDescent="0.3">
      <c r="A137" s="450"/>
      <c r="C137" s="464" t="s">
        <v>494</v>
      </c>
      <c r="E137" s="424"/>
      <c r="G137" s="455"/>
      <c r="H137" s="455"/>
      <c r="I137" s="456"/>
      <c r="K137" s="209">
        <f>+SUBTOTAL(9,K132:K135)</f>
        <v>45527957.859999999</v>
      </c>
      <c r="M137" s="211">
        <f>+SUBTOTAL(9,M132:M135)</f>
        <v>5985625.9100000001</v>
      </c>
      <c r="N137" s="462"/>
      <c r="O137" s="211">
        <f>+SUBTOTAL(9,O132:O135)</f>
        <v>40391317</v>
      </c>
      <c r="P137" s="462"/>
      <c r="Q137" s="211">
        <f>+SUBTOTAL(9,Q132:Q135)</f>
        <v>1331979</v>
      </c>
      <c r="S137" s="450">
        <f>Q137/K137*100</f>
        <v>2.9256286963186011</v>
      </c>
      <c r="U137" s="451">
        <f>ROUND(O137/Q137,1)</f>
        <v>30.3</v>
      </c>
      <c r="V137" s="843">
        <f t="shared" ref="V137" si="30">Q137/K137</f>
        <v>2.925628696318601E-2</v>
      </c>
      <c r="W137" s="685">
        <f t="shared" si="17"/>
        <v>0</v>
      </c>
      <c r="X137" s="685"/>
      <c r="Z137" s="211">
        <v>1331979</v>
      </c>
      <c r="AA137" s="450">
        <v>2.9256286963186011</v>
      </c>
    </row>
    <row r="138" spans="1:27" s="444" customFormat="1" x14ac:dyDescent="0.25">
      <c r="A138" s="450"/>
      <c r="C138" s="461"/>
      <c r="E138" s="424"/>
      <c r="G138" s="455"/>
      <c r="H138" s="455"/>
      <c r="I138" s="456"/>
      <c r="K138" s="216"/>
      <c r="M138" s="462"/>
      <c r="N138" s="462"/>
      <c r="O138" s="462"/>
      <c r="P138" s="462"/>
      <c r="Q138" s="462"/>
      <c r="S138" s="450"/>
      <c r="U138" s="451"/>
      <c r="V138" s="843"/>
      <c r="W138" s="685">
        <f t="shared" si="17"/>
        <v>0</v>
      </c>
      <c r="X138" s="685"/>
      <c r="Z138" s="462"/>
      <c r="AA138" s="450"/>
    </row>
    <row r="139" spans="1:27" s="444" customFormat="1" x14ac:dyDescent="0.25">
      <c r="A139" s="450">
        <v>335</v>
      </c>
      <c r="C139" s="461" t="s">
        <v>495</v>
      </c>
      <c r="E139" s="424"/>
      <c r="G139" s="455"/>
      <c r="H139" s="455"/>
      <c r="I139" s="456"/>
      <c r="K139" s="216"/>
      <c r="M139" s="462"/>
      <c r="N139" s="462"/>
      <c r="O139" s="462"/>
      <c r="P139" s="462"/>
      <c r="Q139" s="462"/>
      <c r="S139" s="450"/>
      <c r="U139" s="451"/>
      <c r="V139" s="843"/>
      <c r="W139" s="685">
        <f t="shared" si="17"/>
        <v>0</v>
      </c>
      <c r="X139" s="685"/>
      <c r="Z139" s="462"/>
      <c r="AA139" s="450"/>
    </row>
    <row r="140" spans="1:27" s="444" customFormat="1" x14ac:dyDescent="0.25">
      <c r="A140" s="450"/>
      <c r="C140" s="461" t="s">
        <v>517</v>
      </c>
      <c r="E140" s="447">
        <v>58014</v>
      </c>
      <c r="G140" s="448" t="s">
        <v>692</v>
      </c>
      <c r="H140" s="448" t="s">
        <v>685</v>
      </c>
      <c r="I140" s="449">
        <v>-4</v>
      </c>
      <c r="J140" s="440"/>
      <c r="K140" s="209">
        <v>8012780.46</v>
      </c>
      <c r="L140" s="210"/>
      <c r="M140" s="211">
        <v>1065748.8899999999</v>
      </c>
      <c r="N140" s="211"/>
      <c r="O140" s="211">
        <v>7267543</v>
      </c>
      <c r="P140" s="211"/>
      <c r="Q140" s="211">
        <v>216627</v>
      </c>
      <c r="S140" s="450">
        <v>2.7</v>
      </c>
      <c r="U140" s="451">
        <v>33.5</v>
      </c>
      <c r="V140" s="843">
        <f t="shared" ref="V140:V143" si="31">Q140/K140</f>
        <v>2.703518473785815E-2</v>
      </c>
      <c r="W140" s="685">
        <f t="shared" si="17"/>
        <v>-3.5184737858146714E-5</v>
      </c>
      <c r="X140" s="685"/>
      <c r="Z140" s="211">
        <v>216627</v>
      </c>
      <c r="AA140" s="450">
        <v>2.7</v>
      </c>
    </row>
    <row r="141" spans="1:27" s="444" customFormat="1" x14ac:dyDescent="0.25">
      <c r="A141" s="450"/>
      <c r="C141" s="461" t="s">
        <v>518</v>
      </c>
      <c r="E141" s="447">
        <v>58014</v>
      </c>
      <c r="G141" s="448" t="s">
        <v>692</v>
      </c>
      <c r="H141" s="448" t="s">
        <v>685</v>
      </c>
      <c r="I141" s="449">
        <v>-4</v>
      </c>
      <c r="J141" s="440"/>
      <c r="K141" s="209">
        <v>1115022.1000000001</v>
      </c>
      <c r="L141" s="210"/>
      <c r="M141" s="211">
        <v>447518.47</v>
      </c>
      <c r="N141" s="211"/>
      <c r="O141" s="211">
        <v>712105</v>
      </c>
      <c r="P141" s="211"/>
      <c r="Q141" s="211">
        <v>22020</v>
      </c>
      <c r="S141" s="450">
        <v>1.97</v>
      </c>
      <c r="U141" s="451">
        <v>32.299999999999997</v>
      </c>
      <c r="V141" s="843">
        <f t="shared" si="31"/>
        <v>1.9748487496346483E-2</v>
      </c>
      <c r="W141" s="685">
        <f t="shared" si="17"/>
        <v>-4.8487496346484582E-5</v>
      </c>
      <c r="X141" s="685"/>
      <c r="Z141" s="211">
        <v>22020</v>
      </c>
      <c r="AA141" s="450">
        <v>1.97</v>
      </c>
    </row>
    <row r="142" spans="1:27" s="444" customFormat="1" x14ac:dyDescent="0.25">
      <c r="A142" s="450"/>
      <c r="C142" s="461" t="s">
        <v>519</v>
      </c>
      <c r="E142" s="447">
        <v>52778</v>
      </c>
      <c r="G142" s="448" t="s">
        <v>692</v>
      </c>
      <c r="H142" s="448" t="s">
        <v>685</v>
      </c>
      <c r="I142" s="449">
        <v>-1</v>
      </c>
      <c r="J142" s="440"/>
      <c r="K142" s="209">
        <v>1548648.53</v>
      </c>
      <c r="L142" s="210"/>
      <c r="M142" s="211">
        <v>129676.29</v>
      </c>
      <c r="N142" s="211"/>
      <c r="O142" s="211">
        <v>1434459</v>
      </c>
      <c r="P142" s="211"/>
      <c r="Q142" s="211">
        <v>56004</v>
      </c>
      <c r="S142" s="450">
        <v>3.62</v>
      </c>
      <c r="U142" s="451">
        <v>25.6</v>
      </c>
      <c r="V142" s="843">
        <f t="shared" si="31"/>
        <v>3.6163144131870904E-2</v>
      </c>
      <c r="W142" s="685">
        <f t="shared" si="17"/>
        <v>3.685586812909869E-5</v>
      </c>
      <c r="X142" s="685"/>
      <c r="Z142" s="211">
        <v>56004</v>
      </c>
      <c r="AA142" s="450">
        <v>3.62</v>
      </c>
    </row>
    <row r="143" spans="1:27" s="444" customFormat="1" x14ac:dyDescent="0.25">
      <c r="A143" s="450"/>
      <c r="C143" s="461" t="s">
        <v>520</v>
      </c>
      <c r="E143" s="447">
        <v>52778</v>
      </c>
      <c r="G143" s="448" t="s">
        <v>692</v>
      </c>
      <c r="H143" s="448" t="s">
        <v>685</v>
      </c>
      <c r="I143" s="449">
        <v>-2</v>
      </c>
      <c r="J143" s="440"/>
      <c r="K143" s="212">
        <v>1592310.85</v>
      </c>
      <c r="L143" s="210"/>
      <c r="M143" s="213">
        <v>173198.84</v>
      </c>
      <c r="N143" s="211"/>
      <c r="O143" s="213">
        <v>1450958</v>
      </c>
      <c r="P143" s="211"/>
      <c r="Q143" s="213">
        <v>56628</v>
      </c>
      <c r="S143" s="450">
        <v>3.56</v>
      </c>
      <c r="U143" s="451">
        <v>25.6</v>
      </c>
      <c r="V143" s="843">
        <f t="shared" si="31"/>
        <v>3.5563407735367751E-2</v>
      </c>
      <c r="W143" s="685">
        <f t="shared" si="17"/>
        <v>3.6592264632248628E-5</v>
      </c>
      <c r="X143" s="685"/>
      <c r="Z143" s="213">
        <v>56628</v>
      </c>
      <c r="AA143" s="450">
        <v>3.56</v>
      </c>
    </row>
    <row r="144" spans="1:27" s="444" customFormat="1" x14ac:dyDescent="0.25">
      <c r="A144" s="450"/>
      <c r="C144" s="461"/>
      <c r="E144" s="424"/>
      <c r="G144" s="455"/>
      <c r="H144" s="455"/>
      <c r="I144" s="456"/>
      <c r="K144" s="216"/>
      <c r="M144" s="462"/>
      <c r="N144" s="462"/>
      <c r="O144" s="462"/>
      <c r="P144" s="462"/>
      <c r="Q144" s="462"/>
      <c r="S144" s="450"/>
      <c r="U144" s="451"/>
      <c r="V144" s="843"/>
      <c r="W144" s="685">
        <f t="shared" si="17"/>
        <v>0</v>
      </c>
      <c r="X144" s="685"/>
      <c r="Z144" s="462"/>
      <c r="AA144" s="450"/>
    </row>
    <row r="145" spans="1:27" s="444" customFormat="1" ht="15.6" x14ac:dyDescent="0.3">
      <c r="A145" s="450"/>
      <c r="C145" s="464" t="s">
        <v>503</v>
      </c>
      <c r="E145" s="424"/>
      <c r="G145" s="455"/>
      <c r="H145" s="455"/>
      <c r="I145" s="456"/>
      <c r="K145" s="209">
        <f>+SUBTOTAL(9,K140:K143)</f>
        <v>12268761.939999999</v>
      </c>
      <c r="M145" s="211">
        <f>+SUBTOTAL(9,M140:M143)</f>
        <v>1816142.49</v>
      </c>
      <c r="N145" s="462"/>
      <c r="O145" s="211">
        <f>+SUBTOTAL(9,O140:O143)</f>
        <v>10865065</v>
      </c>
      <c r="P145" s="462"/>
      <c r="Q145" s="211">
        <f>+SUBTOTAL(9,Q140:Q143)</f>
        <v>351279</v>
      </c>
      <c r="S145" s="450">
        <f>Q145/K145*100</f>
        <v>2.8631984361414711</v>
      </c>
      <c r="U145" s="451">
        <f>ROUND(O145/Q145,1)</f>
        <v>30.9</v>
      </c>
      <c r="V145" s="843">
        <f t="shared" ref="V145" si="32">Q145/K145</f>
        <v>2.863198436141471E-2</v>
      </c>
      <c r="W145" s="685">
        <f t="shared" si="17"/>
        <v>0</v>
      </c>
      <c r="X145" s="685"/>
      <c r="Z145" s="211">
        <v>351279</v>
      </c>
      <c r="AA145" s="450">
        <v>2.8631984361414711</v>
      </c>
    </row>
    <row r="146" spans="1:27" s="444" customFormat="1" x14ac:dyDescent="0.25">
      <c r="A146" s="450"/>
      <c r="C146" s="461"/>
      <c r="E146" s="424"/>
      <c r="G146" s="455"/>
      <c r="H146" s="455"/>
      <c r="I146" s="456"/>
      <c r="K146" s="216"/>
      <c r="M146" s="462"/>
      <c r="N146" s="462"/>
      <c r="O146" s="462"/>
      <c r="P146" s="462"/>
      <c r="Q146" s="462"/>
      <c r="S146" s="450"/>
      <c r="U146" s="451"/>
      <c r="V146" s="843"/>
      <c r="W146" s="685">
        <f t="shared" si="17"/>
        <v>0</v>
      </c>
      <c r="X146" s="685"/>
      <c r="Z146" s="462"/>
      <c r="AA146" s="450"/>
    </row>
    <row r="147" spans="1:27" s="444" customFormat="1" x14ac:dyDescent="0.25">
      <c r="A147" s="450">
        <v>335.1</v>
      </c>
      <c r="C147" s="461" t="s">
        <v>32</v>
      </c>
      <c r="E147" s="424"/>
      <c r="G147" s="455"/>
      <c r="H147" s="455"/>
      <c r="I147" s="456"/>
      <c r="K147" s="216"/>
      <c r="M147" s="462"/>
      <c r="N147" s="462"/>
      <c r="O147" s="462"/>
      <c r="P147" s="462"/>
      <c r="Q147" s="462"/>
      <c r="S147" s="450"/>
      <c r="U147" s="451"/>
      <c r="V147" s="843"/>
      <c r="W147" s="685">
        <f t="shared" si="17"/>
        <v>0</v>
      </c>
      <c r="X147" s="685"/>
      <c r="Z147" s="462"/>
      <c r="AA147" s="450"/>
    </row>
    <row r="148" spans="1:27" s="444" customFormat="1" x14ac:dyDescent="0.25">
      <c r="A148" s="450"/>
      <c r="C148" s="461" t="s">
        <v>525</v>
      </c>
      <c r="E148" s="447">
        <v>58014</v>
      </c>
      <c r="G148" s="448" t="s">
        <v>693</v>
      </c>
      <c r="H148" s="448" t="s">
        <v>685</v>
      </c>
      <c r="I148" s="449">
        <v>0</v>
      </c>
      <c r="J148" s="440"/>
      <c r="K148" s="209">
        <v>846482.91</v>
      </c>
      <c r="L148" s="210"/>
      <c r="M148" s="211">
        <v>637395.13</v>
      </c>
      <c r="N148" s="211"/>
      <c r="O148" s="211">
        <v>209088</v>
      </c>
      <c r="P148" s="211"/>
      <c r="Q148" s="211">
        <v>15022</v>
      </c>
      <c r="S148" s="450">
        <v>1.77</v>
      </c>
      <c r="U148" s="451">
        <v>13.9</v>
      </c>
      <c r="V148" s="843">
        <f t="shared" ref="V148:V151" si="33">Q148/K148</f>
        <v>1.7746371276414784E-2</v>
      </c>
      <c r="W148" s="685">
        <f t="shared" si="17"/>
        <v>-4.6371276414783336E-5</v>
      </c>
      <c r="X148" s="685"/>
      <c r="Z148" s="211">
        <v>15022</v>
      </c>
      <c r="AA148" s="450">
        <v>1.77</v>
      </c>
    </row>
    <row r="149" spans="1:27" s="444" customFormat="1" x14ac:dyDescent="0.25">
      <c r="A149" s="450"/>
      <c r="C149" s="461" t="s">
        <v>526</v>
      </c>
      <c r="E149" s="447">
        <v>58014</v>
      </c>
      <c r="G149" s="448" t="s">
        <v>693</v>
      </c>
      <c r="H149" s="448" t="s">
        <v>685</v>
      </c>
      <c r="I149" s="449">
        <v>0</v>
      </c>
      <c r="J149" s="440"/>
      <c r="K149" s="209">
        <v>597432.9</v>
      </c>
      <c r="L149" s="210"/>
      <c r="M149" s="211">
        <v>140377.26</v>
      </c>
      <c r="N149" s="211"/>
      <c r="O149" s="211">
        <v>457056</v>
      </c>
      <c r="P149" s="211"/>
      <c r="Q149" s="211">
        <v>61911</v>
      </c>
      <c r="S149" s="450">
        <v>10.36</v>
      </c>
      <c r="U149" s="451">
        <v>7.4</v>
      </c>
      <c r="V149" s="843">
        <f t="shared" si="33"/>
        <v>0.10362837399815109</v>
      </c>
      <c r="W149" s="685">
        <f t="shared" si="17"/>
        <v>-2.8373998151087765E-5</v>
      </c>
      <c r="X149" s="685"/>
      <c r="Z149" s="211">
        <v>61911</v>
      </c>
      <c r="AA149" s="450">
        <v>10.36</v>
      </c>
    </row>
    <row r="150" spans="1:27" s="444" customFormat="1" x14ac:dyDescent="0.25">
      <c r="A150" s="450"/>
      <c r="C150" s="461" t="s">
        <v>527</v>
      </c>
      <c r="E150" s="447">
        <v>52778</v>
      </c>
      <c r="G150" s="448" t="s">
        <v>693</v>
      </c>
      <c r="H150" s="448" t="s">
        <v>685</v>
      </c>
      <c r="I150" s="449">
        <v>0</v>
      </c>
      <c r="J150" s="440"/>
      <c r="K150" s="209">
        <v>674571.58</v>
      </c>
      <c r="L150" s="210"/>
      <c r="M150" s="211">
        <v>542234.84</v>
      </c>
      <c r="N150" s="211"/>
      <c r="O150" s="211">
        <v>132337</v>
      </c>
      <c r="P150" s="211"/>
      <c r="Q150" s="211">
        <v>8883</v>
      </c>
      <c r="S150" s="450">
        <v>1.32</v>
      </c>
      <c r="U150" s="451">
        <v>14.9</v>
      </c>
      <c r="V150" s="843">
        <f t="shared" si="33"/>
        <v>1.3168357907992508E-2</v>
      </c>
      <c r="W150" s="685">
        <f t="shared" si="17"/>
        <v>3.1642092007492031E-5</v>
      </c>
      <c r="X150" s="685"/>
      <c r="Z150" s="211">
        <v>8883</v>
      </c>
      <c r="AA150" s="450">
        <v>1.32</v>
      </c>
    </row>
    <row r="151" spans="1:27" s="444" customFormat="1" x14ac:dyDescent="0.25">
      <c r="A151" s="450"/>
      <c r="C151" s="461" t="s">
        <v>528</v>
      </c>
      <c r="E151" s="447">
        <v>52778</v>
      </c>
      <c r="G151" s="448" t="s">
        <v>693</v>
      </c>
      <c r="H151" s="448" t="s">
        <v>685</v>
      </c>
      <c r="I151" s="449">
        <v>0</v>
      </c>
      <c r="J151" s="440"/>
      <c r="K151" s="212">
        <v>80300.259999999995</v>
      </c>
      <c r="L151" s="210"/>
      <c r="M151" s="213">
        <v>77265.070000000007</v>
      </c>
      <c r="N151" s="211"/>
      <c r="O151" s="213">
        <v>3035</v>
      </c>
      <c r="P151" s="211"/>
      <c r="Q151" s="213">
        <v>206</v>
      </c>
      <c r="S151" s="450">
        <v>0.26</v>
      </c>
      <c r="U151" s="451">
        <v>14.7</v>
      </c>
      <c r="V151" s="843">
        <f t="shared" si="33"/>
        <v>2.5653715193450183E-3</v>
      </c>
      <c r="W151" s="685">
        <f t="shared" si="17"/>
        <v>3.4628480654981617E-5</v>
      </c>
      <c r="X151" s="685"/>
      <c r="Z151" s="213">
        <v>206</v>
      </c>
      <c r="AA151" s="450">
        <v>0.26</v>
      </c>
    </row>
    <row r="152" spans="1:27" s="444" customFormat="1" x14ac:dyDescent="0.25">
      <c r="A152" s="450"/>
      <c r="C152" s="461"/>
      <c r="E152" s="424"/>
      <c r="G152" s="455"/>
      <c r="H152" s="455"/>
      <c r="I152" s="456"/>
      <c r="K152" s="216"/>
      <c r="M152" s="462"/>
      <c r="N152" s="462"/>
      <c r="O152" s="462"/>
      <c r="P152" s="462"/>
      <c r="Q152" s="462"/>
      <c r="S152" s="450"/>
      <c r="U152" s="451"/>
      <c r="V152" s="843"/>
      <c r="W152" s="685">
        <f t="shared" si="17"/>
        <v>0</v>
      </c>
      <c r="X152" s="685"/>
      <c r="Z152" s="462"/>
      <c r="AA152" s="450"/>
    </row>
    <row r="153" spans="1:27" s="444" customFormat="1" ht="15.6" x14ac:dyDescent="0.3">
      <c r="A153" s="450"/>
      <c r="C153" s="464" t="s">
        <v>529</v>
      </c>
      <c r="E153" s="424"/>
      <c r="G153" s="455"/>
      <c r="H153" s="455"/>
      <c r="I153" s="456"/>
      <c r="K153" s="209">
        <f>+SUBTOTAL(9,K148:K151)</f>
        <v>2198787.65</v>
      </c>
      <c r="M153" s="211">
        <f>+SUBTOTAL(9,M148:M151)</f>
        <v>1397272.3</v>
      </c>
      <c r="N153" s="462"/>
      <c r="O153" s="211">
        <f>+SUBTOTAL(9,O148:O151)</f>
        <v>801516</v>
      </c>
      <c r="P153" s="462"/>
      <c r="Q153" s="211">
        <f>+SUBTOTAL(9,Q148:Q151)</f>
        <v>86022</v>
      </c>
      <c r="S153" s="450">
        <f>Q153/K153*100</f>
        <v>3.9122468238349439</v>
      </c>
      <c r="U153" s="451">
        <f>ROUND(O153/Q153,1)</f>
        <v>9.3000000000000007</v>
      </c>
      <c r="V153" s="843">
        <f t="shared" ref="V153" si="34">Q153/K153</f>
        <v>3.9122468238349438E-2</v>
      </c>
      <c r="W153" s="685">
        <f t="shared" ref="W153:W220" si="35">S153/100-V153</f>
        <v>0</v>
      </c>
      <c r="X153" s="685"/>
      <c r="Z153" s="211">
        <v>86022</v>
      </c>
      <c r="AA153" s="450">
        <v>3.9122468238349439</v>
      </c>
    </row>
    <row r="154" spans="1:27" s="444" customFormat="1" x14ac:dyDescent="0.25">
      <c r="A154" s="450"/>
      <c r="C154" s="461"/>
      <c r="E154" s="424"/>
      <c r="G154" s="455"/>
      <c r="H154" s="455"/>
      <c r="I154" s="456"/>
      <c r="K154" s="216"/>
      <c r="M154" s="462"/>
      <c r="N154" s="462"/>
      <c r="O154" s="462"/>
      <c r="P154" s="462"/>
      <c r="Q154" s="462"/>
      <c r="S154" s="450"/>
      <c r="U154" s="451"/>
      <c r="V154" s="843"/>
      <c r="W154" s="685">
        <f t="shared" si="35"/>
        <v>0</v>
      </c>
      <c r="X154" s="685"/>
      <c r="Z154" s="462"/>
      <c r="AA154" s="450"/>
    </row>
    <row r="155" spans="1:27" s="444" customFormat="1" x14ac:dyDescent="0.25">
      <c r="A155" s="450">
        <v>336</v>
      </c>
      <c r="C155" s="461" t="s">
        <v>530</v>
      </c>
      <c r="E155" s="424"/>
      <c r="G155" s="455"/>
      <c r="H155" s="455"/>
      <c r="I155" s="456"/>
      <c r="K155" s="216"/>
      <c r="M155" s="462"/>
      <c r="N155" s="462"/>
      <c r="O155" s="462"/>
      <c r="P155" s="462"/>
      <c r="Q155" s="462"/>
      <c r="S155" s="450"/>
      <c r="U155" s="451"/>
      <c r="V155" s="843"/>
      <c r="W155" s="685">
        <f t="shared" si="35"/>
        <v>0</v>
      </c>
      <c r="X155" s="685"/>
      <c r="Z155" s="462"/>
      <c r="AA155" s="450"/>
    </row>
    <row r="156" spans="1:27" s="444" customFormat="1" x14ac:dyDescent="0.25">
      <c r="A156" s="450"/>
      <c r="C156" s="461" t="s">
        <v>511</v>
      </c>
      <c r="E156" s="447">
        <v>58014</v>
      </c>
      <c r="G156" s="448" t="s">
        <v>846</v>
      </c>
      <c r="H156" s="448" t="s">
        <v>685</v>
      </c>
      <c r="I156" s="449">
        <v>-1</v>
      </c>
      <c r="J156" s="440"/>
      <c r="K156" s="209">
        <v>1588315.74</v>
      </c>
      <c r="L156" s="210"/>
      <c r="M156" s="211">
        <v>188571.47</v>
      </c>
      <c r="N156" s="211"/>
      <c r="O156" s="211">
        <v>1415627</v>
      </c>
      <c r="P156" s="211"/>
      <c r="Q156" s="211">
        <v>36505</v>
      </c>
      <c r="S156" s="450">
        <v>2.2999999999999998</v>
      </c>
      <c r="U156" s="451">
        <v>38.799999999999997</v>
      </c>
      <c r="V156" s="843">
        <f t="shared" ref="V156:V159" si="36">Q156/K156</f>
        <v>2.2983465491565297E-2</v>
      </c>
      <c r="W156" s="685">
        <f t="shared" si="35"/>
        <v>1.6534508434702666E-5</v>
      </c>
      <c r="X156" s="685"/>
      <c r="Z156" s="211">
        <v>36505</v>
      </c>
      <c r="AA156" s="450">
        <v>2.2999999999999998</v>
      </c>
    </row>
    <row r="157" spans="1:27" s="444" customFormat="1" x14ac:dyDescent="0.25">
      <c r="A157" s="450"/>
      <c r="C157" s="461" t="s">
        <v>518</v>
      </c>
      <c r="E157" s="447">
        <v>58014</v>
      </c>
      <c r="G157" s="448" t="s">
        <v>846</v>
      </c>
      <c r="H157" s="448" t="s">
        <v>685</v>
      </c>
      <c r="I157" s="449">
        <v>-2</v>
      </c>
      <c r="J157" s="440"/>
      <c r="K157" s="209">
        <v>2648181.67</v>
      </c>
      <c r="L157" s="210"/>
      <c r="M157" s="211">
        <v>245575.23</v>
      </c>
      <c r="N157" s="211"/>
      <c r="O157" s="211">
        <v>2455570</v>
      </c>
      <c r="P157" s="211"/>
      <c r="Q157" s="211">
        <v>66943</v>
      </c>
      <c r="S157" s="450">
        <v>2.5299999999999998</v>
      </c>
      <c r="U157" s="451">
        <v>36.700000000000003</v>
      </c>
      <c r="V157" s="843">
        <f t="shared" si="36"/>
        <v>2.5278854830227716E-2</v>
      </c>
      <c r="W157" s="685">
        <f t="shared" si="35"/>
        <v>2.1145169772283229E-5</v>
      </c>
      <c r="X157" s="685"/>
      <c r="Z157" s="211">
        <v>66943</v>
      </c>
      <c r="AA157" s="450">
        <v>2.5299999999999998</v>
      </c>
    </row>
    <row r="158" spans="1:27" s="444" customFormat="1" x14ac:dyDescent="0.25">
      <c r="A158" s="450"/>
      <c r="C158" s="461" t="s">
        <v>531</v>
      </c>
      <c r="E158" s="447">
        <v>52778</v>
      </c>
      <c r="G158" s="448" t="s">
        <v>846</v>
      </c>
      <c r="H158" s="448" t="s">
        <v>685</v>
      </c>
      <c r="I158" s="449">
        <v>0</v>
      </c>
      <c r="J158" s="440"/>
      <c r="K158" s="209">
        <v>637500.65</v>
      </c>
      <c r="L158" s="210"/>
      <c r="M158" s="211">
        <v>60851.95</v>
      </c>
      <c r="N158" s="211"/>
      <c r="O158" s="211">
        <v>576649</v>
      </c>
      <c r="P158" s="211"/>
      <c r="Q158" s="211">
        <v>21557</v>
      </c>
      <c r="S158" s="450">
        <v>3.38</v>
      </c>
      <c r="U158" s="451">
        <v>26.7</v>
      </c>
      <c r="V158" s="843">
        <f t="shared" si="36"/>
        <v>3.3814867482880213E-2</v>
      </c>
      <c r="W158" s="685">
        <f t="shared" si="35"/>
        <v>-1.486748288021672E-5</v>
      </c>
      <c r="X158" s="685"/>
      <c r="Z158" s="211">
        <v>21557</v>
      </c>
      <c r="AA158" s="450">
        <v>3.38</v>
      </c>
    </row>
    <row r="159" spans="1:27" s="444" customFormat="1" x14ac:dyDescent="0.25">
      <c r="A159" s="450"/>
      <c r="C159" s="461" t="s">
        <v>520</v>
      </c>
      <c r="E159" s="447">
        <v>52778</v>
      </c>
      <c r="G159" s="448" t="s">
        <v>846</v>
      </c>
      <c r="H159" s="448" t="s">
        <v>685</v>
      </c>
      <c r="I159" s="449">
        <v>0</v>
      </c>
      <c r="J159" s="440"/>
      <c r="K159" s="212">
        <v>157935.07</v>
      </c>
      <c r="L159" s="210"/>
      <c r="M159" s="213">
        <v>15049.7</v>
      </c>
      <c r="N159" s="211"/>
      <c r="O159" s="213">
        <v>142885</v>
      </c>
      <c r="P159" s="211"/>
      <c r="Q159" s="213">
        <v>5341</v>
      </c>
      <c r="S159" s="450">
        <v>3.38</v>
      </c>
      <c r="U159" s="451">
        <v>26.8</v>
      </c>
      <c r="V159" s="843">
        <f t="shared" si="36"/>
        <v>3.3817694828640651E-2</v>
      </c>
      <c r="W159" s="685">
        <f t="shared" si="35"/>
        <v>-1.7694828640654747E-5</v>
      </c>
      <c r="X159" s="685"/>
      <c r="Z159" s="213">
        <v>5341</v>
      </c>
      <c r="AA159" s="450">
        <v>3.38</v>
      </c>
    </row>
    <row r="160" spans="1:27" s="444" customFormat="1" x14ac:dyDescent="0.25">
      <c r="A160" s="450"/>
      <c r="C160" s="461"/>
      <c r="E160" s="424"/>
      <c r="G160" s="455"/>
      <c r="H160" s="455"/>
      <c r="I160" s="456"/>
      <c r="K160" s="216"/>
      <c r="M160" s="462"/>
      <c r="N160" s="462"/>
      <c r="O160" s="462"/>
      <c r="P160" s="462"/>
      <c r="Q160" s="462"/>
      <c r="S160" s="450"/>
      <c r="U160" s="451"/>
      <c r="V160" s="843"/>
      <c r="W160" s="685">
        <f t="shared" si="35"/>
        <v>0</v>
      </c>
      <c r="X160" s="685"/>
      <c r="Z160" s="462"/>
      <c r="AA160" s="450"/>
    </row>
    <row r="161" spans="1:27" s="444" customFormat="1" ht="15.6" x14ac:dyDescent="0.3">
      <c r="A161" s="450"/>
      <c r="C161" s="464" t="s">
        <v>532</v>
      </c>
      <c r="E161" s="424"/>
      <c r="G161" s="455"/>
      <c r="H161" s="455"/>
      <c r="I161" s="456"/>
      <c r="K161" s="212">
        <f>+SUBTOTAL(9,K156:K159)</f>
        <v>5031933.1300000008</v>
      </c>
      <c r="M161" s="213">
        <f>+SUBTOTAL(9,M156:M159)</f>
        <v>510048.35000000003</v>
      </c>
      <c r="N161" s="462"/>
      <c r="O161" s="213">
        <f>+SUBTOTAL(9,O156:O159)</f>
        <v>4590731</v>
      </c>
      <c r="P161" s="462"/>
      <c r="Q161" s="213">
        <f>+SUBTOTAL(9,Q156:Q159)</f>
        <v>130346</v>
      </c>
      <c r="S161" s="450">
        <f>Q161/K161*100</f>
        <v>2.5903762357827671</v>
      </c>
      <c r="U161" s="451">
        <f>ROUND(O161/Q161,1)</f>
        <v>35.200000000000003</v>
      </c>
      <c r="V161" s="843">
        <f t="shared" ref="V161:V163" si="37">Q161/K161</f>
        <v>2.5903762357827671E-2</v>
      </c>
      <c r="W161" s="685">
        <f t="shared" si="35"/>
        <v>0</v>
      </c>
      <c r="X161" s="685"/>
      <c r="Z161" s="213">
        <v>130346</v>
      </c>
      <c r="AA161" s="450">
        <v>2.5903762357827671</v>
      </c>
    </row>
    <row r="162" spans="1:27" s="444" customFormat="1" x14ac:dyDescent="0.25">
      <c r="A162" s="450"/>
      <c r="C162" s="461"/>
      <c r="E162" s="424"/>
      <c r="G162" s="455"/>
      <c r="H162" s="455"/>
      <c r="I162" s="456"/>
      <c r="K162" s="216"/>
      <c r="M162" s="462"/>
      <c r="N162" s="462"/>
      <c r="O162" s="462"/>
      <c r="P162" s="462"/>
      <c r="Q162" s="462"/>
      <c r="S162" s="450"/>
      <c r="U162" s="451"/>
      <c r="V162" s="843"/>
      <c r="W162" s="685">
        <f t="shared" si="35"/>
        <v>0</v>
      </c>
      <c r="X162" s="685"/>
      <c r="Z162" s="462"/>
      <c r="AA162" s="450"/>
    </row>
    <row r="163" spans="1:27" s="416" customFormat="1" ht="15.6" x14ac:dyDescent="0.3">
      <c r="A163" s="459"/>
      <c r="C163" s="433" t="s">
        <v>533</v>
      </c>
      <c r="E163" s="418"/>
      <c r="G163" s="417"/>
      <c r="H163" s="417"/>
      <c r="I163" s="420"/>
      <c r="K163" s="214">
        <f>SUBTOTAL(9,K105:K161)</f>
        <v>704883822.71000016</v>
      </c>
      <c r="L163" s="457"/>
      <c r="M163" s="215">
        <f>SUBTOTAL(9,M105:M161)</f>
        <v>149591644.19999993</v>
      </c>
      <c r="N163" s="458"/>
      <c r="O163" s="215">
        <f>SUBTOTAL(9,O105:O161)</f>
        <v>596176863</v>
      </c>
      <c r="P163" s="458"/>
      <c r="Q163" s="215">
        <f>SUBTOTAL(9,Q105:Q161)</f>
        <v>18909748</v>
      </c>
      <c r="S163" s="459">
        <f>ROUND(Q163/K163*100,2)</f>
        <v>2.68</v>
      </c>
      <c r="U163" s="465"/>
      <c r="V163" s="843">
        <f t="shared" si="37"/>
        <v>2.6826758383104155E-2</v>
      </c>
      <c r="W163" s="686">
        <f t="shared" si="35"/>
        <v>-2.6758383104154293E-5</v>
      </c>
      <c r="X163" s="686"/>
      <c r="Z163" s="215">
        <v>18909748</v>
      </c>
      <c r="AA163" s="459">
        <v>2.68</v>
      </c>
    </row>
    <row r="164" spans="1:27" s="700" customFormat="1" ht="15.6" x14ac:dyDescent="0.3">
      <c r="A164" s="750"/>
      <c r="C164" s="749"/>
      <c r="E164" s="702"/>
      <c r="G164" s="701"/>
      <c r="H164" s="701"/>
      <c r="I164" s="704"/>
      <c r="K164" s="214"/>
      <c r="L164" s="457"/>
      <c r="M164" s="215"/>
      <c r="N164" s="752"/>
      <c r="O164" s="215"/>
      <c r="P164" s="752"/>
      <c r="Q164" s="215"/>
      <c r="S164" s="750"/>
      <c r="U164" s="465"/>
      <c r="V164" s="843"/>
      <c r="W164" s="686"/>
      <c r="X164" s="686"/>
      <c r="Z164" s="215"/>
      <c r="AA164" s="750"/>
    </row>
    <row r="165" spans="1:27" s="700" customFormat="1" ht="15.6" x14ac:dyDescent="0.3">
      <c r="A165" s="750"/>
      <c r="C165" s="749"/>
      <c r="E165" s="702"/>
      <c r="G165" s="701"/>
      <c r="H165" s="701"/>
      <c r="I165" s="704"/>
      <c r="K165" s="214"/>
      <c r="L165" s="457"/>
      <c r="M165" s="215"/>
      <c r="N165" s="752"/>
      <c r="O165" s="215"/>
      <c r="P165" s="752"/>
      <c r="Q165" s="215"/>
      <c r="S165" s="750"/>
      <c r="U165" s="465"/>
      <c r="V165" s="843"/>
      <c r="W165" s="686"/>
      <c r="X165" s="686"/>
      <c r="Z165" s="215"/>
      <c r="AA165" s="750"/>
    </row>
    <row r="166" spans="1:27" s="700" customFormat="1" ht="15.6" x14ac:dyDescent="0.3">
      <c r="A166" s="750"/>
      <c r="C166" s="749"/>
      <c r="E166" s="702"/>
      <c r="G166" s="701"/>
      <c r="H166" s="701"/>
      <c r="I166" s="704"/>
      <c r="K166" s="214"/>
      <c r="L166" s="457"/>
      <c r="M166" s="215"/>
      <c r="N166" s="752"/>
      <c r="O166" s="215"/>
      <c r="P166" s="752"/>
      <c r="Q166" s="215"/>
      <c r="S166" s="750"/>
      <c r="U166" s="465"/>
      <c r="V166" s="843"/>
      <c r="W166" s="686"/>
      <c r="X166" s="686"/>
      <c r="Z166" s="215"/>
      <c r="AA166" s="750"/>
    </row>
    <row r="167" spans="1:27" s="700" customFormat="1" ht="15.6" x14ac:dyDescent="0.3">
      <c r="A167" s="750"/>
      <c r="C167" s="749"/>
      <c r="E167" s="702"/>
      <c r="G167" s="701"/>
      <c r="H167" s="701"/>
      <c r="I167" s="704"/>
      <c r="K167" s="214"/>
      <c r="L167" s="457"/>
      <c r="M167" s="215"/>
      <c r="N167" s="752"/>
      <c r="O167" s="215"/>
      <c r="P167" s="752"/>
      <c r="Q167" s="215"/>
      <c r="S167" s="750"/>
      <c r="U167" s="465"/>
      <c r="V167" s="843"/>
      <c r="W167" s="686"/>
      <c r="X167" s="686"/>
      <c r="Z167" s="215"/>
      <c r="AA167" s="750"/>
    </row>
    <row r="168" spans="1:27" s="444" customFormat="1" ht="15.6" x14ac:dyDescent="0.3">
      <c r="A168" s="450"/>
      <c r="C168" s="461"/>
      <c r="E168" s="424"/>
      <c r="G168" s="455"/>
      <c r="H168" s="455"/>
      <c r="I168" s="456"/>
      <c r="K168" s="217"/>
      <c r="M168" s="462"/>
      <c r="N168" s="462"/>
      <c r="O168" s="462"/>
      <c r="P168" s="462"/>
      <c r="Q168" s="462"/>
      <c r="S168" s="450"/>
      <c r="U168" s="451"/>
      <c r="V168" s="843"/>
      <c r="W168" s="685">
        <f t="shared" si="35"/>
        <v>0</v>
      </c>
      <c r="X168" s="685"/>
      <c r="Z168" s="462"/>
      <c r="AA168" s="450"/>
    </row>
    <row r="169" spans="1:27" x14ac:dyDescent="0.25">
      <c r="A169" s="438"/>
      <c r="G169" s="455"/>
      <c r="H169" s="455"/>
      <c r="I169" s="456"/>
      <c r="K169" s="216"/>
      <c r="M169" s="436"/>
      <c r="N169" s="436"/>
      <c r="O169" s="436"/>
      <c r="P169" s="436"/>
      <c r="Q169" s="436"/>
      <c r="S169" s="438"/>
      <c r="U169" s="437"/>
      <c r="V169" s="842"/>
      <c r="W169" s="685">
        <f t="shared" si="35"/>
        <v>0</v>
      </c>
      <c r="X169" s="685"/>
      <c r="Z169" s="436"/>
      <c r="AA169" s="438"/>
    </row>
    <row r="170" spans="1:27" ht="15.6" x14ac:dyDescent="0.3">
      <c r="A170" s="438"/>
      <c r="B170" s="407"/>
      <c r="C170" s="417" t="s">
        <v>45</v>
      </c>
      <c r="D170" s="407"/>
      <c r="F170" s="407"/>
      <c r="G170" s="455"/>
      <c r="H170" s="455"/>
      <c r="I170" s="456"/>
      <c r="J170" s="407"/>
      <c r="K170" s="216"/>
      <c r="L170" s="407"/>
      <c r="M170" s="436"/>
      <c r="N170" s="436"/>
      <c r="O170" s="436"/>
      <c r="P170" s="436"/>
      <c r="Q170" s="436"/>
      <c r="R170" s="407"/>
      <c r="S170" s="438"/>
      <c r="T170" s="407"/>
      <c r="U170" s="437"/>
      <c r="V170" s="842"/>
      <c r="W170" s="685">
        <f t="shared" si="35"/>
        <v>0</v>
      </c>
      <c r="X170" s="685"/>
      <c r="Z170" s="436"/>
      <c r="AA170" s="438"/>
    </row>
    <row r="171" spans="1:27" x14ac:dyDescent="0.25">
      <c r="A171" s="438"/>
      <c r="C171" s="466"/>
      <c r="G171" s="455"/>
      <c r="H171" s="455"/>
      <c r="I171" s="456"/>
      <c r="K171" s="216"/>
      <c r="M171" s="436"/>
      <c r="N171" s="436"/>
      <c r="O171" s="436"/>
      <c r="P171" s="436"/>
      <c r="Q171" s="436"/>
      <c r="S171" s="438"/>
      <c r="U171" s="437"/>
      <c r="V171" s="842"/>
      <c r="W171" s="685">
        <f t="shared" si="35"/>
        <v>0</v>
      </c>
      <c r="X171" s="685"/>
      <c r="Z171" s="436"/>
      <c r="AA171" s="438"/>
    </row>
    <row r="172" spans="1:27" x14ac:dyDescent="0.25">
      <c r="A172" s="450">
        <v>340.1</v>
      </c>
      <c r="B172" s="444"/>
      <c r="C172" s="461" t="s">
        <v>38</v>
      </c>
      <c r="E172" s="447">
        <v>47664</v>
      </c>
      <c r="G172" s="448" t="s">
        <v>689</v>
      </c>
      <c r="H172" s="448" t="s">
        <v>685</v>
      </c>
      <c r="I172" s="449">
        <v>-5</v>
      </c>
      <c r="J172" s="440"/>
      <c r="K172" s="209">
        <v>221928.75</v>
      </c>
      <c r="L172" s="210"/>
      <c r="M172" s="211">
        <v>197424.65</v>
      </c>
      <c r="N172" s="211"/>
      <c r="O172" s="211">
        <v>35601</v>
      </c>
      <c r="P172" s="211"/>
      <c r="Q172" s="211">
        <v>2589</v>
      </c>
      <c r="R172" s="444"/>
      <c r="S172" s="450">
        <v>1.17</v>
      </c>
      <c r="T172" s="444"/>
      <c r="U172" s="451">
        <v>13.8</v>
      </c>
      <c r="V172" s="843">
        <f t="shared" ref="V172" si="38">Q172/K172</f>
        <v>1.1665906287490918E-2</v>
      </c>
      <c r="W172" s="685">
        <f t="shared" si="35"/>
        <v>3.4093712509080179E-5</v>
      </c>
      <c r="X172" s="685"/>
      <c r="Z172" s="211">
        <v>2589</v>
      </c>
      <c r="AA172" s="450">
        <v>1.17</v>
      </c>
    </row>
    <row r="173" spans="1:27" s="444" customFormat="1" x14ac:dyDescent="0.25">
      <c r="A173" s="439">
        <v>341</v>
      </c>
      <c r="B173" s="440"/>
      <c r="C173" s="446" t="s">
        <v>2</v>
      </c>
      <c r="D173" s="440"/>
      <c r="E173" s="441"/>
      <c r="F173" s="440"/>
      <c r="G173" s="440"/>
      <c r="H173" s="440"/>
      <c r="I173" s="442"/>
      <c r="J173" s="440"/>
      <c r="K173" s="209" t="s">
        <v>534</v>
      </c>
      <c r="L173" s="210"/>
      <c r="M173" s="211" t="s">
        <v>534</v>
      </c>
      <c r="N173" s="211"/>
      <c r="O173" s="211" t="s">
        <v>534</v>
      </c>
      <c r="P173" s="211"/>
      <c r="Q173" s="211" t="s">
        <v>534</v>
      </c>
      <c r="R173" s="440"/>
      <c r="S173" s="440"/>
      <c r="T173" s="440"/>
      <c r="U173" s="440"/>
      <c r="V173" s="843"/>
      <c r="W173" s="685">
        <f t="shared" si="35"/>
        <v>0</v>
      </c>
      <c r="X173" s="685"/>
      <c r="Z173" s="211" t="s">
        <v>534</v>
      </c>
      <c r="AA173" s="440"/>
    </row>
    <row r="174" spans="1:27" s="444" customFormat="1" x14ac:dyDescent="0.25">
      <c r="A174" s="439"/>
      <c r="B174" s="440"/>
      <c r="C174" s="446" t="s">
        <v>535</v>
      </c>
      <c r="D174" s="440"/>
      <c r="E174" s="447">
        <v>48760</v>
      </c>
      <c r="F174" s="440"/>
      <c r="G174" s="448" t="s">
        <v>694</v>
      </c>
      <c r="H174" s="448" t="s">
        <v>685</v>
      </c>
      <c r="I174" s="449">
        <v>-5</v>
      </c>
      <c r="J174" s="440"/>
      <c r="K174" s="209">
        <v>9238362.0500000007</v>
      </c>
      <c r="L174" s="210"/>
      <c r="M174" s="211">
        <v>5850367.3600000003</v>
      </c>
      <c r="N174" s="211"/>
      <c r="O174" s="211">
        <v>3849913</v>
      </c>
      <c r="P174" s="211"/>
      <c r="Q174" s="211">
        <v>231822</v>
      </c>
      <c r="S174" s="450">
        <v>2.5099999999999998</v>
      </c>
      <c r="U174" s="451">
        <v>16.600000000000001</v>
      </c>
      <c r="V174" s="843">
        <f t="shared" ref="V174:V183" si="39">Q174/K174</f>
        <v>2.5093409280273874E-2</v>
      </c>
      <c r="W174" s="685">
        <f t="shared" si="35"/>
        <v>6.590719726123212E-6</v>
      </c>
      <c r="X174" s="685"/>
      <c r="Z174" s="211">
        <v>231822</v>
      </c>
      <c r="AA174" s="450">
        <v>2.5099999999999998</v>
      </c>
    </row>
    <row r="175" spans="1:27" s="444" customFormat="1" x14ac:dyDescent="0.25">
      <c r="A175" s="439"/>
      <c r="B175" s="440"/>
      <c r="C175" s="446" t="s">
        <v>468</v>
      </c>
      <c r="D175" s="440"/>
      <c r="E175" s="447">
        <v>52047</v>
      </c>
      <c r="F175" s="440"/>
      <c r="G175" s="448" t="s">
        <v>694</v>
      </c>
      <c r="H175" s="448" t="s">
        <v>685</v>
      </c>
      <c r="I175" s="449">
        <v>-5</v>
      </c>
      <c r="J175" s="440"/>
      <c r="K175" s="209">
        <v>5774386.75</v>
      </c>
      <c r="L175" s="210"/>
      <c r="M175" s="211">
        <v>2475066.12</v>
      </c>
      <c r="N175" s="211"/>
      <c r="O175" s="211">
        <v>3588040</v>
      </c>
      <c r="P175" s="211"/>
      <c r="Q175" s="211">
        <v>142439</v>
      </c>
      <c r="S175" s="450">
        <v>2.4700000000000002</v>
      </c>
      <c r="U175" s="451">
        <v>25.2</v>
      </c>
      <c r="V175" s="843">
        <f t="shared" si="39"/>
        <v>2.4667381345733382E-2</v>
      </c>
      <c r="W175" s="685">
        <f t="shared" si="35"/>
        <v>3.2618654266621666E-5</v>
      </c>
      <c r="X175" s="685"/>
      <c r="Z175" s="211">
        <v>142439</v>
      </c>
      <c r="AA175" s="450">
        <v>2.4700000000000002</v>
      </c>
    </row>
    <row r="176" spans="1:27" s="444" customFormat="1" x14ac:dyDescent="0.25">
      <c r="A176" s="439"/>
      <c r="B176" s="440"/>
      <c r="C176" s="446" t="s">
        <v>469</v>
      </c>
      <c r="D176" s="440"/>
      <c r="E176" s="447">
        <v>52778</v>
      </c>
      <c r="F176" s="440"/>
      <c r="G176" s="448" t="s">
        <v>694</v>
      </c>
      <c r="H176" s="448" t="s">
        <v>685</v>
      </c>
      <c r="I176" s="449">
        <v>-5</v>
      </c>
      <c r="J176" s="440"/>
      <c r="K176" s="209">
        <v>34450809.719999999</v>
      </c>
      <c r="L176" s="210"/>
      <c r="M176" s="211">
        <v>26661589.050000001</v>
      </c>
      <c r="N176" s="211"/>
      <c r="O176" s="211">
        <v>9511761</v>
      </c>
      <c r="P176" s="211"/>
      <c r="Q176" s="211">
        <v>348886</v>
      </c>
      <c r="S176" s="450">
        <v>1.01</v>
      </c>
      <c r="U176" s="451">
        <v>27.3</v>
      </c>
      <c r="V176" s="843">
        <f t="shared" si="39"/>
        <v>1.0127076920269264E-2</v>
      </c>
      <c r="W176" s="685">
        <f t="shared" si="35"/>
        <v>-2.7076920269264448E-5</v>
      </c>
      <c r="X176" s="685"/>
      <c r="Z176" s="211">
        <v>348886</v>
      </c>
      <c r="AA176" s="450">
        <v>1.01</v>
      </c>
    </row>
    <row r="177" spans="1:27" s="444" customFormat="1" x14ac:dyDescent="0.25">
      <c r="A177" s="439"/>
      <c r="B177" s="440"/>
      <c r="C177" s="446" t="s">
        <v>470</v>
      </c>
      <c r="D177" s="440"/>
      <c r="E177" s="447">
        <v>53873</v>
      </c>
      <c r="F177" s="440"/>
      <c r="G177" s="448" t="s">
        <v>694</v>
      </c>
      <c r="H177" s="448" t="s">
        <v>685</v>
      </c>
      <c r="I177" s="449">
        <v>-5</v>
      </c>
      <c r="J177" s="440"/>
      <c r="K177" s="209">
        <v>11003157.439999999</v>
      </c>
      <c r="L177" s="210"/>
      <c r="M177" s="211">
        <v>2980385.99</v>
      </c>
      <c r="N177" s="211"/>
      <c r="O177" s="211">
        <v>8572929</v>
      </c>
      <c r="P177" s="211"/>
      <c r="Q177" s="211">
        <v>284891</v>
      </c>
      <c r="S177" s="450">
        <v>2.59</v>
      </c>
      <c r="U177" s="451">
        <v>30.1</v>
      </c>
      <c r="V177" s="843">
        <f t="shared" si="39"/>
        <v>2.5891749850304787E-2</v>
      </c>
      <c r="W177" s="685">
        <f t="shared" si="35"/>
        <v>8.2501496952123998E-6</v>
      </c>
      <c r="X177" s="685"/>
      <c r="Z177" s="211">
        <v>284891</v>
      </c>
      <c r="AA177" s="450">
        <v>2.59</v>
      </c>
    </row>
    <row r="178" spans="1:27" s="444" customFormat="1" x14ac:dyDescent="0.25">
      <c r="A178" s="439"/>
      <c r="B178" s="440"/>
      <c r="C178" s="446" t="s">
        <v>471</v>
      </c>
      <c r="D178" s="440"/>
      <c r="E178" s="447">
        <v>48760</v>
      </c>
      <c r="F178" s="440"/>
      <c r="G178" s="448" t="s">
        <v>694</v>
      </c>
      <c r="H178" s="448" t="s">
        <v>685</v>
      </c>
      <c r="I178" s="449">
        <v>-5</v>
      </c>
      <c r="J178" s="440"/>
      <c r="K178" s="209">
        <v>2897941.9</v>
      </c>
      <c r="L178" s="210"/>
      <c r="M178" s="211">
        <v>2321056.67</v>
      </c>
      <c r="N178" s="211"/>
      <c r="O178" s="211">
        <v>721782</v>
      </c>
      <c r="P178" s="211"/>
      <c r="Q178" s="211">
        <v>43243</v>
      </c>
      <c r="S178" s="450">
        <v>1.49</v>
      </c>
      <c r="U178" s="451">
        <v>16.7</v>
      </c>
      <c r="V178" s="843">
        <f t="shared" si="39"/>
        <v>1.4921969277575924E-2</v>
      </c>
      <c r="W178" s="685">
        <f t="shared" si="35"/>
        <v>-2.1969277575924206E-5</v>
      </c>
      <c r="X178" s="685"/>
      <c r="Z178" s="211">
        <v>43243</v>
      </c>
      <c r="AA178" s="450">
        <v>1.49</v>
      </c>
    </row>
    <row r="179" spans="1:27" s="444" customFormat="1" x14ac:dyDescent="0.25">
      <c r="A179" s="439"/>
      <c r="B179" s="440"/>
      <c r="C179" s="446" t="s">
        <v>536</v>
      </c>
      <c r="D179" s="440"/>
      <c r="E179" s="447">
        <v>46934</v>
      </c>
      <c r="F179" s="440"/>
      <c r="G179" s="448" t="s">
        <v>694</v>
      </c>
      <c r="H179" s="448" t="s">
        <v>685</v>
      </c>
      <c r="I179" s="449">
        <v>-5</v>
      </c>
      <c r="J179" s="440"/>
      <c r="K179" s="209">
        <v>811209.69</v>
      </c>
      <c r="L179" s="210"/>
      <c r="M179" s="211">
        <v>372742.74</v>
      </c>
      <c r="N179" s="211"/>
      <c r="O179" s="211">
        <v>479027</v>
      </c>
      <c r="P179" s="211"/>
      <c r="Q179" s="211">
        <v>40935</v>
      </c>
      <c r="S179" s="450">
        <v>5.05</v>
      </c>
      <c r="U179" s="451">
        <v>11.7</v>
      </c>
      <c r="V179" s="843">
        <f t="shared" si="39"/>
        <v>5.0461675328360545E-2</v>
      </c>
      <c r="W179" s="685">
        <f t="shared" si="35"/>
        <v>3.8324671639451691E-5</v>
      </c>
      <c r="X179" s="685"/>
      <c r="Z179" s="211">
        <v>40935</v>
      </c>
      <c r="AA179" s="450">
        <v>5.05</v>
      </c>
    </row>
    <row r="180" spans="1:27" s="444" customFormat="1" x14ac:dyDescent="0.25">
      <c r="A180" s="439"/>
      <c r="B180" s="440"/>
      <c r="C180" s="446" t="s">
        <v>537</v>
      </c>
      <c r="D180" s="440"/>
      <c r="E180" s="447">
        <v>47664</v>
      </c>
      <c r="F180" s="440"/>
      <c r="G180" s="448" t="s">
        <v>694</v>
      </c>
      <c r="H180" s="448" t="s">
        <v>685</v>
      </c>
      <c r="I180" s="449">
        <v>-5</v>
      </c>
      <c r="J180" s="440"/>
      <c r="K180" s="209">
        <v>5035526.76</v>
      </c>
      <c r="L180" s="210"/>
      <c r="M180" s="211">
        <v>4058710.98</v>
      </c>
      <c r="N180" s="211"/>
      <c r="O180" s="211">
        <v>1228592</v>
      </c>
      <c r="P180" s="211"/>
      <c r="Q180" s="211">
        <v>90676</v>
      </c>
      <c r="S180" s="450">
        <v>1.8</v>
      </c>
      <c r="U180" s="451">
        <v>13.5</v>
      </c>
      <c r="V180" s="843">
        <f t="shared" si="39"/>
        <v>1.8007252135027876E-2</v>
      </c>
      <c r="W180" s="685">
        <f t="shared" si="35"/>
        <v>-7.2521350278735575E-6</v>
      </c>
      <c r="X180" s="685"/>
      <c r="Z180" s="211">
        <v>90676</v>
      </c>
      <c r="AA180" s="450">
        <v>1.8</v>
      </c>
    </row>
    <row r="181" spans="1:27" s="444" customFormat="1" x14ac:dyDescent="0.25">
      <c r="A181" s="439"/>
      <c r="B181" s="440"/>
      <c r="C181" s="446" t="s">
        <v>538</v>
      </c>
      <c r="D181" s="440"/>
      <c r="E181" s="447">
        <v>47664</v>
      </c>
      <c r="F181" s="440"/>
      <c r="G181" s="448" t="s">
        <v>694</v>
      </c>
      <c r="H181" s="448" t="s">
        <v>685</v>
      </c>
      <c r="I181" s="449">
        <v>-5</v>
      </c>
      <c r="J181" s="440"/>
      <c r="K181" s="209">
        <v>2735279.15</v>
      </c>
      <c r="L181" s="210"/>
      <c r="M181" s="211">
        <v>2532961.56</v>
      </c>
      <c r="N181" s="211"/>
      <c r="O181" s="211">
        <v>339082</v>
      </c>
      <c r="P181" s="211"/>
      <c r="Q181" s="211">
        <v>24785</v>
      </c>
      <c r="S181" s="450">
        <v>0.91</v>
      </c>
      <c r="U181" s="451">
        <v>13.7</v>
      </c>
      <c r="V181" s="843">
        <f t="shared" si="39"/>
        <v>9.0612323791522346E-3</v>
      </c>
      <c r="W181" s="685">
        <f t="shared" si="35"/>
        <v>3.8767620847765874E-5</v>
      </c>
      <c r="X181" s="685"/>
      <c r="Z181" s="211">
        <v>24785</v>
      </c>
      <c r="AA181" s="450">
        <v>0.91</v>
      </c>
    </row>
    <row r="182" spans="1:27" s="444" customFormat="1" x14ac:dyDescent="0.25">
      <c r="A182" s="439"/>
      <c r="B182" s="440"/>
      <c r="C182" s="446" t="s">
        <v>539</v>
      </c>
      <c r="D182" s="440"/>
      <c r="E182" s="447">
        <v>50586</v>
      </c>
      <c r="F182" s="440"/>
      <c r="G182" s="448" t="s">
        <v>694</v>
      </c>
      <c r="H182" s="448" t="s">
        <v>685</v>
      </c>
      <c r="I182" s="449">
        <v>-5</v>
      </c>
      <c r="J182" s="440"/>
      <c r="K182" s="209">
        <v>1010183.43</v>
      </c>
      <c r="L182" s="210"/>
      <c r="M182" s="211">
        <v>442590.24</v>
      </c>
      <c r="N182" s="211"/>
      <c r="O182" s="211">
        <v>618102</v>
      </c>
      <c r="P182" s="211"/>
      <c r="Q182" s="211">
        <v>28546</v>
      </c>
      <c r="S182" s="450">
        <v>2.83</v>
      </c>
      <c r="U182" s="451">
        <v>21.7</v>
      </c>
      <c r="V182" s="843">
        <f t="shared" si="39"/>
        <v>2.8258234249595639E-2</v>
      </c>
      <c r="W182" s="685">
        <f t="shared" si="35"/>
        <v>4.1765750404362811E-5</v>
      </c>
      <c r="X182" s="685"/>
      <c r="Z182" s="211">
        <v>28546</v>
      </c>
      <c r="AA182" s="450">
        <v>2.83</v>
      </c>
    </row>
    <row r="183" spans="1:27" s="444" customFormat="1" x14ac:dyDescent="0.25">
      <c r="A183" s="439"/>
      <c r="B183" s="440"/>
      <c r="C183" s="446" t="s">
        <v>472</v>
      </c>
      <c r="D183" s="440"/>
      <c r="E183" s="447">
        <v>49125</v>
      </c>
      <c r="F183" s="440"/>
      <c r="G183" s="448" t="s">
        <v>694</v>
      </c>
      <c r="H183" s="448" t="s">
        <v>685</v>
      </c>
      <c r="I183" s="449">
        <v>-5</v>
      </c>
      <c r="J183" s="440"/>
      <c r="K183" s="212">
        <v>5927075</v>
      </c>
      <c r="L183" s="210"/>
      <c r="M183" s="213">
        <v>3829888.98</v>
      </c>
      <c r="N183" s="211"/>
      <c r="O183" s="213">
        <v>2393540</v>
      </c>
      <c r="P183" s="211"/>
      <c r="Q183" s="213">
        <v>135152</v>
      </c>
      <c r="S183" s="450">
        <v>2.2799999999999998</v>
      </c>
      <c r="U183" s="451">
        <v>17.7</v>
      </c>
      <c r="V183" s="843">
        <f t="shared" si="39"/>
        <v>2.2802478456911714E-2</v>
      </c>
      <c r="W183" s="685">
        <f t="shared" si="35"/>
        <v>-2.4784569117169974E-6</v>
      </c>
      <c r="X183" s="685"/>
      <c r="Z183" s="213">
        <v>135152</v>
      </c>
      <c r="AA183" s="450">
        <v>2.2799999999999998</v>
      </c>
    </row>
    <row r="184" spans="1:27" s="444" customFormat="1" x14ac:dyDescent="0.25">
      <c r="A184" s="439"/>
      <c r="B184" s="440"/>
      <c r="C184" s="446"/>
      <c r="D184" s="440"/>
      <c r="E184" s="441"/>
      <c r="F184" s="440"/>
      <c r="G184" s="448"/>
      <c r="H184" s="448"/>
      <c r="I184" s="449"/>
      <c r="J184" s="440"/>
      <c r="K184" s="209"/>
      <c r="L184" s="210"/>
      <c r="M184" s="211"/>
      <c r="N184" s="211"/>
      <c r="O184" s="211"/>
      <c r="P184" s="211"/>
      <c r="Q184" s="211"/>
      <c r="R184" s="440"/>
      <c r="S184" s="439"/>
      <c r="T184" s="440"/>
      <c r="U184" s="467"/>
      <c r="V184" s="843"/>
      <c r="W184" s="685">
        <f t="shared" si="35"/>
        <v>0</v>
      </c>
      <c r="X184" s="685"/>
      <c r="Z184" s="211"/>
      <c r="AA184" s="439"/>
    </row>
    <row r="185" spans="1:27" s="444" customFormat="1" ht="15.6" x14ac:dyDescent="0.3">
      <c r="A185" s="439"/>
      <c r="B185" s="440"/>
      <c r="C185" s="452" t="s">
        <v>428</v>
      </c>
      <c r="D185" s="440"/>
      <c r="E185" s="441"/>
      <c r="F185" s="440"/>
      <c r="G185" s="448"/>
      <c r="H185" s="448"/>
      <c r="I185" s="449"/>
      <c r="J185" s="440"/>
      <c r="K185" s="209">
        <f>+SUBTOTAL(9,K174:K183)</f>
        <v>78883931.890000001</v>
      </c>
      <c r="L185" s="210"/>
      <c r="M185" s="211">
        <f>+SUBTOTAL(9,M174:M183)</f>
        <v>51525359.690000005</v>
      </c>
      <c r="N185" s="211"/>
      <c r="O185" s="211">
        <f>+SUBTOTAL(9,O174:O183)</f>
        <v>31302768</v>
      </c>
      <c r="P185" s="211"/>
      <c r="Q185" s="211">
        <f>+SUBTOTAL(9,Q174:Q183)</f>
        <v>1371375</v>
      </c>
      <c r="R185" s="440"/>
      <c r="S185" s="450">
        <f>Q185/K185*100</f>
        <v>1.7384719132818063</v>
      </c>
      <c r="U185" s="451">
        <f>ROUND(O185/Q185,1)</f>
        <v>22.8</v>
      </c>
      <c r="V185" s="843">
        <f t="shared" ref="V185" si="40">Q185/K185</f>
        <v>1.7384719132818062E-2</v>
      </c>
      <c r="W185" s="685">
        <f t="shared" si="35"/>
        <v>0</v>
      </c>
      <c r="X185" s="685"/>
      <c r="Z185" s="211">
        <v>1371375</v>
      </c>
      <c r="AA185" s="450">
        <v>1.7384719132818063</v>
      </c>
    </row>
    <row r="186" spans="1:27" s="444" customFormat="1" ht="15.6" x14ac:dyDescent="0.3">
      <c r="A186" s="439"/>
      <c r="B186" s="440"/>
      <c r="C186" s="452"/>
      <c r="D186" s="440"/>
      <c r="E186" s="441"/>
      <c r="F186" s="440"/>
      <c r="G186" s="448"/>
      <c r="H186" s="448"/>
      <c r="I186" s="449"/>
      <c r="J186" s="440"/>
      <c r="K186" s="209"/>
      <c r="L186" s="210"/>
      <c r="M186" s="211"/>
      <c r="N186" s="211"/>
      <c r="O186" s="211"/>
      <c r="P186" s="211"/>
      <c r="Q186" s="211"/>
      <c r="R186" s="440"/>
      <c r="S186" s="450"/>
      <c r="U186" s="451"/>
      <c r="V186" s="843"/>
      <c r="W186" s="685">
        <f t="shared" si="35"/>
        <v>0</v>
      </c>
      <c r="X186" s="685"/>
      <c r="Z186" s="211"/>
      <c r="AA186" s="450"/>
    </row>
    <row r="187" spans="1:27" s="444" customFormat="1" x14ac:dyDescent="0.25">
      <c r="A187" s="439">
        <v>341.01</v>
      </c>
      <c r="B187" s="440"/>
      <c r="C187" s="446" t="s">
        <v>540</v>
      </c>
      <c r="D187" s="440"/>
      <c r="E187" s="441"/>
      <c r="F187" s="440"/>
      <c r="G187" s="448"/>
      <c r="H187" s="448"/>
      <c r="I187" s="449"/>
      <c r="J187" s="440"/>
      <c r="K187" s="209"/>
      <c r="L187" s="210"/>
      <c r="M187" s="211"/>
      <c r="N187" s="211"/>
      <c r="O187" s="211"/>
      <c r="P187" s="211"/>
      <c r="Q187" s="211"/>
      <c r="R187" s="440"/>
      <c r="S187" s="450"/>
      <c r="U187" s="451"/>
      <c r="V187" s="843"/>
      <c r="W187" s="685">
        <f t="shared" si="35"/>
        <v>0</v>
      </c>
      <c r="X187" s="685"/>
      <c r="Z187" s="211"/>
      <c r="AA187" s="450"/>
    </row>
    <row r="188" spans="1:27" s="444" customFormat="1" x14ac:dyDescent="0.25">
      <c r="A188" s="439"/>
      <c r="B188" s="440"/>
      <c r="C188" s="446" t="s">
        <v>541</v>
      </c>
      <c r="D188" s="440"/>
      <c r="E188" s="447">
        <v>50221</v>
      </c>
      <c r="F188" s="440"/>
      <c r="G188" s="448" t="s">
        <v>694</v>
      </c>
      <c r="H188" s="448" t="s">
        <v>685</v>
      </c>
      <c r="I188" s="449">
        <v>-5</v>
      </c>
      <c r="J188" s="440"/>
      <c r="K188" s="209">
        <v>31416965.73</v>
      </c>
      <c r="L188" s="210"/>
      <c r="M188" s="211">
        <v>4583746.24</v>
      </c>
      <c r="N188" s="211"/>
      <c r="O188" s="211">
        <v>28404068</v>
      </c>
      <c r="P188" s="211"/>
      <c r="Q188" s="211">
        <v>1373504</v>
      </c>
      <c r="R188" s="440"/>
      <c r="S188" s="450">
        <v>4.37</v>
      </c>
      <c r="U188" s="451">
        <v>20.7</v>
      </c>
      <c r="V188" s="843">
        <f t="shared" ref="V188:V190" si="41">Q188/K188</f>
        <v>4.37185440441323E-2</v>
      </c>
      <c r="W188" s="685">
        <f t="shared" si="35"/>
        <v>-1.8544044132297322E-5</v>
      </c>
      <c r="X188" s="685"/>
      <c r="Z188" s="211">
        <v>1373504</v>
      </c>
      <c r="AA188" s="450">
        <v>4.37</v>
      </c>
    </row>
    <row r="189" spans="1:27" s="444" customFormat="1" x14ac:dyDescent="0.25">
      <c r="A189" s="439"/>
      <c r="B189" s="440"/>
      <c r="C189" s="446" t="s">
        <v>542</v>
      </c>
      <c r="D189" s="440"/>
      <c r="E189" s="447">
        <v>47664</v>
      </c>
      <c r="F189" s="440"/>
      <c r="G189" s="448" t="s">
        <v>694</v>
      </c>
      <c r="H189" s="448" t="s">
        <v>685</v>
      </c>
      <c r="I189" s="449">
        <v>-5</v>
      </c>
      <c r="J189" s="440"/>
      <c r="K189" s="209">
        <v>3413471.97</v>
      </c>
      <c r="L189" s="210"/>
      <c r="M189" s="211">
        <v>368034</v>
      </c>
      <c r="N189" s="211"/>
      <c r="O189" s="211">
        <v>3216112</v>
      </c>
      <c r="P189" s="211"/>
      <c r="Q189" s="211">
        <v>234724</v>
      </c>
      <c r="R189" s="440"/>
      <c r="S189" s="450">
        <v>6.88</v>
      </c>
      <c r="U189" s="451">
        <v>13.7</v>
      </c>
      <c r="V189" s="843">
        <f t="shared" si="41"/>
        <v>6.8764003941710991E-2</v>
      </c>
      <c r="W189" s="685">
        <f t="shared" si="35"/>
        <v>3.5996058289008981E-5</v>
      </c>
      <c r="X189" s="685"/>
      <c r="Z189" s="211">
        <v>234724</v>
      </c>
      <c r="AA189" s="450">
        <v>6.88</v>
      </c>
    </row>
    <row r="190" spans="1:27" s="444" customFormat="1" x14ac:dyDescent="0.25">
      <c r="A190" s="439"/>
      <c r="B190" s="440"/>
      <c r="C190" s="446" t="s">
        <v>543</v>
      </c>
      <c r="D190" s="440"/>
      <c r="E190" s="447">
        <v>48029</v>
      </c>
      <c r="F190" s="440"/>
      <c r="G190" s="448" t="s">
        <v>694</v>
      </c>
      <c r="H190" s="448" t="s">
        <v>685</v>
      </c>
      <c r="I190" s="449">
        <v>-5</v>
      </c>
      <c r="J190" s="440"/>
      <c r="K190" s="212">
        <v>15120072.09</v>
      </c>
      <c r="L190" s="210"/>
      <c r="M190" s="213">
        <v>3203467.94</v>
      </c>
      <c r="N190" s="211"/>
      <c r="O190" s="213">
        <v>12672608</v>
      </c>
      <c r="P190" s="211"/>
      <c r="Q190" s="213">
        <v>862193</v>
      </c>
      <c r="R190" s="440"/>
      <c r="S190" s="450">
        <v>5.7</v>
      </c>
      <c r="U190" s="451">
        <v>14.7</v>
      </c>
      <c r="V190" s="843">
        <f t="shared" si="41"/>
        <v>5.702307468297263E-2</v>
      </c>
      <c r="W190" s="685">
        <f t="shared" si="35"/>
        <v>-2.3074682972627769E-5</v>
      </c>
      <c r="X190" s="685"/>
      <c r="Z190" s="213">
        <v>862193</v>
      </c>
      <c r="AA190" s="450">
        <v>5.7</v>
      </c>
    </row>
    <row r="191" spans="1:27" s="444" customFormat="1" x14ac:dyDescent="0.25">
      <c r="A191" s="439"/>
      <c r="B191" s="440"/>
      <c r="C191" s="446"/>
      <c r="D191" s="440"/>
      <c r="E191" s="447"/>
      <c r="F191" s="440"/>
      <c r="G191" s="448"/>
      <c r="H191" s="448"/>
      <c r="I191" s="449"/>
      <c r="J191" s="440"/>
      <c r="K191" s="209"/>
      <c r="L191" s="210"/>
      <c r="M191" s="211"/>
      <c r="N191" s="211"/>
      <c r="O191" s="211"/>
      <c r="P191" s="211"/>
      <c r="Q191" s="211"/>
      <c r="R191" s="440"/>
      <c r="S191" s="450"/>
      <c r="U191" s="451"/>
      <c r="V191" s="843"/>
      <c r="W191" s="685">
        <f t="shared" si="35"/>
        <v>0</v>
      </c>
      <c r="X191" s="685"/>
      <c r="Z191" s="211"/>
      <c r="AA191" s="450"/>
    </row>
    <row r="192" spans="1:27" s="444" customFormat="1" ht="15.6" x14ac:dyDescent="0.3">
      <c r="A192" s="439"/>
      <c r="B192" s="440"/>
      <c r="C192" s="452" t="s">
        <v>544</v>
      </c>
      <c r="D192" s="440"/>
      <c r="E192" s="441"/>
      <c r="F192" s="440"/>
      <c r="G192" s="448"/>
      <c r="H192" s="448"/>
      <c r="I192" s="449"/>
      <c r="J192" s="440"/>
      <c r="K192" s="209">
        <f>+SUBTOTAL(9,K188:K190)</f>
        <v>49950509.790000007</v>
      </c>
      <c r="L192" s="210"/>
      <c r="M192" s="211">
        <f>+SUBTOTAL(9,M188:M190)</f>
        <v>8155248.1799999997</v>
      </c>
      <c r="N192" s="211"/>
      <c r="O192" s="211">
        <f>+SUBTOTAL(9,O188:O190)</f>
        <v>44292788</v>
      </c>
      <c r="P192" s="211"/>
      <c r="Q192" s="211">
        <f>+SUBTOTAL(9,Q188:Q190)</f>
        <v>2470421</v>
      </c>
      <c r="R192" s="440"/>
      <c r="S192" s="450">
        <f>Q192/K192*100</f>
        <v>4.9457373115630805</v>
      </c>
      <c r="U192" s="451">
        <f>ROUND(O192/Q192,1)</f>
        <v>17.899999999999999</v>
      </c>
      <c r="V192" s="843">
        <f t="shared" ref="V192" si="42">Q192/K192</f>
        <v>4.9457373115630809E-2</v>
      </c>
      <c r="W192" s="685">
        <f t="shared" si="35"/>
        <v>0</v>
      </c>
      <c r="X192" s="685"/>
      <c r="Z192" s="211">
        <v>2470421</v>
      </c>
      <c r="AA192" s="450">
        <v>4.9457373115630805</v>
      </c>
    </row>
    <row r="193" spans="1:27" s="444" customFormat="1" ht="15.6" x14ac:dyDescent="0.3">
      <c r="A193" s="439"/>
      <c r="B193" s="440"/>
      <c r="C193" s="452"/>
      <c r="D193" s="440"/>
      <c r="E193" s="441"/>
      <c r="F193" s="440"/>
      <c r="G193" s="448"/>
      <c r="H193" s="448"/>
      <c r="I193" s="449"/>
      <c r="J193" s="440"/>
      <c r="K193" s="209"/>
      <c r="L193" s="210"/>
      <c r="M193" s="211"/>
      <c r="N193" s="211"/>
      <c r="O193" s="211"/>
      <c r="P193" s="211"/>
      <c r="Q193" s="211"/>
      <c r="R193" s="440"/>
      <c r="S193" s="450"/>
      <c r="U193" s="451"/>
      <c r="V193" s="843"/>
      <c r="W193" s="685">
        <f t="shared" si="35"/>
        <v>0</v>
      </c>
      <c r="X193" s="685"/>
      <c r="Z193" s="211"/>
      <c r="AA193" s="450"/>
    </row>
    <row r="194" spans="1:27" s="444" customFormat="1" x14ac:dyDescent="0.25">
      <c r="A194" s="439">
        <v>342</v>
      </c>
      <c r="B194" s="440"/>
      <c r="C194" s="446" t="s">
        <v>545</v>
      </c>
      <c r="D194" s="440"/>
      <c r="E194" s="441"/>
      <c r="F194" s="440"/>
      <c r="G194" s="448"/>
      <c r="H194" s="448"/>
      <c r="I194" s="449"/>
      <c r="J194" s="440"/>
      <c r="K194" s="209" t="s">
        <v>534</v>
      </c>
      <c r="L194" s="440"/>
      <c r="M194" s="443" t="s">
        <v>534</v>
      </c>
      <c r="N194" s="443"/>
      <c r="O194" s="443" t="s">
        <v>534</v>
      </c>
      <c r="P194" s="443"/>
      <c r="Q194" s="443" t="s">
        <v>534</v>
      </c>
      <c r="R194" s="440"/>
      <c r="S194" s="468"/>
      <c r="T194" s="440"/>
      <c r="U194" s="469"/>
      <c r="V194" s="843"/>
      <c r="W194" s="685">
        <f t="shared" si="35"/>
        <v>0</v>
      </c>
      <c r="X194" s="685"/>
      <c r="Z194" s="443" t="s">
        <v>534</v>
      </c>
      <c r="AA194" s="468"/>
    </row>
    <row r="195" spans="1:27" s="444" customFormat="1" x14ac:dyDescent="0.25">
      <c r="A195" s="439"/>
      <c r="B195" s="440"/>
      <c r="C195" s="446" t="s">
        <v>546</v>
      </c>
      <c r="D195" s="440"/>
      <c r="E195" s="447">
        <v>48760</v>
      </c>
      <c r="F195" s="440"/>
      <c r="G195" s="448" t="s">
        <v>695</v>
      </c>
      <c r="H195" s="448" t="s">
        <v>685</v>
      </c>
      <c r="I195" s="449">
        <v>-5</v>
      </c>
      <c r="J195" s="440"/>
      <c r="K195" s="209">
        <v>8121641.0800000001</v>
      </c>
      <c r="L195" s="210"/>
      <c r="M195" s="211">
        <v>6540475.2699999996</v>
      </c>
      <c r="N195" s="211"/>
      <c r="O195" s="211">
        <v>1987248</v>
      </c>
      <c r="P195" s="211"/>
      <c r="Q195" s="211">
        <v>125475</v>
      </c>
      <c r="S195" s="450">
        <v>1.54</v>
      </c>
      <c r="U195" s="451">
        <v>15.8</v>
      </c>
      <c r="V195" s="843">
        <f t="shared" ref="V195:V204" si="43">Q195/K195</f>
        <v>1.5449463816985125E-2</v>
      </c>
      <c r="W195" s="685">
        <f t="shared" si="35"/>
        <v>-4.9463816985124975E-5</v>
      </c>
      <c r="X195" s="685"/>
      <c r="Z195" s="211">
        <v>125475</v>
      </c>
      <c r="AA195" s="450">
        <v>1.54</v>
      </c>
    </row>
    <row r="196" spans="1:27" s="444" customFormat="1" x14ac:dyDescent="0.25">
      <c r="A196" s="439"/>
      <c r="B196" s="440"/>
      <c r="C196" s="446" t="s">
        <v>468</v>
      </c>
      <c r="D196" s="440"/>
      <c r="E196" s="447">
        <v>52047</v>
      </c>
      <c r="F196" s="440"/>
      <c r="G196" s="448" t="s">
        <v>695</v>
      </c>
      <c r="H196" s="448" t="s">
        <v>685</v>
      </c>
      <c r="I196" s="449">
        <v>-5</v>
      </c>
      <c r="J196" s="440"/>
      <c r="K196" s="209">
        <v>1804662.8</v>
      </c>
      <c r="L196" s="210"/>
      <c r="M196" s="211">
        <v>697151.93</v>
      </c>
      <c r="N196" s="211"/>
      <c r="O196" s="211">
        <v>1197744</v>
      </c>
      <c r="P196" s="211"/>
      <c r="Q196" s="211">
        <v>50752</v>
      </c>
      <c r="S196" s="450">
        <v>2.81</v>
      </c>
      <c r="U196" s="451">
        <v>23.6</v>
      </c>
      <c r="V196" s="843">
        <f t="shared" si="43"/>
        <v>2.8122705249978001E-2</v>
      </c>
      <c r="W196" s="685">
        <f t="shared" si="35"/>
        <v>-2.2705249978001441E-5</v>
      </c>
      <c r="X196" s="685"/>
      <c r="Z196" s="211">
        <v>50752</v>
      </c>
      <c r="AA196" s="450">
        <v>2.81</v>
      </c>
    </row>
    <row r="197" spans="1:27" s="444" customFormat="1" x14ac:dyDescent="0.25">
      <c r="A197" s="439"/>
      <c r="B197" s="440"/>
      <c r="C197" s="446" t="s">
        <v>469</v>
      </c>
      <c r="D197" s="440"/>
      <c r="E197" s="447">
        <v>52778</v>
      </c>
      <c r="F197" s="440"/>
      <c r="G197" s="448" t="s">
        <v>695</v>
      </c>
      <c r="H197" s="448" t="s">
        <v>685</v>
      </c>
      <c r="I197" s="449">
        <v>-5</v>
      </c>
      <c r="J197" s="440"/>
      <c r="K197" s="209">
        <v>1887875</v>
      </c>
      <c r="L197" s="210"/>
      <c r="M197" s="211">
        <v>1477641</v>
      </c>
      <c r="N197" s="211"/>
      <c r="O197" s="211">
        <v>504628</v>
      </c>
      <c r="P197" s="211"/>
      <c r="Q197" s="211">
        <v>19635</v>
      </c>
      <c r="S197" s="450">
        <v>1.04</v>
      </c>
      <c r="U197" s="451">
        <v>25.7</v>
      </c>
      <c r="V197" s="843">
        <f t="shared" si="43"/>
        <v>1.0400582665695558E-2</v>
      </c>
      <c r="W197" s="685">
        <f t="shared" si="35"/>
        <v>-5.8266569555841252E-7</v>
      </c>
      <c r="X197" s="685"/>
      <c r="Z197" s="211">
        <v>19635</v>
      </c>
      <c r="AA197" s="450">
        <v>1.04</v>
      </c>
    </row>
    <row r="198" spans="1:27" s="444" customFormat="1" x14ac:dyDescent="0.25">
      <c r="A198" s="439"/>
      <c r="B198" s="440"/>
      <c r="C198" s="446" t="s">
        <v>470</v>
      </c>
      <c r="D198" s="440"/>
      <c r="E198" s="447">
        <v>53873</v>
      </c>
      <c r="F198" s="440"/>
      <c r="G198" s="448" t="s">
        <v>695</v>
      </c>
      <c r="H198" s="448" t="s">
        <v>685</v>
      </c>
      <c r="I198" s="449">
        <v>-5</v>
      </c>
      <c r="J198" s="440"/>
      <c r="K198" s="209">
        <v>1457862</v>
      </c>
      <c r="L198" s="210"/>
      <c r="M198" s="211">
        <v>419774.87</v>
      </c>
      <c r="N198" s="211"/>
      <c r="O198" s="211">
        <v>1110980</v>
      </c>
      <c r="P198" s="211"/>
      <c r="Q198" s="211">
        <v>39466</v>
      </c>
      <c r="S198" s="450">
        <v>2.71</v>
      </c>
      <c r="U198" s="451">
        <v>28.2</v>
      </c>
      <c r="V198" s="843">
        <f t="shared" si="43"/>
        <v>2.707114939548462E-2</v>
      </c>
      <c r="W198" s="685">
        <f t="shared" si="35"/>
        <v>2.885060451537913E-5</v>
      </c>
      <c r="X198" s="685"/>
      <c r="Z198" s="211">
        <v>39466</v>
      </c>
      <c r="AA198" s="450">
        <v>2.71</v>
      </c>
    </row>
    <row r="199" spans="1:27" s="444" customFormat="1" x14ac:dyDescent="0.25">
      <c r="A199" s="439"/>
      <c r="B199" s="440"/>
      <c r="C199" s="446" t="s">
        <v>471</v>
      </c>
      <c r="D199" s="440"/>
      <c r="E199" s="447">
        <v>48760</v>
      </c>
      <c r="F199" s="440"/>
      <c r="G199" s="448" t="s">
        <v>695</v>
      </c>
      <c r="H199" s="448" t="s">
        <v>685</v>
      </c>
      <c r="I199" s="449">
        <v>-5</v>
      </c>
      <c r="J199" s="440"/>
      <c r="K199" s="209">
        <v>3889943.37</v>
      </c>
      <c r="L199" s="210"/>
      <c r="M199" s="211">
        <v>3452527.24</v>
      </c>
      <c r="N199" s="211"/>
      <c r="O199" s="211">
        <v>631913</v>
      </c>
      <c r="P199" s="211"/>
      <c r="Q199" s="211">
        <v>38673</v>
      </c>
      <c r="S199" s="450">
        <v>0.99</v>
      </c>
      <c r="U199" s="451">
        <v>16.3</v>
      </c>
      <c r="V199" s="843">
        <f t="shared" si="43"/>
        <v>9.9417899752098447E-3</v>
      </c>
      <c r="W199" s="685">
        <f t="shared" si="35"/>
        <v>-4.1789975209845578E-5</v>
      </c>
      <c r="X199" s="685"/>
      <c r="Z199" s="211">
        <v>38673</v>
      </c>
      <c r="AA199" s="450">
        <v>0.99</v>
      </c>
    </row>
    <row r="200" spans="1:27" s="444" customFormat="1" x14ac:dyDescent="0.25">
      <c r="A200" s="439"/>
      <c r="B200" s="440"/>
      <c r="C200" s="446" t="s">
        <v>547</v>
      </c>
      <c r="D200" s="440"/>
      <c r="E200" s="447">
        <v>46934</v>
      </c>
      <c r="F200" s="440"/>
      <c r="G200" s="448" t="s">
        <v>695</v>
      </c>
      <c r="H200" s="448" t="s">
        <v>685</v>
      </c>
      <c r="I200" s="449">
        <v>-5</v>
      </c>
      <c r="J200" s="440"/>
      <c r="K200" s="209">
        <v>476309.45</v>
      </c>
      <c r="L200" s="210"/>
      <c r="M200" s="211">
        <v>67263.19</v>
      </c>
      <c r="N200" s="211"/>
      <c r="O200" s="211">
        <v>432862</v>
      </c>
      <c r="P200" s="211"/>
      <c r="Q200" s="211">
        <v>37348</v>
      </c>
      <c r="S200" s="450">
        <v>7.84</v>
      </c>
      <c r="U200" s="451">
        <v>11.6</v>
      </c>
      <c r="V200" s="843">
        <f t="shared" si="43"/>
        <v>7.8411209351399599E-2</v>
      </c>
      <c r="W200" s="685">
        <f t="shared" si="35"/>
        <v>-1.1209351399601997E-5</v>
      </c>
      <c r="X200" s="685"/>
      <c r="Z200" s="211">
        <v>37348</v>
      </c>
      <c r="AA200" s="450">
        <v>7.84</v>
      </c>
    </row>
    <row r="201" spans="1:27" s="444" customFormat="1" x14ac:dyDescent="0.25">
      <c r="A201" s="439"/>
      <c r="B201" s="440"/>
      <c r="C201" s="446" t="s">
        <v>548</v>
      </c>
      <c r="D201" s="440"/>
      <c r="E201" s="447">
        <v>47664</v>
      </c>
      <c r="F201" s="440"/>
      <c r="G201" s="448" t="s">
        <v>695</v>
      </c>
      <c r="H201" s="448" t="s">
        <v>685</v>
      </c>
      <c r="I201" s="449">
        <v>-5</v>
      </c>
      <c r="J201" s="440"/>
      <c r="K201" s="209">
        <v>3739991.62</v>
      </c>
      <c r="L201" s="210"/>
      <c r="M201" s="211">
        <v>2415322.15</v>
      </c>
      <c r="N201" s="211"/>
      <c r="O201" s="211">
        <v>1511669</v>
      </c>
      <c r="P201" s="211"/>
      <c r="Q201" s="211">
        <v>122288</v>
      </c>
      <c r="S201" s="450">
        <v>3.27</v>
      </c>
      <c r="U201" s="451">
        <v>12.4</v>
      </c>
      <c r="V201" s="843">
        <f t="shared" si="43"/>
        <v>3.2697399466365649E-2</v>
      </c>
      <c r="W201" s="685">
        <f t="shared" si="35"/>
        <v>2.6005336343504215E-6</v>
      </c>
      <c r="X201" s="685"/>
      <c r="Z201" s="211">
        <v>122288</v>
      </c>
      <c r="AA201" s="450">
        <v>3.27</v>
      </c>
    </row>
    <row r="202" spans="1:27" s="444" customFormat="1" x14ac:dyDescent="0.25">
      <c r="A202" s="439"/>
      <c r="B202" s="440"/>
      <c r="C202" s="440" t="s">
        <v>549</v>
      </c>
      <c r="D202" s="440"/>
      <c r="E202" s="447">
        <v>47664</v>
      </c>
      <c r="F202" s="440"/>
      <c r="G202" s="448" t="s">
        <v>695</v>
      </c>
      <c r="H202" s="448" t="s">
        <v>685</v>
      </c>
      <c r="I202" s="449">
        <v>-5</v>
      </c>
      <c r="J202" s="440"/>
      <c r="K202" s="209">
        <v>3702107.48</v>
      </c>
      <c r="L202" s="210"/>
      <c r="M202" s="211">
        <v>3642779</v>
      </c>
      <c r="N202" s="211"/>
      <c r="O202" s="211">
        <v>244434</v>
      </c>
      <c r="P202" s="211"/>
      <c r="Q202" s="211">
        <v>20693</v>
      </c>
      <c r="S202" s="450">
        <v>0.56000000000000005</v>
      </c>
      <c r="U202" s="451">
        <v>11.8</v>
      </c>
      <c r="V202" s="843">
        <f t="shared" si="43"/>
        <v>5.5895189731228444E-3</v>
      </c>
      <c r="W202" s="685">
        <f t="shared" si="35"/>
        <v>1.0481026877156435E-5</v>
      </c>
      <c r="X202" s="685"/>
      <c r="Z202" s="211">
        <v>20693</v>
      </c>
      <c r="AA202" s="450">
        <v>0.56000000000000005</v>
      </c>
    </row>
    <row r="203" spans="1:27" s="444" customFormat="1" x14ac:dyDescent="0.25">
      <c r="A203" s="439"/>
      <c r="B203" s="440"/>
      <c r="C203" s="446" t="s">
        <v>550</v>
      </c>
      <c r="D203" s="440"/>
      <c r="E203" s="447">
        <v>50586</v>
      </c>
      <c r="F203" s="440"/>
      <c r="G203" s="448" t="s">
        <v>695</v>
      </c>
      <c r="H203" s="448" t="s">
        <v>685</v>
      </c>
      <c r="I203" s="449">
        <v>-5</v>
      </c>
      <c r="J203" s="440"/>
      <c r="K203" s="209">
        <v>134194.70000000001</v>
      </c>
      <c r="L203" s="210"/>
      <c r="M203" s="211">
        <v>138223</v>
      </c>
      <c r="N203" s="211"/>
      <c r="O203" s="211">
        <v>2681</v>
      </c>
      <c r="P203" s="211"/>
      <c r="Q203" s="211">
        <v>134</v>
      </c>
      <c r="S203" s="450">
        <v>0.1</v>
      </c>
      <c r="U203" s="451">
        <v>20</v>
      </c>
      <c r="V203" s="843">
        <f t="shared" si="43"/>
        <v>9.9854912302795853E-4</v>
      </c>
      <c r="W203" s="685">
        <f t="shared" si="35"/>
        <v>1.4508769720414892E-6</v>
      </c>
      <c r="X203" s="685"/>
      <c r="Z203" s="211">
        <v>134</v>
      </c>
      <c r="AA203" s="450">
        <v>0.1</v>
      </c>
    </row>
    <row r="204" spans="1:27" s="444" customFormat="1" x14ac:dyDescent="0.25">
      <c r="A204" s="439"/>
      <c r="B204" s="440"/>
      <c r="C204" s="446" t="s">
        <v>472</v>
      </c>
      <c r="D204" s="440"/>
      <c r="E204" s="447">
        <v>49125</v>
      </c>
      <c r="F204" s="440"/>
      <c r="G204" s="448" t="s">
        <v>695</v>
      </c>
      <c r="H204" s="448" t="s">
        <v>685</v>
      </c>
      <c r="I204" s="449">
        <v>-5</v>
      </c>
      <c r="J204" s="440"/>
      <c r="K204" s="212">
        <v>418443</v>
      </c>
      <c r="L204" s="210"/>
      <c r="M204" s="213">
        <v>286449.33</v>
      </c>
      <c r="N204" s="211"/>
      <c r="O204" s="213">
        <v>152916</v>
      </c>
      <c r="P204" s="211"/>
      <c r="Q204" s="213">
        <v>8763</v>
      </c>
      <c r="S204" s="450">
        <v>2.09</v>
      </c>
      <c r="U204" s="451">
        <v>17.5</v>
      </c>
      <c r="V204" s="843">
        <f t="shared" si="43"/>
        <v>2.0941920404929704E-2</v>
      </c>
      <c r="W204" s="685">
        <f t="shared" si="35"/>
        <v>-4.1920404929705196E-5</v>
      </c>
      <c r="X204" s="685"/>
      <c r="Z204" s="213">
        <v>8763</v>
      </c>
      <c r="AA204" s="450">
        <v>2.09</v>
      </c>
    </row>
    <row r="205" spans="1:27" s="444" customFormat="1" x14ac:dyDescent="0.25">
      <c r="A205" s="439"/>
      <c r="B205" s="440"/>
      <c r="C205" s="446"/>
      <c r="D205" s="440"/>
      <c r="E205" s="441"/>
      <c r="F205" s="440"/>
      <c r="G205" s="448"/>
      <c r="H205" s="448"/>
      <c r="I205" s="449"/>
      <c r="J205" s="440"/>
      <c r="K205" s="209"/>
      <c r="L205" s="210"/>
      <c r="M205" s="211"/>
      <c r="N205" s="211"/>
      <c r="O205" s="211"/>
      <c r="P205" s="211"/>
      <c r="Q205" s="211"/>
      <c r="R205" s="440"/>
      <c r="S205" s="468"/>
      <c r="T205" s="440"/>
      <c r="U205" s="469"/>
      <c r="V205" s="843"/>
      <c r="W205" s="685">
        <f t="shared" si="35"/>
        <v>0</v>
      </c>
      <c r="X205" s="685"/>
      <c r="Z205" s="211"/>
      <c r="AA205" s="468"/>
    </row>
    <row r="206" spans="1:27" s="444" customFormat="1" ht="15.6" x14ac:dyDescent="0.3">
      <c r="A206" s="439"/>
      <c r="B206" s="440"/>
      <c r="C206" s="452" t="s">
        <v>551</v>
      </c>
      <c r="D206" s="440"/>
      <c r="E206" s="441"/>
      <c r="F206" s="440"/>
      <c r="G206" s="448"/>
      <c r="H206" s="448"/>
      <c r="I206" s="449"/>
      <c r="J206" s="440"/>
      <c r="K206" s="209">
        <f>+SUBTOTAL(9,K195:K204)</f>
        <v>25633030.5</v>
      </c>
      <c r="L206" s="210"/>
      <c r="M206" s="211">
        <f>+SUBTOTAL(9,M195:M204)</f>
        <v>19137606.979999997</v>
      </c>
      <c r="N206" s="211"/>
      <c r="O206" s="211">
        <f>+SUBTOTAL(9,O195:O204)</f>
        <v>7777075</v>
      </c>
      <c r="P206" s="211"/>
      <c r="Q206" s="211">
        <f>+SUBTOTAL(9,Q195:Q204)</f>
        <v>463227</v>
      </c>
      <c r="R206" s="440"/>
      <c r="S206" s="450">
        <f>Q206/K206*100</f>
        <v>1.8071487879671504</v>
      </c>
      <c r="U206" s="451">
        <f>ROUND(O206/Q206,1)</f>
        <v>16.8</v>
      </c>
      <c r="V206" s="843">
        <f t="shared" ref="V206" si="44">Q206/K206</f>
        <v>1.8071487879671503E-2</v>
      </c>
      <c r="W206" s="685">
        <f t="shared" si="35"/>
        <v>0</v>
      </c>
      <c r="X206" s="685"/>
      <c r="Z206" s="211">
        <v>463227</v>
      </c>
      <c r="AA206" s="450">
        <v>1.8071487879671504</v>
      </c>
    </row>
    <row r="207" spans="1:27" s="444" customFormat="1" x14ac:dyDescent="0.25">
      <c r="A207" s="439"/>
      <c r="B207" s="440"/>
      <c r="C207" s="446"/>
      <c r="D207" s="440"/>
      <c r="E207" s="441"/>
      <c r="F207" s="440"/>
      <c r="G207" s="448"/>
      <c r="H207" s="448"/>
      <c r="I207" s="449"/>
      <c r="J207" s="440"/>
      <c r="K207" s="209"/>
      <c r="L207" s="210"/>
      <c r="M207" s="211"/>
      <c r="N207" s="211"/>
      <c r="O207" s="211"/>
      <c r="P207" s="211"/>
      <c r="Q207" s="211"/>
      <c r="R207" s="440"/>
      <c r="S207" s="468"/>
      <c r="T207" s="440"/>
      <c r="U207" s="469"/>
      <c r="V207" s="843"/>
      <c r="W207" s="685">
        <f t="shared" si="35"/>
        <v>0</v>
      </c>
      <c r="X207" s="685"/>
      <c r="Z207" s="211"/>
      <c r="AA207" s="468"/>
    </row>
    <row r="208" spans="1:27" s="444" customFormat="1" x14ac:dyDescent="0.25">
      <c r="A208" s="439">
        <v>344</v>
      </c>
      <c r="B208" s="440"/>
      <c r="C208" s="446" t="s">
        <v>552</v>
      </c>
      <c r="D208" s="440"/>
      <c r="E208" s="441"/>
      <c r="F208" s="440"/>
      <c r="G208" s="448"/>
      <c r="H208" s="448"/>
      <c r="I208" s="449"/>
      <c r="J208" s="440"/>
      <c r="K208" s="209" t="s">
        <v>534</v>
      </c>
      <c r="L208" s="210"/>
      <c r="M208" s="211" t="s">
        <v>534</v>
      </c>
      <c r="N208" s="211"/>
      <c r="O208" s="211" t="s">
        <v>534</v>
      </c>
      <c r="P208" s="211"/>
      <c r="Q208" s="211" t="s">
        <v>534</v>
      </c>
      <c r="R208" s="440"/>
      <c r="S208" s="450" t="s">
        <v>534</v>
      </c>
      <c r="U208" s="451" t="s">
        <v>534</v>
      </c>
      <c r="V208" s="843"/>
      <c r="W208" s="685"/>
      <c r="X208" s="685"/>
      <c r="Z208" s="211" t="s">
        <v>534</v>
      </c>
      <c r="AA208" s="450" t="s">
        <v>534</v>
      </c>
    </row>
    <row r="209" spans="1:27" s="444" customFormat="1" x14ac:dyDescent="0.25">
      <c r="A209" s="439"/>
      <c r="B209" s="440"/>
      <c r="C209" s="446" t="s">
        <v>553</v>
      </c>
      <c r="D209" s="440"/>
      <c r="E209" s="447">
        <v>46934</v>
      </c>
      <c r="F209" s="440"/>
      <c r="G209" s="448" t="s">
        <v>696</v>
      </c>
      <c r="H209" s="448" t="s">
        <v>685</v>
      </c>
      <c r="I209" s="449">
        <v>-5</v>
      </c>
      <c r="J209" s="440"/>
      <c r="K209" s="209">
        <v>575842.91</v>
      </c>
      <c r="L209" s="210"/>
      <c r="M209" s="211">
        <v>405828.63</v>
      </c>
      <c r="N209" s="211"/>
      <c r="O209" s="211">
        <v>198806</v>
      </c>
      <c r="P209" s="211"/>
      <c r="Q209" s="211">
        <v>17279</v>
      </c>
      <c r="S209" s="450">
        <v>3</v>
      </c>
      <c r="U209" s="451">
        <v>11.5</v>
      </c>
      <c r="V209" s="843">
        <f t="shared" ref="V209:V212" si="45">Q209/K209</f>
        <v>3.0006447418098797E-2</v>
      </c>
      <c r="W209" s="685">
        <f t="shared" si="35"/>
        <v>-6.4474180987983409E-6</v>
      </c>
      <c r="X209" s="685"/>
      <c r="Z209" s="211">
        <v>17279</v>
      </c>
      <c r="AA209" s="450">
        <v>3</v>
      </c>
    </row>
    <row r="210" spans="1:27" s="444" customFormat="1" x14ac:dyDescent="0.25">
      <c r="A210" s="439"/>
      <c r="B210" s="440"/>
      <c r="C210" s="446" t="s">
        <v>554</v>
      </c>
      <c r="D210" s="440"/>
      <c r="E210" s="447">
        <v>47664</v>
      </c>
      <c r="F210" s="440"/>
      <c r="G210" s="448" t="s">
        <v>696</v>
      </c>
      <c r="H210" s="448" t="s">
        <v>685</v>
      </c>
      <c r="I210" s="449">
        <v>-5</v>
      </c>
      <c r="J210" s="440"/>
      <c r="K210" s="209">
        <v>99010602.659999996</v>
      </c>
      <c r="L210" s="210"/>
      <c r="M210" s="211">
        <v>66636896.340000004</v>
      </c>
      <c r="N210" s="211"/>
      <c r="O210" s="211">
        <v>37324236</v>
      </c>
      <c r="P210" s="211"/>
      <c r="Q210" s="211">
        <v>2738639</v>
      </c>
      <c r="S210" s="450">
        <v>2.77</v>
      </c>
      <c r="U210" s="451">
        <v>13.6</v>
      </c>
      <c r="V210" s="843">
        <f t="shared" si="45"/>
        <v>2.7660057876876275E-2</v>
      </c>
      <c r="W210" s="685">
        <f t="shared" si="35"/>
        <v>3.9942123123724166E-5</v>
      </c>
      <c r="X210" s="685"/>
      <c r="Z210" s="211">
        <v>2738639</v>
      </c>
      <c r="AA210" s="450">
        <v>2.77</v>
      </c>
    </row>
    <row r="211" spans="1:27" s="444" customFormat="1" x14ac:dyDescent="0.25">
      <c r="A211" s="439"/>
      <c r="B211" s="440"/>
      <c r="C211" s="446" t="s">
        <v>555</v>
      </c>
      <c r="D211" s="440"/>
      <c r="E211" s="447">
        <v>47664</v>
      </c>
      <c r="F211" s="440"/>
      <c r="G211" s="448" t="s">
        <v>696</v>
      </c>
      <c r="H211" s="448" t="s">
        <v>685</v>
      </c>
      <c r="I211" s="449">
        <v>-5</v>
      </c>
      <c r="J211" s="440"/>
      <c r="K211" s="209">
        <v>30004024.960000001</v>
      </c>
      <c r="L211" s="210"/>
      <c r="M211" s="211">
        <v>24750966</v>
      </c>
      <c r="N211" s="211"/>
      <c r="O211" s="211">
        <v>6753260</v>
      </c>
      <c r="P211" s="211"/>
      <c r="Q211" s="211">
        <v>506008</v>
      </c>
      <c r="S211" s="450">
        <v>1.69</v>
      </c>
      <c r="U211" s="451">
        <v>13.3</v>
      </c>
      <c r="V211" s="843">
        <f t="shared" si="45"/>
        <v>1.6864670679170104E-2</v>
      </c>
      <c r="W211" s="685">
        <f t="shared" si="35"/>
        <v>3.5329320829894512E-5</v>
      </c>
      <c r="X211" s="685"/>
      <c r="Z211" s="211">
        <v>506008</v>
      </c>
      <c r="AA211" s="450">
        <v>1.69</v>
      </c>
    </row>
    <row r="212" spans="1:27" s="444" customFormat="1" x14ac:dyDescent="0.25">
      <c r="A212" s="439"/>
      <c r="B212" s="440"/>
      <c r="C212" s="446" t="s">
        <v>556</v>
      </c>
      <c r="D212" s="440"/>
      <c r="E212" s="447">
        <v>50586</v>
      </c>
      <c r="F212" s="440"/>
      <c r="G212" s="448" t="s">
        <v>696</v>
      </c>
      <c r="H212" s="448" t="s">
        <v>685</v>
      </c>
      <c r="I212" s="449">
        <v>-5</v>
      </c>
      <c r="J212" s="440"/>
      <c r="K212" s="212">
        <v>33087674.329999998</v>
      </c>
      <c r="L212" s="210"/>
      <c r="M212" s="213">
        <v>30119678</v>
      </c>
      <c r="N212" s="211"/>
      <c r="O212" s="213">
        <v>4622380</v>
      </c>
      <c r="P212" s="211"/>
      <c r="Q212" s="213">
        <v>216097</v>
      </c>
      <c r="S212" s="450">
        <v>0.65</v>
      </c>
      <c r="U212" s="451">
        <v>21.4</v>
      </c>
      <c r="V212" s="843">
        <f t="shared" si="45"/>
        <v>6.531042280117849E-3</v>
      </c>
      <c r="W212" s="685">
        <f t="shared" si="35"/>
        <v>-3.104228011784841E-5</v>
      </c>
      <c r="X212" s="685"/>
      <c r="Z212" s="213">
        <v>216097</v>
      </c>
      <c r="AA212" s="450">
        <v>0.65</v>
      </c>
    </row>
    <row r="213" spans="1:27" s="444" customFormat="1" x14ac:dyDescent="0.25">
      <c r="A213" s="439"/>
      <c r="B213" s="440"/>
      <c r="C213" s="446"/>
      <c r="D213" s="440"/>
      <c r="E213" s="441"/>
      <c r="F213" s="440"/>
      <c r="G213" s="448"/>
      <c r="H213" s="448"/>
      <c r="I213" s="449"/>
      <c r="J213" s="440"/>
      <c r="K213" s="209"/>
      <c r="L213" s="440"/>
      <c r="M213" s="443"/>
      <c r="N213" s="443"/>
      <c r="O213" s="443"/>
      <c r="P213" s="443"/>
      <c r="Q213" s="443"/>
      <c r="R213" s="440"/>
      <c r="S213" s="439"/>
      <c r="T213" s="440"/>
      <c r="U213" s="467"/>
      <c r="V213" s="843"/>
      <c r="W213" s="685">
        <f t="shared" si="35"/>
        <v>0</v>
      </c>
      <c r="X213" s="685"/>
      <c r="Z213" s="443"/>
      <c r="AA213" s="439"/>
    </row>
    <row r="214" spans="1:27" s="444" customFormat="1" ht="15.6" x14ac:dyDescent="0.3">
      <c r="A214" s="439"/>
      <c r="B214" s="440"/>
      <c r="C214" s="452" t="s">
        <v>557</v>
      </c>
      <c r="D214" s="440"/>
      <c r="E214" s="441"/>
      <c r="F214" s="440"/>
      <c r="G214" s="448"/>
      <c r="H214" s="448"/>
      <c r="I214" s="449"/>
      <c r="J214" s="440"/>
      <c r="K214" s="209">
        <f>+SUBTOTAL(9,K209:K212)</f>
        <v>162678144.86000001</v>
      </c>
      <c r="L214" s="440"/>
      <c r="M214" s="211">
        <f>+SUBTOTAL(9,M209:M212)</f>
        <v>121913368.97</v>
      </c>
      <c r="N214" s="443"/>
      <c r="O214" s="211">
        <f>+SUBTOTAL(9,O209:O212)</f>
        <v>48898682</v>
      </c>
      <c r="P214" s="443"/>
      <c r="Q214" s="211">
        <f>+SUBTOTAL(9,Q209:Q212)</f>
        <v>3478023</v>
      </c>
      <c r="R214" s="440"/>
      <c r="S214" s="450">
        <f>Q214/K214*100</f>
        <v>2.1379780320172506</v>
      </c>
      <c r="U214" s="451">
        <f>ROUND(O214/Q214,1)</f>
        <v>14.1</v>
      </c>
      <c r="V214" s="843">
        <f t="shared" ref="V214" si="46">Q214/K214</f>
        <v>2.1379780320172504E-2</v>
      </c>
      <c r="W214" s="685">
        <f t="shared" si="35"/>
        <v>0</v>
      </c>
      <c r="X214" s="685"/>
      <c r="Z214" s="211">
        <v>3478023</v>
      </c>
      <c r="AA214" s="450">
        <v>2.1379780320172506</v>
      </c>
    </row>
    <row r="215" spans="1:27" s="444" customFormat="1" ht="15.6" x14ac:dyDescent="0.3">
      <c r="A215" s="439"/>
      <c r="B215" s="440"/>
      <c r="C215" s="452"/>
      <c r="D215" s="440"/>
      <c r="E215" s="441"/>
      <c r="F215" s="440"/>
      <c r="G215" s="448"/>
      <c r="H215" s="448"/>
      <c r="I215" s="449"/>
      <c r="J215" s="440"/>
      <c r="K215" s="209"/>
      <c r="L215" s="440"/>
      <c r="M215" s="443"/>
      <c r="N215" s="443"/>
      <c r="O215" s="443"/>
      <c r="P215" s="443"/>
      <c r="Q215" s="443"/>
      <c r="R215" s="440"/>
      <c r="S215" s="450"/>
      <c r="U215" s="451"/>
      <c r="V215" s="843"/>
      <c r="W215" s="685">
        <f t="shared" si="35"/>
        <v>0</v>
      </c>
      <c r="X215" s="685"/>
      <c r="Z215" s="443"/>
      <c r="AA215" s="450"/>
    </row>
    <row r="216" spans="1:27" s="444" customFormat="1" x14ac:dyDescent="0.25">
      <c r="A216" s="439">
        <v>344.01</v>
      </c>
      <c r="B216" s="440"/>
      <c r="C216" s="446" t="s">
        <v>558</v>
      </c>
      <c r="D216" s="440"/>
      <c r="E216" s="441"/>
      <c r="F216" s="440"/>
      <c r="G216" s="448"/>
      <c r="H216" s="448"/>
      <c r="I216" s="449"/>
      <c r="J216" s="440"/>
      <c r="K216" s="209"/>
      <c r="L216" s="440"/>
      <c r="M216" s="443"/>
      <c r="N216" s="443"/>
      <c r="O216" s="443"/>
      <c r="P216" s="443"/>
      <c r="Q216" s="443"/>
      <c r="R216" s="440"/>
      <c r="S216" s="450"/>
      <c r="U216" s="451"/>
      <c r="V216" s="843"/>
      <c r="W216" s="685">
        <f t="shared" si="35"/>
        <v>0</v>
      </c>
      <c r="X216" s="685"/>
      <c r="Z216" s="443"/>
      <c r="AA216" s="450"/>
    </row>
    <row r="217" spans="1:27" s="444" customFormat="1" x14ac:dyDescent="0.25">
      <c r="A217" s="439"/>
      <c r="B217" s="440"/>
      <c r="C217" s="446" t="s">
        <v>541</v>
      </c>
      <c r="D217" s="440"/>
      <c r="E217" s="447">
        <v>50221</v>
      </c>
      <c r="F217" s="440"/>
      <c r="G217" s="448" t="s">
        <v>697</v>
      </c>
      <c r="H217" s="448" t="s">
        <v>685</v>
      </c>
      <c r="I217" s="449">
        <v>-5</v>
      </c>
      <c r="J217" s="440"/>
      <c r="K217" s="209">
        <v>583581424.75999999</v>
      </c>
      <c r="L217" s="210"/>
      <c r="M217" s="211">
        <v>112902902.83</v>
      </c>
      <c r="N217" s="211"/>
      <c r="O217" s="211">
        <v>499857593</v>
      </c>
      <c r="P217" s="211"/>
      <c r="Q217" s="211">
        <v>25258090</v>
      </c>
      <c r="S217" s="450">
        <v>4.33</v>
      </c>
      <c r="U217" s="451">
        <v>19.8</v>
      </c>
      <c r="V217" s="843">
        <f t="shared" ref="V217:V219" si="47">Q217/K217</f>
        <v>4.3281175391056151E-2</v>
      </c>
      <c r="W217" s="685">
        <f t="shared" si="35"/>
        <v>1.8824608943847354E-5</v>
      </c>
      <c r="X217" s="685"/>
      <c r="Z217" s="211">
        <v>25258090</v>
      </c>
      <c r="AA217" s="450">
        <v>4.33</v>
      </c>
    </row>
    <row r="218" spans="1:27" s="444" customFormat="1" x14ac:dyDescent="0.25">
      <c r="A218" s="439"/>
      <c r="B218" s="440"/>
      <c r="C218" s="446" t="s">
        <v>542</v>
      </c>
      <c r="D218" s="440"/>
      <c r="E218" s="447">
        <v>47664</v>
      </c>
      <c r="F218" s="440"/>
      <c r="G218" s="448" t="s">
        <v>697</v>
      </c>
      <c r="H218" s="448" t="s">
        <v>685</v>
      </c>
      <c r="I218" s="449">
        <v>-5</v>
      </c>
      <c r="J218" s="440"/>
      <c r="K218" s="209">
        <v>153525782.00999999</v>
      </c>
      <c r="L218" s="210"/>
      <c r="M218" s="211">
        <v>62513564</v>
      </c>
      <c r="N218" s="211"/>
      <c r="O218" s="211">
        <v>98688507</v>
      </c>
      <c r="P218" s="211"/>
      <c r="Q218" s="211">
        <v>7495174</v>
      </c>
      <c r="S218" s="450">
        <v>4.88</v>
      </c>
      <c r="U218" s="451">
        <v>13.2</v>
      </c>
      <c r="V218" s="843">
        <f t="shared" si="47"/>
        <v>4.8820295209516001E-2</v>
      </c>
      <c r="W218" s="685">
        <f t="shared" si="35"/>
        <v>-2.0295209516005275E-5</v>
      </c>
      <c r="X218" s="685"/>
      <c r="Z218" s="211">
        <v>7495174</v>
      </c>
      <c r="AA218" s="450">
        <v>4.88</v>
      </c>
    </row>
    <row r="219" spans="1:27" s="444" customFormat="1" x14ac:dyDescent="0.25">
      <c r="A219" s="439"/>
      <c r="B219" s="440"/>
      <c r="C219" s="446" t="s">
        <v>543</v>
      </c>
      <c r="D219" s="440"/>
      <c r="E219" s="447">
        <v>48029</v>
      </c>
      <c r="F219" s="440"/>
      <c r="G219" s="448" t="s">
        <v>697</v>
      </c>
      <c r="H219" s="448" t="s">
        <v>685</v>
      </c>
      <c r="I219" s="449">
        <v>-5</v>
      </c>
      <c r="J219" s="440"/>
      <c r="K219" s="212">
        <v>372345403.38</v>
      </c>
      <c r="L219" s="210"/>
      <c r="M219" s="213">
        <v>136231904.43000001</v>
      </c>
      <c r="N219" s="211"/>
      <c r="O219" s="213">
        <v>254730769</v>
      </c>
      <c r="P219" s="211"/>
      <c r="Q219" s="213">
        <v>18030523</v>
      </c>
      <c r="S219" s="450">
        <v>4.84</v>
      </c>
      <c r="U219" s="451">
        <v>14.1</v>
      </c>
      <c r="V219" s="843">
        <f t="shared" si="47"/>
        <v>4.8424185813296612E-2</v>
      </c>
      <c r="W219" s="685">
        <f t="shared" si="35"/>
        <v>-2.4185813296613567E-5</v>
      </c>
      <c r="X219" s="685"/>
      <c r="Z219" s="213">
        <v>18030523</v>
      </c>
      <c r="AA219" s="450">
        <v>4.84</v>
      </c>
    </row>
    <row r="220" spans="1:27" s="444" customFormat="1" x14ac:dyDescent="0.25">
      <c r="A220" s="439"/>
      <c r="B220" s="440"/>
      <c r="C220" s="446"/>
      <c r="D220" s="440"/>
      <c r="E220" s="441"/>
      <c r="F220" s="440"/>
      <c r="G220" s="448"/>
      <c r="H220" s="448"/>
      <c r="I220" s="449"/>
      <c r="J220" s="440"/>
      <c r="K220" s="209"/>
      <c r="L220" s="210"/>
      <c r="M220" s="211"/>
      <c r="N220" s="211"/>
      <c r="O220" s="211"/>
      <c r="P220" s="211"/>
      <c r="Q220" s="211"/>
      <c r="S220" s="450"/>
      <c r="U220" s="451"/>
      <c r="V220" s="843"/>
      <c r="W220" s="685">
        <f t="shared" si="35"/>
        <v>0</v>
      </c>
      <c r="X220" s="685"/>
      <c r="Z220" s="211"/>
      <c r="AA220" s="450"/>
    </row>
    <row r="221" spans="1:27" s="444" customFormat="1" ht="15.6" x14ac:dyDescent="0.3">
      <c r="A221" s="439"/>
      <c r="B221" s="440"/>
      <c r="C221" s="470" t="s">
        <v>559</v>
      </c>
      <c r="D221" s="440"/>
      <c r="E221" s="441"/>
      <c r="F221" s="440"/>
      <c r="G221" s="440"/>
      <c r="H221" s="440"/>
      <c r="I221" s="442"/>
      <c r="J221" s="440"/>
      <c r="K221" s="209">
        <f>+SUBTOTAL(9,K217:K219)</f>
        <v>1109452610.1500001</v>
      </c>
      <c r="L221" s="440"/>
      <c r="M221" s="211">
        <f>+SUBTOTAL(9,M217:M219)</f>
        <v>311648371.25999999</v>
      </c>
      <c r="N221" s="443"/>
      <c r="O221" s="211">
        <f>+SUBTOTAL(9,O217:O219)</f>
        <v>853276869</v>
      </c>
      <c r="P221" s="443"/>
      <c r="Q221" s="211">
        <f>+SUBTOTAL(9,Q217:Q219)</f>
        <v>50783787</v>
      </c>
      <c r="R221" s="440"/>
      <c r="S221" s="450">
        <f>Q221/K221*100</f>
        <v>4.5773732501412505</v>
      </c>
      <c r="U221" s="451">
        <f>ROUND(O221/Q221,1)</f>
        <v>16.8</v>
      </c>
      <c r="V221" s="843">
        <f t="shared" ref="V221" si="48">Q221/K221</f>
        <v>4.5773732501412506E-2</v>
      </c>
      <c r="W221" s="685">
        <f t="shared" ref="W221:W284" si="49">S221/100-V221</f>
        <v>0</v>
      </c>
      <c r="X221" s="685"/>
      <c r="Z221" s="211">
        <v>50783787</v>
      </c>
      <c r="AA221" s="450">
        <v>4.5773732501412505</v>
      </c>
    </row>
    <row r="222" spans="1:27" s="444" customFormat="1" x14ac:dyDescent="0.25">
      <c r="A222" s="439"/>
      <c r="B222" s="440"/>
      <c r="C222" s="440"/>
      <c r="D222" s="440"/>
      <c r="E222" s="441"/>
      <c r="F222" s="440"/>
      <c r="G222" s="440"/>
      <c r="H222" s="440"/>
      <c r="I222" s="442"/>
      <c r="J222" s="440"/>
      <c r="K222" s="209"/>
      <c r="L222" s="440"/>
      <c r="M222" s="209"/>
      <c r="N222" s="443"/>
      <c r="O222" s="209"/>
      <c r="P222" s="443"/>
      <c r="Q222" s="209"/>
      <c r="R222" s="440"/>
      <c r="S222" s="440"/>
      <c r="T222" s="440"/>
      <c r="U222" s="440"/>
      <c r="V222" s="843"/>
      <c r="W222" s="685">
        <f t="shared" si="49"/>
        <v>0</v>
      </c>
      <c r="X222" s="685"/>
      <c r="Z222" s="209"/>
      <c r="AA222" s="440"/>
    </row>
    <row r="223" spans="1:27" s="444" customFormat="1" x14ac:dyDescent="0.25">
      <c r="A223" s="439">
        <v>344.2</v>
      </c>
      <c r="B223" s="440"/>
      <c r="C223" s="440" t="s">
        <v>560</v>
      </c>
      <c r="D223" s="440"/>
      <c r="E223" s="441"/>
      <c r="F223" s="440"/>
      <c r="G223" s="440"/>
      <c r="H223" s="440"/>
      <c r="I223" s="442"/>
      <c r="J223" s="440"/>
      <c r="K223" s="209"/>
      <c r="L223" s="440"/>
      <c r="M223" s="443"/>
      <c r="N223" s="443"/>
      <c r="O223" s="443"/>
      <c r="P223" s="443"/>
      <c r="Q223" s="443"/>
      <c r="R223" s="440"/>
      <c r="S223" s="440"/>
      <c r="T223" s="440"/>
      <c r="U223" s="440"/>
      <c r="V223" s="843"/>
      <c r="W223" s="685">
        <f t="shared" si="49"/>
        <v>0</v>
      </c>
      <c r="X223" s="685"/>
      <c r="Z223" s="443"/>
      <c r="AA223" s="440"/>
    </row>
    <row r="224" spans="1:27" s="444" customFormat="1" x14ac:dyDescent="0.25">
      <c r="A224" s="439"/>
      <c r="B224" s="440"/>
      <c r="C224" s="446" t="s">
        <v>561</v>
      </c>
      <c r="D224" s="440"/>
      <c r="E224" s="447">
        <v>48760</v>
      </c>
      <c r="F224" s="440"/>
      <c r="G224" s="448" t="s">
        <v>698</v>
      </c>
      <c r="H224" s="448" t="s">
        <v>685</v>
      </c>
      <c r="I224" s="449">
        <v>20</v>
      </c>
      <c r="J224" s="440"/>
      <c r="K224" s="209">
        <v>74375981.069999993</v>
      </c>
      <c r="L224" s="210"/>
      <c r="M224" s="211">
        <v>56434886.100000001</v>
      </c>
      <c r="N224" s="211"/>
      <c r="O224" s="211">
        <v>3065899</v>
      </c>
      <c r="P224" s="211"/>
      <c r="Q224" s="211">
        <v>540356</v>
      </c>
      <c r="S224" s="450">
        <v>0.73</v>
      </c>
      <c r="U224" s="451">
        <v>5.7</v>
      </c>
      <c r="V224" s="843">
        <f t="shared" ref="V224:V229" si="50">Q224/K224</f>
        <v>7.2651949221541889E-3</v>
      </c>
      <c r="W224" s="685">
        <f t="shared" si="49"/>
        <v>3.4805077845811126E-5</v>
      </c>
      <c r="X224" s="685"/>
      <c r="Z224" s="211">
        <v>540356</v>
      </c>
      <c r="AA224" s="450">
        <v>0.73</v>
      </c>
    </row>
    <row r="225" spans="1:27" s="444" customFormat="1" x14ac:dyDescent="0.25">
      <c r="A225" s="439"/>
      <c r="B225" s="440"/>
      <c r="C225" s="446" t="s">
        <v>468</v>
      </c>
      <c r="D225" s="440"/>
      <c r="E225" s="447">
        <v>52047</v>
      </c>
      <c r="F225" s="440"/>
      <c r="G225" s="448" t="s">
        <v>698</v>
      </c>
      <c r="H225" s="448" t="s">
        <v>685</v>
      </c>
      <c r="I225" s="449">
        <v>20</v>
      </c>
      <c r="J225" s="440"/>
      <c r="K225" s="209">
        <v>26006934.52</v>
      </c>
      <c r="L225" s="210"/>
      <c r="M225" s="211">
        <v>1397214.18</v>
      </c>
      <c r="N225" s="211"/>
      <c r="O225" s="211">
        <v>19408333</v>
      </c>
      <c r="P225" s="211"/>
      <c r="Q225" s="211">
        <v>2999348</v>
      </c>
      <c r="S225" s="450">
        <v>11.53</v>
      </c>
      <c r="U225" s="451">
        <v>6.5</v>
      </c>
      <c r="V225" s="843">
        <f t="shared" si="50"/>
        <v>0.11532877885678623</v>
      </c>
      <c r="W225" s="685">
        <f t="shared" si="49"/>
        <v>-2.8778856786232376E-5</v>
      </c>
      <c r="X225" s="685"/>
      <c r="Z225" s="211">
        <v>2999348</v>
      </c>
      <c r="AA225" s="450">
        <v>11.53</v>
      </c>
    </row>
    <row r="226" spans="1:27" s="444" customFormat="1" x14ac:dyDescent="0.25">
      <c r="A226" s="439"/>
      <c r="B226" s="440"/>
      <c r="C226" s="446" t="s">
        <v>469</v>
      </c>
      <c r="D226" s="440"/>
      <c r="E226" s="447">
        <v>52778</v>
      </c>
      <c r="F226" s="440"/>
      <c r="G226" s="448" t="s">
        <v>698</v>
      </c>
      <c r="H226" s="448" t="s">
        <v>685</v>
      </c>
      <c r="I226" s="449">
        <v>20</v>
      </c>
      <c r="J226" s="440"/>
      <c r="K226" s="209">
        <v>83514274.030000001</v>
      </c>
      <c r="L226" s="210"/>
      <c r="M226" s="211">
        <v>8066153.1100000003</v>
      </c>
      <c r="N226" s="211"/>
      <c r="O226" s="211">
        <v>58745266</v>
      </c>
      <c r="P226" s="211"/>
      <c r="Q226" s="211">
        <v>7147793</v>
      </c>
      <c r="S226" s="450">
        <v>8.56</v>
      </c>
      <c r="U226" s="451">
        <v>8.1999999999999993</v>
      </c>
      <c r="V226" s="843">
        <f t="shared" si="50"/>
        <v>8.5587680465645549E-2</v>
      </c>
      <c r="W226" s="685">
        <f t="shared" si="49"/>
        <v>1.2319534354460204E-5</v>
      </c>
      <c r="X226" s="685"/>
      <c r="Z226" s="211">
        <v>7147793</v>
      </c>
      <c r="AA226" s="450">
        <v>8.56</v>
      </c>
    </row>
    <row r="227" spans="1:27" s="444" customFormat="1" x14ac:dyDescent="0.25">
      <c r="A227" s="439"/>
      <c r="B227" s="440"/>
      <c r="C227" s="446" t="s">
        <v>470</v>
      </c>
      <c r="D227" s="440"/>
      <c r="E227" s="447">
        <v>53873</v>
      </c>
      <c r="F227" s="440"/>
      <c r="G227" s="448" t="s">
        <v>698</v>
      </c>
      <c r="H227" s="448" t="s">
        <v>685</v>
      </c>
      <c r="I227" s="449">
        <v>20</v>
      </c>
      <c r="J227" s="440"/>
      <c r="K227" s="209">
        <v>32380061.68</v>
      </c>
      <c r="L227" s="210"/>
      <c r="M227" s="211">
        <v>2715653.77</v>
      </c>
      <c r="N227" s="211"/>
      <c r="O227" s="211">
        <v>23188396</v>
      </c>
      <c r="P227" s="211"/>
      <c r="Q227" s="211">
        <v>2902863</v>
      </c>
      <c r="S227" s="450">
        <v>8.9600000000000009</v>
      </c>
      <c r="U227" s="451">
        <v>8</v>
      </c>
      <c r="V227" s="843">
        <f t="shared" si="50"/>
        <v>8.9649705695063392E-2</v>
      </c>
      <c r="W227" s="685">
        <f t="shared" si="49"/>
        <v>-4.9705695063378963E-5</v>
      </c>
      <c r="X227" s="685"/>
      <c r="Z227" s="211">
        <v>2902863</v>
      </c>
      <c r="AA227" s="450">
        <v>8.9600000000000009</v>
      </c>
    </row>
    <row r="228" spans="1:27" s="444" customFormat="1" x14ac:dyDescent="0.25">
      <c r="A228" s="439"/>
      <c r="B228" s="440"/>
      <c r="C228" s="446" t="s">
        <v>471</v>
      </c>
      <c r="D228" s="440"/>
      <c r="E228" s="447">
        <v>48760</v>
      </c>
      <c r="F228" s="440"/>
      <c r="G228" s="448" t="s">
        <v>698</v>
      </c>
      <c r="H228" s="448" t="s">
        <v>685</v>
      </c>
      <c r="I228" s="449">
        <v>20</v>
      </c>
      <c r="J228" s="440"/>
      <c r="K228" s="209">
        <v>27973570.460000001</v>
      </c>
      <c r="L228" s="210"/>
      <c r="M228" s="211">
        <v>20284083.969999999</v>
      </c>
      <c r="N228" s="211"/>
      <c r="O228" s="211">
        <v>2094772</v>
      </c>
      <c r="P228" s="211"/>
      <c r="Q228" s="211">
        <v>267769</v>
      </c>
      <c r="S228" s="450">
        <v>0.96</v>
      </c>
      <c r="U228" s="451">
        <v>7.8</v>
      </c>
      <c r="V228" s="843">
        <f t="shared" si="50"/>
        <v>9.5722139003631499E-3</v>
      </c>
      <c r="W228" s="685">
        <f t="shared" si="49"/>
        <v>2.7786099636849249E-5</v>
      </c>
      <c r="X228" s="685"/>
      <c r="Z228" s="211">
        <v>267769</v>
      </c>
      <c r="AA228" s="450">
        <v>0.96</v>
      </c>
    </row>
    <row r="229" spans="1:27" s="444" customFormat="1" x14ac:dyDescent="0.25">
      <c r="A229" s="439"/>
      <c r="B229" s="440"/>
      <c r="C229" s="446" t="s">
        <v>472</v>
      </c>
      <c r="D229" s="440"/>
      <c r="E229" s="447">
        <v>49125</v>
      </c>
      <c r="F229" s="440"/>
      <c r="G229" s="448" t="s">
        <v>698</v>
      </c>
      <c r="H229" s="448" t="s">
        <v>685</v>
      </c>
      <c r="I229" s="449">
        <v>20</v>
      </c>
      <c r="J229" s="440"/>
      <c r="K229" s="212">
        <v>53610403.710000001</v>
      </c>
      <c r="L229" s="210"/>
      <c r="M229" s="213">
        <v>35341321.460000001</v>
      </c>
      <c r="N229" s="211"/>
      <c r="O229" s="213">
        <v>7547002</v>
      </c>
      <c r="P229" s="211"/>
      <c r="Q229" s="213">
        <v>854758</v>
      </c>
      <c r="S229" s="450">
        <v>1.59</v>
      </c>
      <c r="U229" s="451">
        <v>8.8000000000000007</v>
      </c>
      <c r="V229" s="843">
        <f t="shared" si="50"/>
        <v>1.5943882919138719E-2</v>
      </c>
      <c r="W229" s="685">
        <f t="shared" si="49"/>
        <v>-4.3882919138718557E-5</v>
      </c>
      <c r="X229" s="685"/>
      <c r="Z229" s="213">
        <v>854758</v>
      </c>
      <c r="AA229" s="450">
        <v>1.59</v>
      </c>
    </row>
    <row r="230" spans="1:27" s="444" customFormat="1" x14ac:dyDescent="0.25">
      <c r="A230" s="439"/>
      <c r="B230" s="440"/>
      <c r="C230" s="440"/>
      <c r="D230" s="440"/>
      <c r="E230" s="441"/>
      <c r="F230" s="440"/>
      <c r="G230" s="440"/>
      <c r="H230" s="440"/>
      <c r="I230" s="442"/>
      <c r="J230" s="440"/>
      <c r="K230" s="209"/>
      <c r="L230" s="440"/>
      <c r="M230" s="443"/>
      <c r="N230" s="443"/>
      <c r="O230" s="443"/>
      <c r="P230" s="443"/>
      <c r="Q230" s="443"/>
      <c r="R230" s="440"/>
      <c r="S230" s="440"/>
      <c r="T230" s="440"/>
      <c r="U230" s="440"/>
      <c r="V230" s="843"/>
      <c r="W230" s="685">
        <f t="shared" si="49"/>
        <v>0</v>
      </c>
      <c r="X230" s="685"/>
      <c r="Z230" s="443"/>
      <c r="AA230" s="440"/>
    </row>
    <row r="231" spans="1:27" s="444" customFormat="1" ht="15.6" x14ac:dyDescent="0.3">
      <c r="A231" s="439"/>
      <c r="B231" s="440"/>
      <c r="C231" s="470" t="s">
        <v>562</v>
      </c>
      <c r="D231" s="440"/>
      <c r="E231" s="441"/>
      <c r="F231" s="440"/>
      <c r="G231" s="440"/>
      <c r="H231" s="440"/>
      <c r="I231" s="442"/>
      <c r="J231" s="440"/>
      <c r="K231" s="209">
        <f>+SUBTOTAL(9,K224:K229)</f>
        <v>297861225.47000003</v>
      </c>
      <c r="L231" s="210"/>
      <c r="M231" s="211">
        <f>+SUBTOTAL(9,M224:M229)</f>
        <v>124239312.59</v>
      </c>
      <c r="N231" s="211"/>
      <c r="O231" s="211">
        <f>+SUBTOTAL(9,O224:O229)</f>
        <v>114049668</v>
      </c>
      <c r="P231" s="211"/>
      <c r="Q231" s="211">
        <f>+SUBTOTAL(9,Q224:Q229)</f>
        <v>14712887</v>
      </c>
      <c r="R231" s="440"/>
      <c r="S231" s="450">
        <f>Q231/K231*100</f>
        <v>4.9395106653389673</v>
      </c>
      <c r="U231" s="451">
        <f>ROUND(O231/Q231,1)</f>
        <v>7.8</v>
      </c>
      <c r="V231" s="843">
        <f t="shared" ref="V231" si="51">Q231/K231</f>
        <v>4.939510665338967E-2</v>
      </c>
      <c r="W231" s="685">
        <f t="shared" si="49"/>
        <v>0</v>
      </c>
      <c r="X231" s="685"/>
      <c r="Z231" s="211">
        <v>14712887</v>
      </c>
      <c r="AA231" s="450">
        <v>4.9395106653389673</v>
      </c>
    </row>
    <row r="232" spans="1:27" s="444" customFormat="1" x14ac:dyDescent="0.25">
      <c r="A232" s="439"/>
      <c r="B232" s="440"/>
      <c r="C232" s="440"/>
      <c r="D232" s="440"/>
      <c r="E232" s="441"/>
      <c r="F232" s="440"/>
      <c r="G232" s="440"/>
      <c r="H232" s="440"/>
      <c r="I232" s="442"/>
      <c r="J232" s="440"/>
      <c r="K232" s="209"/>
      <c r="L232" s="440"/>
      <c r="M232" s="443"/>
      <c r="N232" s="443"/>
      <c r="O232" s="443"/>
      <c r="P232" s="443"/>
      <c r="Q232" s="443"/>
      <c r="R232" s="440"/>
      <c r="S232" s="440"/>
      <c r="T232" s="440"/>
      <c r="U232" s="440"/>
      <c r="V232" s="843"/>
      <c r="W232" s="685">
        <f t="shared" si="49"/>
        <v>0</v>
      </c>
      <c r="X232" s="685"/>
      <c r="Z232" s="443"/>
      <c r="AA232" s="440"/>
    </row>
    <row r="233" spans="1:27" s="444" customFormat="1" x14ac:dyDescent="0.25">
      <c r="A233" s="439">
        <v>345</v>
      </c>
      <c r="B233" s="440"/>
      <c r="C233" s="446" t="s">
        <v>5</v>
      </c>
      <c r="D233" s="440"/>
      <c r="E233" s="441"/>
      <c r="F233" s="440"/>
      <c r="G233" s="448"/>
      <c r="H233" s="448"/>
      <c r="I233" s="449"/>
      <c r="J233" s="440"/>
      <c r="K233" s="209" t="s">
        <v>534</v>
      </c>
      <c r="L233" s="210"/>
      <c r="M233" s="211" t="s">
        <v>534</v>
      </c>
      <c r="N233" s="211"/>
      <c r="O233" s="211" t="s">
        <v>534</v>
      </c>
      <c r="P233" s="211"/>
      <c r="Q233" s="211" t="s">
        <v>534</v>
      </c>
      <c r="R233" s="440"/>
      <c r="S233" s="450" t="s">
        <v>534</v>
      </c>
      <c r="U233" s="451" t="s">
        <v>534</v>
      </c>
      <c r="V233" s="843"/>
      <c r="W233" s="685"/>
      <c r="X233" s="685"/>
      <c r="Z233" s="211" t="s">
        <v>534</v>
      </c>
      <c r="AA233" s="450" t="s">
        <v>534</v>
      </c>
    </row>
    <row r="234" spans="1:27" s="444" customFormat="1" x14ac:dyDescent="0.25">
      <c r="A234" s="439"/>
      <c r="B234" s="440"/>
      <c r="C234" s="446" t="s">
        <v>563</v>
      </c>
      <c r="D234" s="440"/>
      <c r="E234" s="447">
        <v>48760</v>
      </c>
      <c r="F234" s="440"/>
      <c r="G234" s="448" t="s">
        <v>699</v>
      </c>
      <c r="H234" s="448" t="s">
        <v>685</v>
      </c>
      <c r="I234" s="449">
        <v>-5</v>
      </c>
      <c r="J234" s="440"/>
      <c r="K234" s="209">
        <v>2021517.63</v>
      </c>
      <c r="L234" s="210"/>
      <c r="M234" s="211">
        <v>1613489.89</v>
      </c>
      <c r="N234" s="211"/>
      <c r="O234" s="211">
        <v>509104</v>
      </c>
      <c r="P234" s="211"/>
      <c r="Q234" s="211">
        <v>33297</v>
      </c>
      <c r="S234" s="450">
        <v>1.65</v>
      </c>
      <c r="U234" s="451">
        <v>15.3</v>
      </c>
      <c r="V234" s="843">
        <f t="shared" ref="V234:V243" si="52">Q234/K234</f>
        <v>1.6471288454704202E-2</v>
      </c>
      <c r="W234" s="685">
        <f t="shared" si="49"/>
        <v>2.8711545295798807E-5</v>
      </c>
      <c r="X234" s="685"/>
      <c r="Z234" s="211">
        <v>33297</v>
      </c>
      <c r="AA234" s="450">
        <v>1.65</v>
      </c>
    </row>
    <row r="235" spans="1:27" s="444" customFormat="1" x14ac:dyDescent="0.25">
      <c r="A235" s="439"/>
      <c r="B235" s="440"/>
      <c r="C235" s="446" t="s">
        <v>468</v>
      </c>
      <c r="D235" s="440"/>
      <c r="E235" s="447">
        <v>52047</v>
      </c>
      <c r="F235" s="440"/>
      <c r="G235" s="448" t="s">
        <v>699</v>
      </c>
      <c r="H235" s="448" t="s">
        <v>685</v>
      </c>
      <c r="I235" s="449">
        <v>-5</v>
      </c>
      <c r="J235" s="440"/>
      <c r="K235" s="209">
        <v>296766.71999999997</v>
      </c>
      <c r="L235" s="210"/>
      <c r="M235" s="211">
        <v>111118.95</v>
      </c>
      <c r="N235" s="211"/>
      <c r="O235" s="211">
        <v>200486</v>
      </c>
      <c r="P235" s="211"/>
      <c r="Q235" s="211">
        <v>8875</v>
      </c>
      <c r="S235" s="450">
        <v>2.99</v>
      </c>
      <c r="U235" s="451">
        <v>22.6</v>
      </c>
      <c r="V235" s="843">
        <f t="shared" si="52"/>
        <v>2.9905644406488709E-2</v>
      </c>
      <c r="W235" s="685">
        <f t="shared" si="49"/>
        <v>-5.6444064887063716E-6</v>
      </c>
      <c r="X235" s="685"/>
      <c r="Z235" s="211">
        <v>8875</v>
      </c>
      <c r="AA235" s="450">
        <v>2.99</v>
      </c>
    </row>
    <row r="236" spans="1:27" s="444" customFormat="1" x14ac:dyDescent="0.25">
      <c r="A236" s="439"/>
      <c r="B236" s="440"/>
      <c r="C236" s="446" t="s">
        <v>469</v>
      </c>
      <c r="D236" s="440"/>
      <c r="E236" s="447">
        <v>52778</v>
      </c>
      <c r="F236" s="440"/>
      <c r="G236" s="448" t="s">
        <v>699</v>
      </c>
      <c r="H236" s="448" t="s">
        <v>685</v>
      </c>
      <c r="I236" s="449">
        <v>-5</v>
      </c>
      <c r="J236" s="440"/>
      <c r="K236" s="209">
        <v>9468135</v>
      </c>
      <c r="L236" s="210"/>
      <c r="M236" s="211">
        <v>7420970.2599999998</v>
      </c>
      <c r="N236" s="211"/>
      <c r="O236" s="211">
        <v>2520571</v>
      </c>
      <c r="P236" s="211"/>
      <c r="Q236" s="211">
        <v>101965</v>
      </c>
      <c r="S236" s="450">
        <v>1.08</v>
      </c>
      <c r="U236" s="451">
        <v>24.7</v>
      </c>
      <c r="V236" s="843">
        <f t="shared" si="52"/>
        <v>1.076928032817445E-2</v>
      </c>
      <c r="W236" s="685">
        <f t="shared" si="49"/>
        <v>3.0719671825550285E-5</v>
      </c>
      <c r="X236" s="685"/>
      <c r="Z236" s="211">
        <v>101965</v>
      </c>
      <c r="AA236" s="450">
        <v>1.08</v>
      </c>
    </row>
    <row r="237" spans="1:27" s="444" customFormat="1" x14ac:dyDescent="0.25">
      <c r="B237" s="440"/>
      <c r="C237" s="446" t="s">
        <v>470</v>
      </c>
      <c r="D237" s="440"/>
      <c r="E237" s="447">
        <v>53873</v>
      </c>
      <c r="F237" s="440"/>
      <c r="G237" s="448" t="s">
        <v>699</v>
      </c>
      <c r="H237" s="448" t="s">
        <v>685</v>
      </c>
      <c r="I237" s="449">
        <v>-5</v>
      </c>
      <c r="J237" s="440"/>
      <c r="K237" s="209">
        <v>2823972</v>
      </c>
      <c r="L237" s="210"/>
      <c r="M237" s="211">
        <v>810921.32</v>
      </c>
      <c r="N237" s="211"/>
      <c r="O237" s="211">
        <v>2154249</v>
      </c>
      <c r="P237" s="211"/>
      <c r="Q237" s="211">
        <v>79787</v>
      </c>
      <c r="S237" s="450">
        <v>2.83</v>
      </c>
      <c r="U237" s="451">
        <v>27</v>
      </c>
      <c r="V237" s="843">
        <f t="shared" si="52"/>
        <v>2.8253467102365037E-2</v>
      </c>
      <c r="W237" s="685">
        <f t="shared" si="49"/>
        <v>4.6532897634964793E-5</v>
      </c>
      <c r="X237" s="685"/>
      <c r="Z237" s="211">
        <v>79787</v>
      </c>
      <c r="AA237" s="450">
        <v>2.83</v>
      </c>
    </row>
    <row r="238" spans="1:27" s="444" customFormat="1" x14ac:dyDescent="0.25">
      <c r="A238" s="439"/>
      <c r="B238" s="440"/>
      <c r="C238" s="446" t="s">
        <v>471</v>
      </c>
      <c r="D238" s="440"/>
      <c r="E238" s="447">
        <v>48760</v>
      </c>
      <c r="F238" s="440"/>
      <c r="G238" s="448" t="s">
        <v>699</v>
      </c>
      <c r="H238" s="448" t="s">
        <v>685</v>
      </c>
      <c r="I238" s="449">
        <v>-5</v>
      </c>
      <c r="J238" s="440"/>
      <c r="K238" s="209">
        <v>4392925.1399999997</v>
      </c>
      <c r="L238" s="210"/>
      <c r="M238" s="211">
        <v>3714712.25</v>
      </c>
      <c r="N238" s="211"/>
      <c r="O238" s="211">
        <v>897859</v>
      </c>
      <c r="P238" s="211"/>
      <c r="Q238" s="211">
        <v>55659</v>
      </c>
      <c r="S238" s="450">
        <v>1.27</v>
      </c>
      <c r="U238" s="451">
        <v>16.100000000000001</v>
      </c>
      <c r="V238" s="843">
        <f t="shared" si="52"/>
        <v>1.267014534192586E-2</v>
      </c>
      <c r="W238" s="685">
        <f t="shared" si="49"/>
        <v>2.9854658074139617E-5</v>
      </c>
      <c r="X238" s="685"/>
      <c r="Z238" s="211">
        <v>55659</v>
      </c>
      <c r="AA238" s="450">
        <v>1.27</v>
      </c>
    </row>
    <row r="239" spans="1:27" s="444" customFormat="1" x14ac:dyDescent="0.25">
      <c r="A239" s="439"/>
      <c r="B239" s="440"/>
      <c r="C239" s="446" t="s">
        <v>564</v>
      </c>
      <c r="D239" s="440"/>
      <c r="E239" s="447">
        <v>46934</v>
      </c>
      <c r="F239" s="440"/>
      <c r="G239" s="448" t="s">
        <v>699</v>
      </c>
      <c r="H239" s="448" t="s">
        <v>685</v>
      </c>
      <c r="I239" s="449">
        <v>-5</v>
      </c>
      <c r="J239" s="440"/>
      <c r="K239" s="209">
        <v>406679.71</v>
      </c>
      <c r="L239" s="210"/>
      <c r="M239" s="211">
        <v>188926.64</v>
      </c>
      <c r="N239" s="211"/>
      <c r="O239" s="211">
        <v>238087</v>
      </c>
      <c r="P239" s="211"/>
      <c r="Q239" s="211">
        <v>20822</v>
      </c>
      <c r="S239" s="450">
        <v>5.12</v>
      </c>
      <c r="U239" s="451">
        <v>11.4</v>
      </c>
      <c r="V239" s="843">
        <f t="shared" si="52"/>
        <v>5.1199997167303966E-2</v>
      </c>
      <c r="W239" s="685">
        <f t="shared" si="49"/>
        <v>2.8326960360702813E-9</v>
      </c>
      <c r="X239" s="685"/>
      <c r="Z239" s="211">
        <v>20822</v>
      </c>
      <c r="AA239" s="450">
        <v>5.12</v>
      </c>
    </row>
    <row r="240" spans="1:27" s="444" customFormat="1" x14ac:dyDescent="0.25">
      <c r="A240" s="439"/>
      <c r="B240" s="440"/>
      <c r="C240" s="446" t="s">
        <v>565</v>
      </c>
      <c r="D240" s="440"/>
      <c r="E240" s="447">
        <v>47664</v>
      </c>
      <c r="F240" s="440"/>
      <c r="G240" s="448" t="s">
        <v>699</v>
      </c>
      <c r="H240" s="448" t="s">
        <v>685</v>
      </c>
      <c r="I240" s="449">
        <v>-5</v>
      </c>
      <c r="J240" s="440"/>
      <c r="K240" s="209">
        <v>7187907.9199999999</v>
      </c>
      <c r="L240" s="210"/>
      <c r="M240" s="211">
        <v>3377314.53</v>
      </c>
      <c r="N240" s="211"/>
      <c r="O240" s="211">
        <v>4169989</v>
      </c>
      <c r="P240" s="211"/>
      <c r="Q240" s="211">
        <v>309159</v>
      </c>
      <c r="S240" s="450">
        <v>4.3</v>
      </c>
      <c r="U240" s="451">
        <v>13.5</v>
      </c>
      <c r="V240" s="843">
        <f t="shared" si="52"/>
        <v>4.30109850377716E-2</v>
      </c>
      <c r="W240" s="685">
        <f t="shared" si="49"/>
        <v>-1.0985037771603368E-5</v>
      </c>
      <c r="X240" s="685"/>
      <c r="Z240" s="211">
        <v>309159</v>
      </c>
      <c r="AA240" s="450">
        <v>4.3</v>
      </c>
    </row>
    <row r="241" spans="1:27" s="444" customFormat="1" x14ac:dyDescent="0.25">
      <c r="A241" s="439"/>
      <c r="B241" s="440"/>
      <c r="C241" s="446" t="s">
        <v>566</v>
      </c>
      <c r="D241" s="440"/>
      <c r="E241" s="447">
        <v>47664</v>
      </c>
      <c r="F241" s="440"/>
      <c r="G241" s="448" t="s">
        <v>699</v>
      </c>
      <c r="H241" s="448" t="s">
        <v>685</v>
      </c>
      <c r="I241" s="449">
        <v>-5</v>
      </c>
      <c r="J241" s="440"/>
      <c r="K241" s="209">
        <v>2438637.16</v>
      </c>
      <c r="L241" s="210"/>
      <c r="M241" s="211">
        <v>1763154.56</v>
      </c>
      <c r="N241" s="211"/>
      <c r="O241" s="211">
        <v>797414</v>
      </c>
      <c r="P241" s="211"/>
      <c r="Q241" s="211">
        <v>59300</v>
      </c>
      <c r="S241" s="450">
        <v>2.4300000000000002</v>
      </c>
      <c r="U241" s="451">
        <v>13.4</v>
      </c>
      <c r="V241" s="843">
        <f t="shared" si="52"/>
        <v>2.4316860651791262E-2</v>
      </c>
      <c r="W241" s="685">
        <f t="shared" si="49"/>
        <v>-1.6860651791260339E-5</v>
      </c>
      <c r="X241" s="685"/>
      <c r="Z241" s="211">
        <v>59300</v>
      </c>
      <c r="AA241" s="450">
        <v>2.4300000000000002</v>
      </c>
    </row>
    <row r="242" spans="1:27" s="444" customFormat="1" x14ac:dyDescent="0.25">
      <c r="A242" s="439"/>
      <c r="B242" s="440"/>
      <c r="C242" s="446" t="s">
        <v>567</v>
      </c>
      <c r="D242" s="440"/>
      <c r="E242" s="447">
        <v>50586</v>
      </c>
      <c r="F242" s="440"/>
      <c r="G242" s="448" t="s">
        <v>699</v>
      </c>
      <c r="H242" s="448" t="s">
        <v>685</v>
      </c>
      <c r="I242" s="449">
        <v>-5</v>
      </c>
      <c r="J242" s="440"/>
      <c r="K242" s="209">
        <v>201938.39</v>
      </c>
      <c r="L242" s="210"/>
      <c r="M242" s="211">
        <v>172084.92</v>
      </c>
      <c r="N242" s="211"/>
      <c r="O242" s="211">
        <v>39950</v>
      </c>
      <c r="P242" s="211"/>
      <c r="Q242" s="211">
        <v>2007</v>
      </c>
      <c r="S242" s="450">
        <v>0.99</v>
      </c>
      <c r="U242" s="451">
        <v>19.899999999999999</v>
      </c>
      <c r="V242" s="843">
        <f t="shared" si="52"/>
        <v>9.9386748601887932E-3</v>
      </c>
      <c r="W242" s="685">
        <f t="shared" si="49"/>
        <v>-3.8674860188794152E-5</v>
      </c>
      <c r="X242" s="685"/>
      <c r="Z242" s="211">
        <v>2007</v>
      </c>
      <c r="AA242" s="450">
        <v>0.99</v>
      </c>
    </row>
    <row r="243" spans="1:27" s="444" customFormat="1" x14ac:dyDescent="0.25">
      <c r="A243" s="439"/>
      <c r="B243" s="440"/>
      <c r="C243" s="446" t="s">
        <v>472</v>
      </c>
      <c r="D243" s="440"/>
      <c r="E243" s="447">
        <v>49125</v>
      </c>
      <c r="F243" s="440"/>
      <c r="G243" s="448" t="s">
        <v>699</v>
      </c>
      <c r="H243" s="448" t="s">
        <v>685</v>
      </c>
      <c r="I243" s="449">
        <v>-5</v>
      </c>
      <c r="J243" s="440"/>
      <c r="K243" s="212">
        <v>3521060.99</v>
      </c>
      <c r="L243" s="210"/>
      <c r="M243" s="213">
        <v>2410379.06</v>
      </c>
      <c r="N243" s="211"/>
      <c r="O243" s="213">
        <v>1286735</v>
      </c>
      <c r="P243" s="211"/>
      <c r="Q243" s="213">
        <v>74292</v>
      </c>
      <c r="S243" s="450">
        <v>2.11</v>
      </c>
      <c r="U243" s="451">
        <v>17.3</v>
      </c>
      <c r="V243" s="843">
        <f t="shared" si="52"/>
        <v>2.1099322110861816E-2</v>
      </c>
      <c r="W243" s="685">
        <f t="shared" si="49"/>
        <v>6.7788913818075947E-7</v>
      </c>
      <c r="X243" s="685"/>
      <c r="Z243" s="213">
        <v>74292</v>
      </c>
      <c r="AA243" s="450">
        <v>2.11</v>
      </c>
    </row>
    <row r="244" spans="1:27" s="444" customFormat="1" x14ac:dyDescent="0.25">
      <c r="A244" s="439"/>
      <c r="B244" s="440"/>
      <c r="C244" s="446"/>
      <c r="D244" s="440"/>
      <c r="E244" s="441"/>
      <c r="F244" s="440"/>
      <c r="G244" s="448"/>
      <c r="H244" s="448"/>
      <c r="I244" s="449"/>
      <c r="J244" s="440"/>
      <c r="K244" s="209"/>
      <c r="L244" s="210"/>
      <c r="M244" s="211"/>
      <c r="N244" s="211"/>
      <c r="O244" s="211"/>
      <c r="P244" s="211"/>
      <c r="Q244" s="211"/>
      <c r="R244" s="440"/>
      <c r="S244" s="439"/>
      <c r="T244" s="440"/>
      <c r="U244" s="467"/>
      <c r="V244" s="843"/>
      <c r="W244" s="685">
        <f t="shared" si="49"/>
        <v>0</v>
      </c>
      <c r="X244" s="685"/>
      <c r="Z244" s="211"/>
      <c r="AA244" s="439"/>
    </row>
    <row r="245" spans="1:27" s="444" customFormat="1" ht="15.6" x14ac:dyDescent="0.3">
      <c r="A245" s="439"/>
      <c r="B245" s="440"/>
      <c r="C245" s="452" t="s">
        <v>494</v>
      </c>
      <c r="D245" s="440"/>
      <c r="E245" s="441"/>
      <c r="F245" s="440"/>
      <c r="G245" s="448"/>
      <c r="H245" s="448"/>
      <c r="I245" s="449"/>
      <c r="J245" s="440"/>
      <c r="K245" s="209">
        <f>+SUBTOTAL(9,K234:K243)</f>
        <v>32759540.659999996</v>
      </c>
      <c r="L245" s="210"/>
      <c r="M245" s="211">
        <f>+SUBTOTAL(9,M234:M243)</f>
        <v>21583072.379999999</v>
      </c>
      <c r="N245" s="211"/>
      <c r="O245" s="211">
        <f>+SUBTOTAL(9,O234:O243)</f>
        <v>12814444</v>
      </c>
      <c r="P245" s="211"/>
      <c r="Q245" s="211">
        <f>+SUBTOTAL(9,Q234:Q243)</f>
        <v>745163</v>
      </c>
      <c r="R245" s="440"/>
      <c r="S245" s="450">
        <f>Q245/K245*100</f>
        <v>2.2746442257350017</v>
      </c>
      <c r="U245" s="451">
        <f>ROUND(O245/Q245,1)</f>
        <v>17.2</v>
      </c>
      <c r="V245" s="843">
        <f t="shared" ref="V245" si="53">Q245/K245</f>
        <v>2.2746442257350018E-2</v>
      </c>
      <c r="W245" s="685">
        <f t="shared" si="49"/>
        <v>0</v>
      </c>
      <c r="X245" s="685"/>
      <c r="Z245" s="211">
        <v>745163</v>
      </c>
      <c r="AA245" s="450">
        <v>2.2746442257350017</v>
      </c>
    </row>
    <row r="246" spans="1:27" s="444" customFormat="1" ht="15.6" x14ac:dyDescent="0.3">
      <c r="A246" s="439"/>
      <c r="B246" s="440"/>
      <c r="C246" s="452"/>
      <c r="D246" s="440"/>
      <c r="E246" s="441"/>
      <c r="F246" s="440"/>
      <c r="G246" s="448"/>
      <c r="H246" s="448"/>
      <c r="I246" s="449"/>
      <c r="J246" s="440"/>
      <c r="K246" s="209"/>
      <c r="L246" s="210"/>
      <c r="M246" s="211"/>
      <c r="N246" s="211"/>
      <c r="O246" s="211"/>
      <c r="P246" s="211"/>
      <c r="Q246" s="211"/>
      <c r="R246" s="440"/>
      <c r="S246" s="450"/>
      <c r="U246" s="451"/>
      <c r="V246" s="843"/>
      <c r="W246" s="685">
        <f t="shared" si="49"/>
        <v>0</v>
      </c>
      <c r="X246" s="685"/>
      <c r="Z246" s="211"/>
      <c r="AA246" s="450"/>
    </row>
    <row r="247" spans="1:27" s="444" customFormat="1" x14ac:dyDescent="0.25">
      <c r="A247" s="439">
        <v>345.01</v>
      </c>
      <c r="B247" s="440"/>
      <c r="C247" s="446" t="s">
        <v>568</v>
      </c>
      <c r="D247" s="440"/>
      <c r="E247" s="441"/>
      <c r="F247" s="440"/>
      <c r="G247" s="448"/>
      <c r="H247" s="448"/>
      <c r="I247" s="449"/>
      <c r="J247" s="440"/>
      <c r="K247" s="209"/>
      <c r="L247" s="210"/>
      <c r="M247" s="211"/>
      <c r="N247" s="211"/>
      <c r="O247" s="211"/>
      <c r="P247" s="211"/>
      <c r="Q247" s="211"/>
      <c r="R247" s="440"/>
      <c r="S247" s="450"/>
      <c r="U247" s="451"/>
      <c r="V247" s="843"/>
      <c r="W247" s="685">
        <f t="shared" si="49"/>
        <v>0</v>
      </c>
      <c r="X247" s="685"/>
      <c r="Z247" s="211"/>
      <c r="AA247" s="450"/>
    </row>
    <row r="248" spans="1:27" s="444" customFormat="1" x14ac:dyDescent="0.25">
      <c r="A248" s="439"/>
      <c r="B248" s="440"/>
      <c r="C248" s="446" t="s">
        <v>541</v>
      </c>
      <c r="D248" s="440"/>
      <c r="E248" s="447">
        <v>50221</v>
      </c>
      <c r="F248" s="440"/>
      <c r="G248" s="448" t="s">
        <v>699</v>
      </c>
      <c r="H248" s="448" t="s">
        <v>685</v>
      </c>
      <c r="I248" s="449">
        <v>-5</v>
      </c>
      <c r="J248" s="440"/>
      <c r="K248" s="209">
        <v>68432625.079999998</v>
      </c>
      <c r="L248" s="210"/>
      <c r="M248" s="211">
        <v>13311770.689999999</v>
      </c>
      <c r="N248" s="211"/>
      <c r="O248" s="211">
        <v>58542486</v>
      </c>
      <c r="P248" s="211"/>
      <c r="Q248" s="211">
        <v>2921282</v>
      </c>
      <c r="S248" s="450">
        <v>4.2699999999999996</v>
      </c>
      <c r="U248" s="451">
        <v>20</v>
      </c>
      <c r="V248" s="843">
        <f t="shared" ref="V248:V250" si="54">Q248/K248</f>
        <v>4.2688439857230739E-2</v>
      </c>
      <c r="W248" s="685">
        <f t="shared" si="49"/>
        <v>1.1560142769255488E-5</v>
      </c>
      <c r="X248" s="685"/>
      <c r="Z248" s="211">
        <v>2921282</v>
      </c>
      <c r="AA248" s="450">
        <v>4.2699999999999996</v>
      </c>
    </row>
    <row r="249" spans="1:27" s="444" customFormat="1" x14ac:dyDescent="0.25">
      <c r="A249" s="439"/>
      <c r="B249" s="440"/>
      <c r="C249" s="446" t="s">
        <v>542</v>
      </c>
      <c r="D249" s="440"/>
      <c r="E249" s="447">
        <v>47664</v>
      </c>
      <c r="F249" s="440"/>
      <c r="G249" s="448" t="s">
        <v>699</v>
      </c>
      <c r="H249" s="448" t="s">
        <v>685</v>
      </c>
      <c r="I249" s="449">
        <v>-5</v>
      </c>
      <c r="J249" s="440"/>
      <c r="K249" s="209">
        <v>13903072.539999999</v>
      </c>
      <c r="L249" s="210"/>
      <c r="M249" s="211">
        <v>5771432.5</v>
      </c>
      <c r="N249" s="211"/>
      <c r="O249" s="211">
        <v>8826794</v>
      </c>
      <c r="P249" s="211"/>
      <c r="Q249" s="211">
        <v>665811</v>
      </c>
      <c r="S249" s="450">
        <v>4.79</v>
      </c>
      <c r="U249" s="451">
        <v>13.3</v>
      </c>
      <c r="V249" s="843">
        <f t="shared" si="54"/>
        <v>4.7889486161020928E-2</v>
      </c>
      <c r="W249" s="685">
        <f t="shared" si="49"/>
        <v>1.0513838979070433E-5</v>
      </c>
      <c r="X249" s="685"/>
      <c r="Z249" s="211">
        <v>665811</v>
      </c>
      <c r="AA249" s="450">
        <v>4.79</v>
      </c>
    </row>
    <row r="250" spans="1:27" s="444" customFormat="1" x14ac:dyDescent="0.25">
      <c r="A250" s="439"/>
      <c r="B250" s="440"/>
      <c r="C250" s="446" t="s">
        <v>543</v>
      </c>
      <c r="D250" s="440"/>
      <c r="E250" s="447">
        <v>48029</v>
      </c>
      <c r="F250" s="440"/>
      <c r="G250" s="448" t="s">
        <v>699</v>
      </c>
      <c r="H250" s="448" t="s">
        <v>685</v>
      </c>
      <c r="I250" s="449">
        <v>-5</v>
      </c>
      <c r="J250" s="440"/>
      <c r="K250" s="212">
        <v>36997247.700000003</v>
      </c>
      <c r="L250" s="210"/>
      <c r="M250" s="213">
        <v>13607936.76</v>
      </c>
      <c r="N250" s="211"/>
      <c r="O250" s="213">
        <v>25239173</v>
      </c>
      <c r="P250" s="211"/>
      <c r="Q250" s="213">
        <v>1772155</v>
      </c>
      <c r="S250" s="450">
        <v>4.79</v>
      </c>
      <c r="U250" s="451">
        <v>14.2</v>
      </c>
      <c r="V250" s="843">
        <f t="shared" si="54"/>
        <v>4.7899644167314639E-2</v>
      </c>
      <c r="W250" s="685">
        <f t="shared" si="49"/>
        <v>3.5583268535865908E-7</v>
      </c>
      <c r="X250" s="685"/>
      <c r="Z250" s="213">
        <v>1772155</v>
      </c>
      <c r="AA250" s="450">
        <v>4.79</v>
      </c>
    </row>
    <row r="251" spans="1:27" s="444" customFormat="1" x14ac:dyDescent="0.25">
      <c r="A251" s="439"/>
      <c r="B251" s="440"/>
      <c r="C251" s="446"/>
      <c r="D251" s="440"/>
      <c r="E251" s="441"/>
      <c r="F251" s="440"/>
      <c r="G251" s="448"/>
      <c r="H251" s="448"/>
      <c r="I251" s="449"/>
      <c r="J251" s="440"/>
      <c r="K251" s="209"/>
      <c r="L251" s="210"/>
      <c r="M251" s="211"/>
      <c r="N251" s="211"/>
      <c r="O251" s="211"/>
      <c r="P251" s="211"/>
      <c r="Q251" s="211"/>
      <c r="S251" s="450"/>
      <c r="U251" s="451"/>
      <c r="V251" s="843"/>
      <c r="W251" s="685">
        <f t="shared" si="49"/>
        <v>0</v>
      </c>
      <c r="X251" s="685"/>
      <c r="Z251" s="211"/>
      <c r="AA251" s="450"/>
    </row>
    <row r="252" spans="1:27" s="444" customFormat="1" x14ac:dyDescent="0.25">
      <c r="A252" s="439"/>
      <c r="B252" s="440"/>
      <c r="C252" s="446" t="s">
        <v>569</v>
      </c>
      <c r="D252" s="440"/>
      <c r="E252" s="441"/>
      <c r="F252" s="440"/>
      <c r="G252" s="448"/>
      <c r="H252" s="448"/>
      <c r="I252" s="449"/>
      <c r="J252" s="440"/>
      <c r="K252" s="209">
        <f>+SUBTOTAL(9,K248:K250)</f>
        <v>119332945.32000001</v>
      </c>
      <c r="L252" s="210"/>
      <c r="M252" s="211">
        <f>+SUBTOTAL(9,M248:M250)</f>
        <v>32691139.949999996</v>
      </c>
      <c r="N252" s="211"/>
      <c r="O252" s="211">
        <f>+SUBTOTAL(9,O248:O250)</f>
        <v>92608453</v>
      </c>
      <c r="P252" s="211"/>
      <c r="Q252" s="211">
        <f>+SUBTOTAL(9,Q248:Q250)</f>
        <v>5359248</v>
      </c>
      <c r="R252" s="440"/>
      <c r="S252" s="450">
        <f>Q252/K252*100</f>
        <v>4.491004546672996</v>
      </c>
      <c r="U252" s="451">
        <f>ROUND(O252/Q252,1)</f>
        <v>17.3</v>
      </c>
      <c r="V252" s="843">
        <f t="shared" ref="V252" si="55">Q252/K252</f>
        <v>4.4910045466729956E-2</v>
      </c>
      <c r="W252" s="685">
        <f t="shared" si="49"/>
        <v>0</v>
      </c>
      <c r="X252" s="685"/>
      <c r="Z252" s="211">
        <v>5359248</v>
      </c>
      <c r="AA252" s="450">
        <v>4.491004546672996</v>
      </c>
    </row>
    <row r="253" spans="1:27" s="444" customFormat="1" x14ac:dyDescent="0.25">
      <c r="A253" s="439"/>
      <c r="B253" s="440"/>
      <c r="C253" s="440"/>
      <c r="D253" s="440"/>
      <c r="E253" s="441"/>
      <c r="F253" s="440"/>
      <c r="G253" s="448"/>
      <c r="H253" s="448"/>
      <c r="I253" s="449"/>
      <c r="J253" s="440"/>
      <c r="K253" s="209"/>
      <c r="L253" s="210"/>
      <c r="M253" s="211"/>
      <c r="N253" s="211"/>
      <c r="O253" s="211"/>
      <c r="P253" s="211"/>
      <c r="Q253" s="211"/>
      <c r="R253" s="440"/>
      <c r="S253" s="439"/>
      <c r="T253" s="440"/>
      <c r="U253" s="467"/>
      <c r="V253" s="843"/>
      <c r="W253" s="685">
        <f t="shared" si="49"/>
        <v>0</v>
      </c>
      <c r="X253" s="685"/>
      <c r="Z253" s="211"/>
      <c r="AA253" s="439"/>
    </row>
    <row r="254" spans="1:27" s="444" customFormat="1" x14ac:dyDescent="0.25">
      <c r="A254" s="439">
        <v>346</v>
      </c>
      <c r="B254" s="440"/>
      <c r="C254" s="446" t="s">
        <v>495</v>
      </c>
      <c r="D254" s="440"/>
      <c r="E254" s="441"/>
      <c r="F254" s="440"/>
      <c r="G254" s="448"/>
      <c r="H254" s="448"/>
      <c r="I254" s="449"/>
      <c r="J254" s="440"/>
      <c r="K254" s="209" t="s">
        <v>534</v>
      </c>
      <c r="L254" s="440"/>
      <c r="M254" s="443" t="s">
        <v>534</v>
      </c>
      <c r="N254" s="443"/>
      <c r="O254" s="443" t="s">
        <v>534</v>
      </c>
      <c r="P254" s="443"/>
      <c r="Q254" s="443" t="s">
        <v>534</v>
      </c>
      <c r="R254" s="440"/>
      <c r="S254" s="439"/>
      <c r="T254" s="440"/>
      <c r="U254" s="467"/>
      <c r="V254" s="843"/>
      <c r="W254" s="685">
        <f t="shared" si="49"/>
        <v>0</v>
      </c>
      <c r="X254" s="685"/>
      <c r="Z254" s="443" t="s">
        <v>534</v>
      </c>
      <c r="AA254" s="439"/>
    </row>
    <row r="255" spans="1:27" s="444" customFormat="1" x14ac:dyDescent="0.25">
      <c r="A255" s="439"/>
      <c r="B255" s="440"/>
      <c r="C255" s="440" t="s">
        <v>570</v>
      </c>
      <c r="D255" s="440"/>
      <c r="E255" s="447">
        <v>48760</v>
      </c>
      <c r="F255" s="440"/>
      <c r="G255" s="448" t="s">
        <v>699</v>
      </c>
      <c r="H255" s="448" t="s">
        <v>685</v>
      </c>
      <c r="I255" s="449">
        <v>-5</v>
      </c>
      <c r="J255" s="440"/>
      <c r="K255" s="209">
        <v>792720.88</v>
      </c>
      <c r="L255" s="210"/>
      <c r="M255" s="211">
        <v>114830.56</v>
      </c>
      <c r="N255" s="211"/>
      <c r="O255" s="211">
        <v>717526</v>
      </c>
      <c r="P255" s="211"/>
      <c r="Q255" s="211">
        <v>45000</v>
      </c>
      <c r="S255" s="450">
        <v>5.68</v>
      </c>
      <c r="U255" s="451">
        <v>15.9</v>
      </c>
      <c r="V255" s="843">
        <f t="shared" ref="V255:V262" si="56">Q255/K255</f>
        <v>5.676651282353002E-2</v>
      </c>
      <c r="W255" s="685">
        <f t="shared" si="49"/>
        <v>3.3487176469976232E-5</v>
      </c>
      <c r="X255" s="685"/>
      <c r="Z255" s="211">
        <v>45000</v>
      </c>
      <c r="AA255" s="450">
        <v>5.68</v>
      </c>
    </row>
    <row r="256" spans="1:27" s="444" customFormat="1" x14ac:dyDescent="0.25">
      <c r="A256" s="439"/>
      <c r="B256" s="440"/>
      <c r="C256" s="446" t="s">
        <v>469</v>
      </c>
      <c r="D256" s="440"/>
      <c r="E256" s="447">
        <v>52778</v>
      </c>
      <c r="F256" s="440"/>
      <c r="G256" s="448" t="s">
        <v>699</v>
      </c>
      <c r="H256" s="448" t="s">
        <v>685</v>
      </c>
      <c r="I256" s="449">
        <v>-5</v>
      </c>
      <c r="J256" s="440"/>
      <c r="K256" s="209">
        <v>2134388</v>
      </c>
      <c r="L256" s="210"/>
      <c r="M256" s="211">
        <v>1670586.7</v>
      </c>
      <c r="N256" s="211"/>
      <c r="O256" s="211">
        <v>570521</v>
      </c>
      <c r="P256" s="211"/>
      <c r="Q256" s="211">
        <v>23079</v>
      </c>
      <c r="S256" s="450">
        <v>1.08</v>
      </c>
      <c r="U256" s="451">
        <v>24.7</v>
      </c>
      <c r="V256" s="843">
        <f t="shared" si="56"/>
        <v>1.0812935604960298E-2</v>
      </c>
      <c r="W256" s="685">
        <f t="shared" si="49"/>
        <v>-1.2935604960297512E-5</v>
      </c>
      <c r="X256" s="685"/>
      <c r="Z256" s="211">
        <v>23079</v>
      </c>
      <c r="AA256" s="450">
        <v>1.08</v>
      </c>
    </row>
    <row r="257" spans="1:27" s="444" customFormat="1" x14ac:dyDescent="0.25">
      <c r="A257" s="439"/>
      <c r="B257" s="440"/>
      <c r="C257" s="446" t="s">
        <v>470</v>
      </c>
      <c r="D257" s="440"/>
      <c r="E257" s="447">
        <v>53873</v>
      </c>
      <c r="F257" s="440"/>
      <c r="G257" s="448" t="s">
        <v>699</v>
      </c>
      <c r="H257" s="448" t="s">
        <v>685</v>
      </c>
      <c r="I257" s="449">
        <v>-5</v>
      </c>
      <c r="J257" s="440"/>
      <c r="K257" s="209">
        <v>717365.05</v>
      </c>
      <c r="L257" s="210"/>
      <c r="M257" s="211">
        <v>200277.77</v>
      </c>
      <c r="N257" s="211"/>
      <c r="O257" s="211">
        <v>552956</v>
      </c>
      <c r="P257" s="211"/>
      <c r="Q257" s="211">
        <v>20425</v>
      </c>
      <c r="S257" s="450">
        <v>2.85</v>
      </c>
      <c r="U257" s="451">
        <v>27.1</v>
      </c>
      <c r="V257" s="843">
        <f t="shared" si="56"/>
        <v>2.8472254119433334E-2</v>
      </c>
      <c r="W257" s="685">
        <f t="shared" si="49"/>
        <v>2.7745880566667352E-5</v>
      </c>
      <c r="X257" s="685"/>
      <c r="Z257" s="211">
        <v>20425</v>
      </c>
      <c r="AA257" s="450">
        <v>2.85</v>
      </c>
    </row>
    <row r="258" spans="1:27" s="444" customFormat="1" x14ac:dyDescent="0.25">
      <c r="A258" s="439"/>
      <c r="B258" s="440"/>
      <c r="C258" s="446" t="s">
        <v>471</v>
      </c>
      <c r="D258" s="440"/>
      <c r="E258" s="447">
        <v>48760</v>
      </c>
      <c r="F258" s="440"/>
      <c r="G258" s="448" t="s">
        <v>699</v>
      </c>
      <c r="H258" s="448" t="s">
        <v>685</v>
      </c>
      <c r="I258" s="449">
        <v>-5</v>
      </c>
      <c r="J258" s="440"/>
      <c r="K258" s="209">
        <v>2005074.48</v>
      </c>
      <c r="L258" s="210"/>
      <c r="M258" s="211">
        <v>1775641.78</v>
      </c>
      <c r="N258" s="211"/>
      <c r="O258" s="211">
        <v>329686</v>
      </c>
      <c r="P258" s="211"/>
      <c r="Q258" s="211">
        <v>20465</v>
      </c>
      <c r="S258" s="450">
        <v>1.02</v>
      </c>
      <c r="U258" s="451">
        <v>16.100000000000001</v>
      </c>
      <c r="V258" s="843">
        <f t="shared" si="56"/>
        <v>1.0206603397595484E-2</v>
      </c>
      <c r="W258" s="685">
        <f t="shared" si="49"/>
        <v>-6.6033975954834373E-6</v>
      </c>
      <c r="X258" s="685"/>
      <c r="Z258" s="211">
        <v>20465</v>
      </c>
      <c r="AA258" s="450">
        <v>1.02</v>
      </c>
    </row>
    <row r="259" spans="1:27" s="444" customFormat="1" x14ac:dyDescent="0.25">
      <c r="A259" s="439"/>
      <c r="B259" s="440"/>
      <c r="C259" s="440" t="s">
        <v>571</v>
      </c>
      <c r="D259" s="440"/>
      <c r="E259" s="447">
        <v>47664</v>
      </c>
      <c r="F259" s="440"/>
      <c r="G259" s="448" t="s">
        <v>699</v>
      </c>
      <c r="H259" s="448" t="s">
        <v>685</v>
      </c>
      <c r="I259" s="449">
        <v>-5</v>
      </c>
      <c r="J259" s="440"/>
      <c r="K259" s="209">
        <v>353337.64</v>
      </c>
      <c r="L259" s="210"/>
      <c r="M259" s="211">
        <v>265750.21999999997</v>
      </c>
      <c r="N259" s="211"/>
      <c r="O259" s="211">
        <v>105254</v>
      </c>
      <c r="P259" s="211"/>
      <c r="Q259" s="211">
        <v>7885</v>
      </c>
      <c r="S259" s="450">
        <v>2.23</v>
      </c>
      <c r="U259" s="451">
        <v>13.3</v>
      </c>
      <c r="V259" s="843">
        <f t="shared" si="56"/>
        <v>2.2315765736138384E-2</v>
      </c>
      <c r="W259" s="685">
        <f t="shared" si="49"/>
        <v>-1.5765736138383807E-5</v>
      </c>
      <c r="X259" s="685"/>
      <c r="Z259" s="211">
        <v>7885</v>
      </c>
      <c r="AA259" s="450">
        <v>2.23</v>
      </c>
    </row>
    <row r="260" spans="1:27" s="444" customFormat="1" x14ac:dyDescent="0.25">
      <c r="A260" s="439"/>
      <c r="B260" s="440"/>
      <c r="C260" s="446" t="s">
        <v>572</v>
      </c>
      <c r="D260" s="440"/>
      <c r="E260" s="447">
        <v>47664</v>
      </c>
      <c r="F260" s="440"/>
      <c r="G260" s="448" t="s">
        <v>699</v>
      </c>
      <c r="H260" s="448" t="s">
        <v>685</v>
      </c>
      <c r="I260" s="449">
        <v>-5</v>
      </c>
      <c r="J260" s="440"/>
      <c r="K260" s="209">
        <v>156087.78</v>
      </c>
      <c r="L260" s="210"/>
      <c r="M260" s="211">
        <v>158502.48000000001</v>
      </c>
      <c r="N260" s="211"/>
      <c r="O260" s="211">
        <v>5390</v>
      </c>
      <c r="P260" s="211"/>
      <c r="Q260" s="211">
        <v>421</v>
      </c>
      <c r="S260" s="450">
        <v>0.27</v>
      </c>
      <c r="U260" s="451">
        <v>12.8</v>
      </c>
      <c r="V260" s="843">
        <f t="shared" si="56"/>
        <v>2.6972002548822207E-3</v>
      </c>
      <c r="W260" s="685">
        <f t="shared" si="49"/>
        <v>2.7997451177794869E-6</v>
      </c>
      <c r="X260" s="685"/>
      <c r="Z260" s="211">
        <v>421</v>
      </c>
      <c r="AA260" s="450">
        <v>0.27</v>
      </c>
    </row>
    <row r="261" spans="1:27" s="444" customFormat="1" x14ac:dyDescent="0.25">
      <c r="A261" s="439"/>
      <c r="B261" s="440"/>
      <c r="C261" s="446" t="s">
        <v>567</v>
      </c>
      <c r="D261" s="440"/>
      <c r="E261" s="447">
        <v>50586</v>
      </c>
      <c r="F261" s="440"/>
      <c r="G261" s="448" t="s">
        <v>699</v>
      </c>
      <c r="H261" s="448" t="s">
        <v>685</v>
      </c>
      <c r="I261" s="449">
        <v>-5</v>
      </c>
      <c r="J261" s="440"/>
      <c r="K261" s="209">
        <v>46462.34</v>
      </c>
      <c r="L261" s="210"/>
      <c r="M261" s="211">
        <v>28649.66</v>
      </c>
      <c r="N261" s="211"/>
      <c r="O261" s="211">
        <v>20136</v>
      </c>
      <c r="P261" s="211"/>
      <c r="Q261" s="211">
        <v>1180</v>
      </c>
      <c r="S261" s="450">
        <v>2.54</v>
      </c>
      <c r="U261" s="451">
        <v>17.100000000000001</v>
      </c>
      <c r="V261" s="843">
        <f t="shared" si="56"/>
        <v>2.5396912854582874E-2</v>
      </c>
      <c r="W261" s="685">
        <f t="shared" si="49"/>
        <v>3.0871454171250978E-6</v>
      </c>
      <c r="X261" s="685"/>
      <c r="Z261" s="211">
        <v>1180</v>
      </c>
      <c r="AA261" s="450">
        <v>2.54</v>
      </c>
    </row>
    <row r="262" spans="1:27" s="444" customFormat="1" x14ac:dyDescent="0.25">
      <c r="A262" s="439"/>
      <c r="B262" s="440"/>
      <c r="C262" s="446" t="s">
        <v>472</v>
      </c>
      <c r="D262" s="440"/>
      <c r="E262" s="447">
        <v>49125</v>
      </c>
      <c r="F262" s="440"/>
      <c r="G262" s="448" t="s">
        <v>699</v>
      </c>
      <c r="H262" s="448" t="s">
        <v>685</v>
      </c>
      <c r="I262" s="449">
        <v>-5</v>
      </c>
      <c r="J262" s="440"/>
      <c r="K262" s="212">
        <v>665876</v>
      </c>
      <c r="L262" s="210"/>
      <c r="M262" s="213">
        <v>455832.41</v>
      </c>
      <c r="N262" s="211"/>
      <c r="O262" s="213">
        <v>243337</v>
      </c>
      <c r="P262" s="211"/>
      <c r="Q262" s="213">
        <v>14049</v>
      </c>
      <c r="S262" s="450">
        <v>2.11</v>
      </c>
      <c r="U262" s="451">
        <v>17.3</v>
      </c>
      <c r="V262" s="843">
        <f t="shared" si="56"/>
        <v>2.1098522848097843E-2</v>
      </c>
      <c r="W262" s="685">
        <f t="shared" si="49"/>
        <v>1.4771519021537782E-6</v>
      </c>
      <c r="X262" s="685"/>
      <c r="Z262" s="213">
        <v>14049</v>
      </c>
      <c r="AA262" s="450">
        <v>2.11</v>
      </c>
    </row>
    <row r="263" spans="1:27" s="444" customFormat="1" x14ac:dyDescent="0.25">
      <c r="A263" s="439"/>
      <c r="B263" s="440"/>
      <c r="C263" s="446"/>
      <c r="D263" s="440"/>
      <c r="E263" s="441"/>
      <c r="F263" s="440"/>
      <c r="G263" s="448"/>
      <c r="H263" s="448"/>
      <c r="I263" s="449"/>
      <c r="J263" s="440"/>
      <c r="K263" s="209"/>
      <c r="L263" s="210"/>
      <c r="M263" s="211"/>
      <c r="N263" s="211"/>
      <c r="O263" s="211"/>
      <c r="P263" s="211"/>
      <c r="Q263" s="211"/>
      <c r="R263" s="440"/>
      <c r="S263" s="439"/>
      <c r="T263" s="440"/>
      <c r="U263" s="467"/>
      <c r="V263" s="843"/>
      <c r="W263" s="685">
        <f t="shared" si="49"/>
        <v>0</v>
      </c>
      <c r="X263" s="685"/>
      <c r="Z263" s="211"/>
      <c r="AA263" s="439"/>
    </row>
    <row r="264" spans="1:27" s="444" customFormat="1" ht="15.6" x14ac:dyDescent="0.3">
      <c r="A264" s="439"/>
      <c r="B264" s="440"/>
      <c r="C264" s="464" t="s">
        <v>503</v>
      </c>
      <c r="D264" s="440"/>
      <c r="E264" s="441"/>
      <c r="F264" s="440"/>
      <c r="G264" s="448"/>
      <c r="H264" s="448"/>
      <c r="I264" s="449"/>
      <c r="J264" s="440"/>
      <c r="K264" s="209">
        <f>+SUBTOTAL(9,K255:K262)</f>
        <v>6871312.1699999999</v>
      </c>
      <c r="L264" s="210"/>
      <c r="M264" s="211">
        <f>+SUBTOTAL(9,M255:M262)</f>
        <v>4670071.58</v>
      </c>
      <c r="N264" s="211"/>
      <c r="O264" s="211">
        <f>+SUBTOTAL(9,O255:O262)</f>
        <v>2544806</v>
      </c>
      <c r="P264" s="211"/>
      <c r="Q264" s="211">
        <f>+SUBTOTAL(9,Q255:Q262)</f>
        <v>132504</v>
      </c>
      <c r="R264" s="440"/>
      <c r="S264" s="450">
        <f>Q264/K264*100</f>
        <v>1.9283653066805726</v>
      </c>
      <c r="U264" s="451">
        <f>ROUND(O264/Q264,1)</f>
        <v>19.2</v>
      </c>
      <c r="V264" s="843">
        <f t="shared" ref="V264" si="57">Q264/K264</f>
        <v>1.9283653066805725E-2</v>
      </c>
      <c r="W264" s="685">
        <f t="shared" si="49"/>
        <v>0</v>
      </c>
      <c r="X264" s="685"/>
      <c r="Z264" s="211">
        <v>132504</v>
      </c>
      <c r="AA264" s="450">
        <v>1.9283653066805726</v>
      </c>
    </row>
    <row r="265" spans="1:27" s="444" customFormat="1" ht="15.6" x14ac:dyDescent="0.3">
      <c r="A265" s="439"/>
      <c r="B265" s="440"/>
      <c r="C265" s="464"/>
      <c r="D265" s="440"/>
      <c r="E265" s="441"/>
      <c r="F265" s="440"/>
      <c r="G265" s="448"/>
      <c r="H265" s="448"/>
      <c r="I265" s="449"/>
      <c r="J265" s="440"/>
      <c r="K265" s="209"/>
      <c r="L265" s="210"/>
      <c r="M265" s="211"/>
      <c r="N265" s="211"/>
      <c r="O265" s="211"/>
      <c r="P265" s="211"/>
      <c r="Q265" s="211"/>
      <c r="R265" s="440"/>
      <c r="S265" s="450"/>
      <c r="U265" s="451"/>
      <c r="V265" s="843"/>
      <c r="W265" s="685">
        <f t="shared" si="49"/>
        <v>0</v>
      </c>
      <c r="X265" s="685"/>
      <c r="Z265" s="211"/>
      <c r="AA265" s="450"/>
    </row>
    <row r="266" spans="1:27" s="444" customFormat="1" x14ac:dyDescent="0.25">
      <c r="A266" s="439">
        <v>346.01</v>
      </c>
      <c r="B266" s="440"/>
      <c r="C266" s="446" t="s">
        <v>573</v>
      </c>
      <c r="D266" s="440"/>
      <c r="E266" s="441"/>
      <c r="F266" s="440"/>
      <c r="G266" s="448"/>
      <c r="H266" s="448"/>
      <c r="I266" s="449"/>
      <c r="J266" s="440"/>
      <c r="K266" s="209"/>
      <c r="L266" s="210"/>
      <c r="M266" s="211"/>
      <c r="N266" s="211"/>
      <c r="O266" s="211"/>
      <c r="P266" s="211"/>
      <c r="Q266" s="211"/>
      <c r="R266" s="440"/>
      <c r="S266" s="450"/>
      <c r="U266" s="451"/>
      <c r="V266" s="843"/>
      <c r="W266" s="685">
        <f t="shared" si="49"/>
        <v>0</v>
      </c>
      <c r="X266" s="685"/>
      <c r="Z266" s="211"/>
      <c r="AA266" s="450"/>
    </row>
    <row r="267" spans="1:27" s="444" customFormat="1" x14ac:dyDescent="0.25">
      <c r="A267" s="439"/>
      <c r="B267" s="440"/>
      <c r="C267" s="446" t="s">
        <v>541</v>
      </c>
      <c r="D267" s="440"/>
      <c r="E267" s="447">
        <v>50221</v>
      </c>
      <c r="F267" s="440"/>
      <c r="G267" s="448" t="s">
        <v>700</v>
      </c>
      <c r="H267" s="448" t="s">
        <v>685</v>
      </c>
      <c r="I267" s="449">
        <v>-5</v>
      </c>
      <c r="J267" s="440"/>
      <c r="K267" s="209">
        <v>2820158.96</v>
      </c>
      <c r="L267" s="210"/>
      <c r="M267" s="211">
        <v>548420.67000000004</v>
      </c>
      <c r="N267" s="211"/>
      <c r="O267" s="211">
        <v>2412746</v>
      </c>
      <c r="P267" s="211"/>
      <c r="Q267" s="211">
        <v>119799</v>
      </c>
      <c r="S267" s="450">
        <v>4.25</v>
      </c>
      <c r="U267" s="451">
        <v>20.100000000000001</v>
      </c>
      <c r="V267" s="843">
        <f t="shared" ref="V267:V269" si="58">Q267/K267</f>
        <v>4.2479520374269969E-2</v>
      </c>
      <c r="W267" s="685">
        <f t="shared" si="49"/>
        <v>2.047962573003409E-5</v>
      </c>
      <c r="X267" s="685"/>
      <c r="Z267" s="211">
        <v>119799</v>
      </c>
      <c r="AA267" s="450">
        <v>4.25</v>
      </c>
    </row>
    <row r="268" spans="1:27" s="444" customFormat="1" x14ac:dyDescent="0.25">
      <c r="A268" s="439"/>
      <c r="B268" s="440"/>
      <c r="C268" s="446" t="s">
        <v>542</v>
      </c>
      <c r="D268" s="440"/>
      <c r="E268" s="447">
        <v>47664</v>
      </c>
      <c r="F268" s="440"/>
      <c r="G268" s="448" t="s">
        <v>700</v>
      </c>
      <c r="H268" s="448" t="s">
        <v>685</v>
      </c>
      <c r="I268" s="449">
        <v>-5</v>
      </c>
      <c r="J268" s="440"/>
      <c r="K268" s="209">
        <v>479164.8</v>
      </c>
      <c r="L268" s="210"/>
      <c r="M268" s="211">
        <v>120444.56</v>
      </c>
      <c r="N268" s="211"/>
      <c r="O268" s="211">
        <v>382678</v>
      </c>
      <c r="P268" s="211"/>
      <c r="Q268" s="211">
        <v>28324</v>
      </c>
      <c r="S268" s="450">
        <v>5.91</v>
      </c>
      <c r="U268" s="451">
        <v>13.5</v>
      </c>
      <c r="V268" s="843">
        <f t="shared" si="58"/>
        <v>5.9111186798362483E-2</v>
      </c>
      <c r="W268" s="685">
        <f t="shared" si="49"/>
        <v>-1.1186798362483596E-5</v>
      </c>
      <c r="X268" s="685"/>
      <c r="Z268" s="211">
        <v>28324</v>
      </c>
      <c r="AA268" s="450">
        <v>5.91</v>
      </c>
    </row>
    <row r="269" spans="1:27" s="444" customFormat="1" x14ac:dyDescent="0.25">
      <c r="A269" s="439"/>
      <c r="B269" s="440"/>
      <c r="C269" s="446" t="s">
        <v>543</v>
      </c>
      <c r="D269" s="440"/>
      <c r="E269" s="447">
        <v>48029</v>
      </c>
      <c r="F269" s="440"/>
      <c r="G269" s="448" t="s">
        <v>700</v>
      </c>
      <c r="H269" s="448" t="s">
        <v>685</v>
      </c>
      <c r="I269" s="449">
        <v>-5</v>
      </c>
      <c r="J269" s="440"/>
      <c r="K269" s="212">
        <v>706082.18</v>
      </c>
      <c r="L269" s="210"/>
      <c r="M269" s="213">
        <v>166936.09</v>
      </c>
      <c r="N269" s="211"/>
      <c r="O269" s="213">
        <v>574450</v>
      </c>
      <c r="P269" s="211"/>
      <c r="Q269" s="213">
        <v>39712</v>
      </c>
      <c r="S269" s="450">
        <v>5.62</v>
      </c>
      <c r="U269" s="451">
        <v>14.5</v>
      </c>
      <c r="V269" s="843">
        <f t="shared" si="58"/>
        <v>5.6242745001722036E-2</v>
      </c>
      <c r="W269" s="685">
        <f t="shared" si="49"/>
        <v>-4.2745001722035991E-5</v>
      </c>
      <c r="X269" s="685"/>
      <c r="Z269" s="213">
        <v>39712</v>
      </c>
      <c r="AA269" s="450">
        <v>5.62</v>
      </c>
    </row>
    <row r="270" spans="1:27" s="444" customFormat="1" ht="15.6" x14ac:dyDescent="0.3">
      <c r="A270" s="439"/>
      <c r="B270" s="440"/>
      <c r="C270" s="464"/>
      <c r="D270" s="440"/>
      <c r="E270" s="441"/>
      <c r="F270" s="440"/>
      <c r="G270" s="448"/>
      <c r="H270" s="448"/>
      <c r="I270" s="449"/>
      <c r="J270" s="440"/>
      <c r="K270" s="209"/>
      <c r="L270" s="210"/>
      <c r="M270" s="211"/>
      <c r="N270" s="211"/>
      <c r="O270" s="211"/>
      <c r="P270" s="211"/>
      <c r="Q270" s="211"/>
      <c r="R270" s="440"/>
      <c r="S270" s="450"/>
      <c r="U270" s="451"/>
      <c r="V270" s="843"/>
      <c r="W270" s="685">
        <f t="shared" si="49"/>
        <v>0</v>
      </c>
      <c r="X270" s="685"/>
      <c r="Z270" s="211"/>
      <c r="AA270" s="450"/>
    </row>
    <row r="271" spans="1:27" s="444" customFormat="1" ht="15.6" x14ac:dyDescent="0.3">
      <c r="A271" s="439"/>
      <c r="B271" s="440"/>
      <c r="C271" s="464" t="s">
        <v>574</v>
      </c>
      <c r="D271" s="440"/>
      <c r="E271" s="441"/>
      <c r="F271" s="440"/>
      <c r="G271" s="448"/>
      <c r="H271" s="448"/>
      <c r="I271" s="449"/>
      <c r="J271" s="440"/>
      <c r="K271" s="209">
        <f>+SUBTOTAL(9,K267:K269)</f>
        <v>4005405.94</v>
      </c>
      <c r="L271" s="210"/>
      <c r="M271" s="211">
        <f>+SUBTOTAL(9,M267:M269)</f>
        <v>835801.32</v>
      </c>
      <c r="N271" s="211"/>
      <c r="O271" s="211">
        <f>+SUBTOTAL(9,O267:O269)</f>
        <v>3369874</v>
      </c>
      <c r="P271" s="211"/>
      <c r="Q271" s="211">
        <f>+SUBTOTAL(9,Q267:Q269)</f>
        <v>187835</v>
      </c>
      <c r="R271" s="440"/>
      <c r="S271" s="450">
        <f>Q271/K271*100</f>
        <v>4.6895371608701417</v>
      </c>
      <c r="U271" s="451">
        <f>ROUND(O271/Q271,1)</f>
        <v>17.899999999999999</v>
      </c>
      <c r="V271" s="843">
        <f t="shared" ref="V271" si="59">Q271/K271</f>
        <v>4.6895371608701414E-2</v>
      </c>
      <c r="W271" s="685">
        <f t="shared" si="49"/>
        <v>0</v>
      </c>
      <c r="X271" s="685"/>
      <c r="Z271" s="211">
        <v>187835</v>
      </c>
      <c r="AA271" s="450">
        <v>4.6895371608701417</v>
      </c>
    </row>
    <row r="272" spans="1:27" s="444" customFormat="1" x14ac:dyDescent="0.25">
      <c r="A272" s="439"/>
      <c r="B272" s="440"/>
      <c r="C272" s="446"/>
      <c r="D272" s="440"/>
      <c r="E272" s="441"/>
      <c r="F272" s="440"/>
      <c r="G272" s="448"/>
      <c r="H272" s="448"/>
      <c r="I272" s="449"/>
      <c r="J272" s="440"/>
      <c r="K272" s="209"/>
      <c r="L272" s="210"/>
      <c r="M272" s="211"/>
      <c r="N272" s="211"/>
      <c r="O272" s="211"/>
      <c r="P272" s="211"/>
      <c r="Q272" s="211"/>
      <c r="R272" s="440"/>
      <c r="S272" s="468"/>
      <c r="T272" s="440"/>
      <c r="U272" s="469"/>
      <c r="V272" s="843"/>
      <c r="W272" s="685">
        <f t="shared" si="49"/>
        <v>0</v>
      </c>
      <c r="X272" s="685"/>
      <c r="Z272" s="211"/>
      <c r="AA272" s="468"/>
    </row>
    <row r="273" spans="1:27" s="444" customFormat="1" x14ac:dyDescent="0.25">
      <c r="A273" s="439">
        <v>346.1</v>
      </c>
      <c r="B273" s="440"/>
      <c r="C273" s="446" t="s">
        <v>32</v>
      </c>
      <c r="D273" s="440"/>
      <c r="E273" s="441"/>
      <c r="F273" s="440"/>
      <c r="G273" s="448"/>
      <c r="H273" s="448"/>
      <c r="I273" s="449"/>
      <c r="J273" s="440"/>
      <c r="K273" s="209" t="s">
        <v>534</v>
      </c>
      <c r="L273" s="210"/>
      <c r="M273" s="211" t="s">
        <v>534</v>
      </c>
      <c r="N273" s="211"/>
      <c r="O273" s="211" t="s">
        <v>534</v>
      </c>
      <c r="P273" s="211"/>
      <c r="Q273" s="211" t="s">
        <v>534</v>
      </c>
      <c r="R273" s="440"/>
      <c r="S273" s="439"/>
      <c r="T273" s="440"/>
      <c r="U273" s="467"/>
      <c r="V273" s="843"/>
      <c r="W273" s="685">
        <f t="shared" si="49"/>
        <v>0</v>
      </c>
      <c r="X273" s="685"/>
      <c r="Z273" s="211" t="s">
        <v>534</v>
      </c>
      <c r="AA273" s="439"/>
    </row>
    <row r="274" spans="1:27" s="444" customFormat="1" x14ac:dyDescent="0.25">
      <c r="A274" s="439"/>
      <c r="B274" s="440"/>
      <c r="C274" s="446" t="s">
        <v>561</v>
      </c>
      <c r="D274" s="440"/>
      <c r="E274" s="447">
        <v>46934</v>
      </c>
      <c r="F274" s="440"/>
      <c r="G274" s="448" t="s">
        <v>847</v>
      </c>
      <c r="H274" s="448" t="s">
        <v>685</v>
      </c>
      <c r="I274" s="449">
        <v>0</v>
      </c>
      <c r="J274" s="440"/>
      <c r="K274" s="209">
        <v>387249.85</v>
      </c>
      <c r="L274" s="210"/>
      <c r="M274" s="211">
        <v>108494.59</v>
      </c>
      <c r="N274" s="211"/>
      <c r="O274" s="211">
        <v>278755</v>
      </c>
      <c r="P274" s="211"/>
      <c r="Q274" s="211">
        <v>35473</v>
      </c>
      <c r="S274" s="450">
        <v>9.16</v>
      </c>
      <c r="U274" s="451">
        <v>7.9</v>
      </c>
      <c r="V274" s="843">
        <f t="shared" ref="V274:V282" si="60">Q274/K274</f>
        <v>9.1602359561921073E-2</v>
      </c>
      <c r="W274" s="685">
        <f t="shared" si="49"/>
        <v>-2.3595619210725616E-6</v>
      </c>
      <c r="X274" s="685"/>
      <c r="Z274" s="211">
        <v>35473</v>
      </c>
      <c r="AA274" s="450">
        <v>9.16</v>
      </c>
    </row>
    <row r="275" spans="1:27" s="444" customFormat="1" x14ac:dyDescent="0.25">
      <c r="A275" s="439"/>
      <c r="B275" s="440"/>
      <c r="C275" s="446" t="s">
        <v>468</v>
      </c>
      <c r="D275" s="440"/>
      <c r="E275" s="447">
        <v>52047</v>
      </c>
      <c r="F275" s="440"/>
      <c r="G275" s="448" t="s">
        <v>847</v>
      </c>
      <c r="H275" s="448" t="s">
        <v>685</v>
      </c>
      <c r="I275" s="449">
        <v>0</v>
      </c>
      <c r="J275" s="440"/>
      <c r="K275" s="209">
        <v>44161.55</v>
      </c>
      <c r="L275" s="210"/>
      <c r="M275" s="211">
        <v>12906.64</v>
      </c>
      <c r="N275" s="211"/>
      <c r="O275" s="211">
        <v>31255</v>
      </c>
      <c r="P275" s="211"/>
      <c r="Q275" s="211">
        <v>3992</v>
      </c>
      <c r="S275" s="450">
        <v>9.0399999999999991</v>
      </c>
      <c r="U275" s="451">
        <v>7.8</v>
      </c>
      <c r="V275" s="843">
        <f t="shared" si="60"/>
        <v>9.0395377879626052E-2</v>
      </c>
      <c r="W275" s="685">
        <f t="shared" si="49"/>
        <v>4.6221203739427175E-6</v>
      </c>
      <c r="X275" s="685"/>
      <c r="Z275" s="211">
        <v>3992</v>
      </c>
      <c r="AA275" s="450">
        <v>9.0399999999999991</v>
      </c>
    </row>
    <row r="276" spans="1:27" s="444" customFormat="1" x14ac:dyDescent="0.25">
      <c r="A276" s="439"/>
      <c r="B276" s="440"/>
      <c r="C276" s="446" t="s">
        <v>469</v>
      </c>
      <c r="D276" s="440"/>
      <c r="E276" s="447">
        <v>52778</v>
      </c>
      <c r="F276" s="440"/>
      <c r="G276" s="448" t="s">
        <v>847</v>
      </c>
      <c r="H276" s="448" t="s">
        <v>685</v>
      </c>
      <c r="I276" s="449">
        <v>0</v>
      </c>
      <c r="J276" s="440"/>
      <c r="K276" s="209">
        <v>469809.97</v>
      </c>
      <c r="L276" s="210"/>
      <c r="M276" s="211">
        <v>36213.03</v>
      </c>
      <c r="N276" s="211"/>
      <c r="O276" s="211">
        <v>433597</v>
      </c>
      <c r="P276" s="211"/>
      <c r="Q276" s="211">
        <v>46133</v>
      </c>
      <c r="S276" s="450">
        <v>9.82</v>
      </c>
      <c r="U276" s="451">
        <v>9.4</v>
      </c>
      <c r="V276" s="843">
        <f t="shared" si="60"/>
        <v>9.8195021276368408E-2</v>
      </c>
      <c r="W276" s="685">
        <f t="shared" si="49"/>
        <v>4.9787236316017891E-6</v>
      </c>
      <c r="X276" s="685"/>
      <c r="Z276" s="211">
        <v>46133</v>
      </c>
      <c r="AA276" s="450">
        <v>9.82</v>
      </c>
    </row>
    <row r="277" spans="1:27" s="444" customFormat="1" x14ac:dyDescent="0.25">
      <c r="A277" s="439"/>
      <c r="B277" s="440"/>
      <c r="C277" s="446" t="s">
        <v>470</v>
      </c>
      <c r="D277" s="440"/>
      <c r="E277" s="447">
        <v>53873</v>
      </c>
      <c r="F277" s="440"/>
      <c r="G277" s="448" t="s">
        <v>847</v>
      </c>
      <c r="H277" s="448" t="s">
        <v>685</v>
      </c>
      <c r="I277" s="449">
        <v>0</v>
      </c>
      <c r="J277" s="440"/>
      <c r="K277" s="209">
        <v>363626.33</v>
      </c>
      <c r="L277" s="210"/>
      <c r="M277" s="211">
        <v>61077.14</v>
      </c>
      <c r="N277" s="211"/>
      <c r="O277" s="211">
        <v>302549</v>
      </c>
      <c r="P277" s="211"/>
      <c r="Q277" s="211">
        <v>33962</v>
      </c>
      <c r="S277" s="450">
        <v>9.34</v>
      </c>
      <c r="U277" s="451">
        <v>8.9</v>
      </c>
      <c r="V277" s="843">
        <f t="shared" si="60"/>
        <v>9.3398077086442002E-2</v>
      </c>
      <c r="W277" s="685">
        <f t="shared" si="49"/>
        <v>1.9229135579945655E-6</v>
      </c>
      <c r="X277" s="685"/>
      <c r="Z277" s="211">
        <v>33962</v>
      </c>
      <c r="AA277" s="450">
        <v>9.34</v>
      </c>
    </row>
    <row r="278" spans="1:27" s="444" customFormat="1" x14ac:dyDescent="0.25">
      <c r="A278" s="439"/>
      <c r="B278" s="440"/>
      <c r="C278" s="446" t="s">
        <v>471</v>
      </c>
      <c r="D278" s="440"/>
      <c r="E278" s="447">
        <v>48760</v>
      </c>
      <c r="F278" s="440"/>
      <c r="G278" s="448" t="s">
        <v>847</v>
      </c>
      <c r="H278" s="448" t="s">
        <v>685</v>
      </c>
      <c r="I278" s="449">
        <v>0</v>
      </c>
      <c r="J278" s="440"/>
      <c r="K278" s="209">
        <v>310501.03000000003</v>
      </c>
      <c r="L278" s="210"/>
      <c r="M278" s="211">
        <v>29325.599999999999</v>
      </c>
      <c r="N278" s="211"/>
      <c r="O278" s="211">
        <v>281175</v>
      </c>
      <c r="P278" s="211"/>
      <c r="Q278" s="211">
        <v>30586</v>
      </c>
      <c r="S278" s="450">
        <v>9.85</v>
      </c>
      <c r="U278" s="451">
        <v>9.1999999999999993</v>
      </c>
      <c r="V278" s="843">
        <f t="shared" si="60"/>
        <v>9.8505309306059302E-2</v>
      </c>
      <c r="W278" s="685">
        <f t="shared" si="49"/>
        <v>-5.3093060593117913E-6</v>
      </c>
      <c r="X278" s="685"/>
      <c r="Z278" s="211">
        <v>30586</v>
      </c>
      <c r="AA278" s="450">
        <v>9.85</v>
      </c>
    </row>
    <row r="279" spans="1:27" s="444" customFormat="1" x14ac:dyDescent="0.25">
      <c r="A279" s="439"/>
      <c r="B279" s="454"/>
      <c r="C279" s="446" t="s">
        <v>564</v>
      </c>
      <c r="D279" s="454"/>
      <c r="E279" s="447">
        <v>46934</v>
      </c>
      <c r="F279" s="454"/>
      <c r="G279" s="448" t="s">
        <v>847</v>
      </c>
      <c r="H279" s="448" t="s">
        <v>685</v>
      </c>
      <c r="I279" s="449">
        <v>0</v>
      </c>
      <c r="J279" s="440"/>
      <c r="K279" s="209">
        <v>10249.280000000001</v>
      </c>
      <c r="L279" s="210"/>
      <c r="M279" s="211">
        <v>2694.32</v>
      </c>
      <c r="N279" s="211"/>
      <c r="O279" s="211">
        <v>7555</v>
      </c>
      <c r="P279" s="211"/>
      <c r="Q279" s="211">
        <v>2041</v>
      </c>
      <c r="S279" s="450">
        <v>19.91</v>
      </c>
      <c r="U279" s="451">
        <v>3.7</v>
      </c>
      <c r="V279" s="843">
        <f t="shared" si="60"/>
        <v>0.19913593930500484</v>
      </c>
      <c r="W279" s="685">
        <f t="shared" si="49"/>
        <v>-3.593930500483955E-5</v>
      </c>
      <c r="X279" s="685"/>
      <c r="Z279" s="211">
        <v>2041</v>
      </c>
      <c r="AA279" s="450">
        <v>19.91</v>
      </c>
    </row>
    <row r="280" spans="1:27" s="444" customFormat="1" x14ac:dyDescent="0.25">
      <c r="A280" s="439"/>
      <c r="B280" s="440"/>
      <c r="C280" s="446" t="s">
        <v>565</v>
      </c>
      <c r="D280" s="440"/>
      <c r="E280" s="447">
        <v>47664</v>
      </c>
      <c r="F280" s="440"/>
      <c r="G280" s="448" t="s">
        <v>847</v>
      </c>
      <c r="H280" s="448" t="s">
        <v>685</v>
      </c>
      <c r="I280" s="449">
        <v>0</v>
      </c>
      <c r="J280" s="440"/>
      <c r="K280" s="209">
        <v>500057.41</v>
      </c>
      <c r="L280" s="210"/>
      <c r="M280" s="211">
        <v>141521.12</v>
      </c>
      <c r="N280" s="211"/>
      <c r="O280" s="211">
        <v>358536</v>
      </c>
      <c r="P280" s="211"/>
      <c r="Q280" s="211">
        <v>80315</v>
      </c>
      <c r="S280" s="450">
        <v>16.059999999999999</v>
      </c>
      <c r="U280" s="451">
        <v>4.5</v>
      </c>
      <c r="V280" s="843">
        <f t="shared" si="60"/>
        <v>0.16061155858084375</v>
      </c>
      <c r="W280" s="685">
        <f t="shared" si="49"/>
        <v>-1.1558580843756827E-5</v>
      </c>
      <c r="X280" s="685"/>
      <c r="Z280" s="211">
        <v>80315</v>
      </c>
      <c r="AA280" s="450">
        <v>16.059999999999999</v>
      </c>
    </row>
    <row r="281" spans="1:27" s="444" customFormat="1" x14ac:dyDescent="0.25">
      <c r="A281" s="439"/>
      <c r="B281" s="440"/>
      <c r="C281" s="446" t="s">
        <v>566</v>
      </c>
      <c r="D281" s="440"/>
      <c r="E281" s="447">
        <v>47664</v>
      </c>
      <c r="F281" s="440"/>
      <c r="G281" s="448" t="s">
        <v>847</v>
      </c>
      <c r="H281" s="448" t="s">
        <v>685</v>
      </c>
      <c r="I281" s="449">
        <v>0</v>
      </c>
      <c r="J281" s="440"/>
      <c r="K281" s="209">
        <v>313151.40000000002</v>
      </c>
      <c r="L281" s="210"/>
      <c r="M281" s="211">
        <v>63835.98</v>
      </c>
      <c r="N281" s="211"/>
      <c r="O281" s="211">
        <v>249315</v>
      </c>
      <c r="P281" s="211"/>
      <c r="Q281" s="211">
        <v>38756</v>
      </c>
      <c r="S281" s="450">
        <v>12.38</v>
      </c>
      <c r="U281" s="451">
        <v>6.4</v>
      </c>
      <c r="V281" s="843">
        <f t="shared" si="60"/>
        <v>0.12376122220753283</v>
      </c>
      <c r="W281" s="685">
        <f t="shared" si="49"/>
        <v>3.877779246717894E-5</v>
      </c>
      <c r="X281" s="685"/>
      <c r="Z281" s="211">
        <v>38756</v>
      </c>
      <c r="AA281" s="450">
        <v>12.38</v>
      </c>
    </row>
    <row r="282" spans="1:27" s="444" customFormat="1" x14ac:dyDescent="0.25">
      <c r="A282" s="439"/>
      <c r="B282" s="440"/>
      <c r="C282" s="446" t="s">
        <v>567</v>
      </c>
      <c r="D282" s="440"/>
      <c r="E282" s="447">
        <v>50586</v>
      </c>
      <c r="F282" s="440"/>
      <c r="G282" s="448" t="s">
        <v>847</v>
      </c>
      <c r="H282" s="448" t="s">
        <v>685</v>
      </c>
      <c r="I282" s="449">
        <v>0</v>
      </c>
      <c r="J282" s="440"/>
      <c r="K282" s="212">
        <v>252402.76</v>
      </c>
      <c r="L282" s="210"/>
      <c r="M282" s="213">
        <v>85234.65</v>
      </c>
      <c r="N282" s="211"/>
      <c r="O282" s="213">
        <v>167168</v>
      </c>
      <c r="P282" s="211"/>
      <c r="Q282" s="213">
        <v>27048</v>
      </c>
      <c r="S282" s="450">
        <v>10.72</v>
      </c>
      <c r="U282" s="451">
        <v>6.2</v>
      </c>
      <c r="V282" s="843">
        <f t="shared" si="60"/>
        <v>0.10716206114386387</v>
      </c>
      <c r="W282" s="685">
        <f t="shared" si="49"/>
        <v>3.7938856136135457E-5</v>
      </c>
      <c r="X282" s="685"/>
      <c r="Z282" s="213">
        <v>27048</v>
      </c>
      <c r="AA282" s="450">
        <v>10.72</v>
      </c>
    </row>
    <row r="283" spans="1:27" s="444" customFormat="1" x14ac:dyDescent="0.25">
      <c r="A283" s="439"/>
      <c r="B283" s="440"/>
      <c r="C283" s="446"/>
      <c r="D283" s="440"/>
      <c r="E283" s="441"/>
      <c r="F283" s="440"/>
      <c r="G283" s="448"/>
      <c r="H283" s="448"/>
      <c r="I283" s="449"/>
      <c r="J283" s="440"/>
      <c r="K283" s="209"/>
      <c r="L283" s="440"/>
      <c r="M283" s="443"/>
      <c r="N283" s="443"/>
      <c r="O283" s="443"/>
      <c r="P283" s="443"/>
      <c r="Q283" s="443"/>
      <c r="R283" s="440"/>
      <c r="S283" s="439"/>
      <c r="T283" s="440"/>
      <c r="U283" s="467"/>
      <c r="V283" s="843"/>
      <c r="W283" s="685">
        <f t="shared" si="49"/>
        <v>0</v>
      </c>
      <c r="X283" s="685"/>
      <c r="Z283" s="443"/>
      <c r="AA283" s="439"/>
    </row>
    <row r="284" spans="1:27" s="444" customFormat="1" ht="15.6" x14ac:dyDescent="0.3">
      <c r="A284" s="439"/>
      <c r="B284" s="440"/>
      <c r="C284" s="452" t="s">
        <v>529</v>
      </c>
      <c r="D284" s="440"/>
      <c r="E284" s="441"/>
      <c r="F284" s="440"/>
      <c r="G284" s="448"/>
      <c r="H284" s="448"/>
      <c r="I284" s="449"/>
      <c r="J284" s="440"/>
      <c r="K284" s="209">
        <f>+SUBTOTAL(9,K274:K282)</f>
        <v>2651209.58</v>
      </c>
      <c r="L284" s="440"/>
      <c r="M284" s="211">
        <f>+SUBTOTAL(9,M274:M282)</f>
        <v>541303.07000000007</v>
      </c>
      <c r="N284" s="443"/>
      <c r="O284" s="211">
        <f>+SUBTOTAL(9,O274:O282)</f>
        <v>2109905</v>
      </c>
      <c r="P284" s="443"/>
      <c r="Q284" s="211">
        <f>+SUBTOTAL(9,Q274:Q282)</f>
        <v>298306</v>
      </c>
      <c r="R284" s="440"/>
      <c r="S284" s="450">
        <f>Q284/K284*100</f>
        <v>11.251694405841729</v>
      </c>
      <c r="U284" s="451">
        <f>ROUND(O284/Q284,1)</f>
        <v>7.1</v>
      </c>
      <c r="V284" s="843">
        <f t="shared" ref="V284" si="61">Q284/K284</f>
        <v>0.11251694405841729</v>
      </c>
      <c r="W284" s="685">
        <f t="shared" si="49"/>
        <v>0</v>
      </c>
      <c r="X284" s="685"/>
      <c r="Z284" s="211">
        <v>298306</v>
      </c>
      <c r="AA284" s="450">
        <v>11.251694405841729</v>
      </c>
    </row>
    <row r="285" spans="1:27" s="444" customFormat="1" ht="15.6" x14ac:dyDescent="0.3">
      <c r="A285" s="439"/>
      <c r="B285" s="440"/>
      <c r="C285" s="452"/>
      <c r="D285" s="440"/>
      <c r="E285" s="441"/>
      <c r="F285" s="440"/>
      <c r="G285" s="448"/>
      <c r="H285" s="448"/>
      <c r="I285" s="449"/>
      <c r="J285" s="440"/>
      <c r="K285" s="209"/>
      <c r="L285" s="440"/>
      <c r="M285" s="443"/>
      <c r="N285" s="443"/>
      <c r="O285" s="443"/>
      <c r="P285" s="443"/>
      <c r="Q285" s="443"/>
      <c r="R285" s="440"/>
      <c r="S285" s="450"/>
      <c r="U285" s="451"/>
      <c r="V285" s="843"/>
      <c r="W285" s="685">
        <f t="shared" ref="W285:W351" si="62">S285/100-V285</f>
        <v>0</v>
      </c>
      <c r="X285" s="685"/>
      <c r="Z285" s="443"/>
      <c r="AA285" s="450"/>
    </row>
    <row r="286" spans="1:27" s="444" customFormat="1" x14ac:dyDescent="0.25">
      <c r="A286" s="439">
        <v>346.11</v>
      </c>
      <c r="B286" s="440"/>
      <c r="C286" s="446" t="s">
        <v>575</v>
      </c>
      <c r="D286" s="440"/>
      <c r="E286" s="441"/>
      <c r="F286" s="440"/>
      <c r="G286" s="448"/>
      <c r="H286" s="448"/>
      <c r="I286" s="449"/>
      <c r="J286" s="440"/>
      <c r="K286" s="209"/>
      <c r="L286" s="440"/>
      <c r="M286" s="443"/>
      <c r="N286" s="443"/>
      <c r="O286" s="443"/>
      <c r="P286" s="443"/>
      <c r="Q286" s="443"/>
      <c r="R286" s="440"/>
      <c r="S286" s="450"/>
      <c r="U286" s="451"/>
      <c r="V286" s="843"/>
      <c r="W286" s="685">
        <f t="shared" si="62"/>
        <v>0</v>
      </c>
      <c r="X286" s="685"/>
      <c r="Z286" s="443"/>
      <c r="AA286" s="450"/>
    </row>
    <row r="287" spans="1:27" s="444" customFormat="1" x14ac:dyDescent="0.25">
      <c r="A287" s="439"/>
      <c r="B287" s="440"/>
      <c r="C287" s="446" t="s">
        <v>541</v>
      </c>
      <c r="D287" s="440"/>
      <c r="E287" s="447">
        <v>50221</v>
      </c>
      <c r="F287" s="440"/>
      <c r="G287" s="448" t="s">
        <v>847</v>
      </c>
      <c r="H287" s="448" t="s">
        <v>685</v>
      </c>
      <c r="I287" s="449">
        <v>0</v>
      </c>
      <c r="J287" s="440"/>
      <c r="K287" s="209">
        <v>124261.07</v>
      </c>
      <c r="L287" s="210"/>
      <c r="M287" s="211">
        <v>9773.49</v>
      </c>
      <c r="N287" s="211"/>
      <c r="O287" s="211">
        <v>114488</v>
      </c>
      <c r="P287" s="211"/>
      <c r="Q287" s="211">
        <v>8911</v>
      </c>
      <c r="S287" s="450">
        <v>7.17</v>
      </c>
      <c r="U287" s="451">
        <v>12.8</v>
      </c>
      <c r="V287" s="843">
        <f t="shared" ref="V287:V289" si="63">Q287/K287</f>
        <v>7.1711920716600944E-2</v>
      </c>
      <c r="W287" s="685">
        <f t="shared" si="62"/>
        <v>-1.1920716600943848E-5</v>
      </c>
      <c r="X287" s="685"/>
      <c r="Z287" s="211">
        <v>8911</v>
      </c>
      <c r="AA287" s="450">
        <v>7.17</v>
      </c>
    </row>
    <row r="288" spans="1:27" s="444" customFormat="1" x14ac:dyDescent="0.25">
      <c r="A288" s="439"/>
      <c r="B288" s="440"/>
      <c r="C288" s="446" t="s">
        <v>542</v>
      </c>
      <c r="D288" s="440"/>
      <c r="E288" s="447">
        <v>47664</v>
      </c>
      <c r="F288" s="440"/>
      <c r="G288" s="448" t="s">
        <v>847</v>
      </c>
      <c r="H288" s="448" t="s">
        <v>685</v>
      </c>
      <c r="I288" s="449">
        <v>0</v>
      </c>
      <c r="J288" s="440"/>
      <c r="K288" s="209">
        <v>324714.64</v>
      </c>
      <c r="L288" s="210"/>
      <c r="M288" s="211">
        <v>95474.36</v>
      </c>
      <c r="N288" s="211"/>
      <c r="O288" s="211">
        <v>229240</v>
      </c>
      <c r="P288" s="211"/>
      <c r="Q288" s="211">
        <v>32087</v>
      </c>
      <c r="S288" s="450">
        <v>9.8800000000000008</v>
      </c>
      <c r="U288" s="451">
        <v>7.1</v>
      </c>
      <c r="V288" s="843">
        <f t="shared" si="63"/>
        <v>9.8815994252676745E-2</v>
      </c>
      <c r="W288" s="685">
        <f t="shared" si="62"/>
        <v>-1.5994252676732046E-5</v>
      </c>
      <c r="X288" s="685"/>
      <c r="Z288" s="211">
        <v>32087</v>
      </c>
      <c r="AA288" s="450">
        <v>9.8800000000000008</v>
      </c>
    </row>
    <row r="289" spans="1:27" s="444" customFormat="1" x14ac:dyDescent="0.25">
      <c r="A289" s="439"/>
      <c r="B289" s="440"/>
      <c r="C289" s="446" t="s">
        <v>543</v>
      </c>
      <c r="D289" s="440"/>
      <c r="E289" s="447">
        <v>48029</v>
      </c>
      <c r="F289" s="440"/>
      <c r="G289" s="448" t="s">
        <v>847</v>
      </c>
      <c r="H289" s="448" t="s">
        <v>685</v>
      </c>
      <c r="I289" s="449">
        <v>0</v>
      </c>
      <c r="J289" s="440"/>
      <c r="K289" s="212">
        <v>333519.96999999997</v>
      </c>
      <c r="L289" s="210"/>
      <c r="M289" s="213">
        <v>46845.66</v>
      </c>
      <c r="N289" s="211"/>
      <c r="O289" s="213">
        <v>286674</v>
      </c>
      <c r="P289" s="211"/>
      <c r="Q289" s="213">
        <v>25531</v>
      </c>
      <c r="S289" s="450">
        <v>7.66</v>
      </c>
      <c r="U289" s="451">
        <v>11.2</v>
      </c>
      <c r="V289" s="843">
        <f t="shared" si="63"/>
        <v>7.6550138811777899E-2</v>
      </c>
      <c r="W289" s="685">
        <f t="shared" si="62"/>
        <v>4.9861188222102837E-5</v>
      </c>
      <c r="X289" s="685"/>
      <c r="Z289" s="213">
        <v>25531</v>
      </c>
      <c r="AA289" s="450">
        <v>7.66</v>
      </c>
    </row>
    <row r="290" spans="1:27" s="444" customFormat="1" x14ac:dyDescent="0.25">
      <c r="A290" s="439"/>
      <c r="B290" s="440"/>
      <c r="C290" s="446"/>
      <c r="D290" s="440"/>
      <c r="E290" s="441"/>
      <c r="F290" s="440"/>
      <c r="G290" s="448"/>
      <c r="H290" s="448"/>
      <c r="I290" s="449"/>
      <c r="J290" s="440"/>
      <c r="K290" s="209"/>
      <c r="L290" s="440"/>
      <c r="M290" s="443"/>
      <c r="N290" s="443"/>
      <c r="O290" s="443"/>
      <c r="P290" s="443"/>
      <c r="Q290" s="443"/>
      <c r="R290" s="440"/>
      <c r="S290" s="450"/>
      <c r="U290" s="451"/>
      <c r="V290" s="843"/>
      <c r="W290" s="685">
        <f t="shared" si="62"/>
        <v>0</v>
      </c>
      <c r="X290" s="685"/>
      <c r="Z290" s="443"/>
      <c r="AA290" s="450"/>
    </row>
    <row r="291" spans="1:27" s="444" customFormat="1" ht="15.6" x14ac:dyDescent="0.3">
      <c r="A291" s="439"/>
      <c r="B291" s="440"/>
      <c r="C291" s="452" t="s">
        <v>576</v>
      </c>
      <c r="D291" s="440"/>
      <c r="E291" s="441"/>
      <c r="F291" s="440"/>
      <c r="G291" s="448"/>
      <c r="H291" s="448"/>
      <c r="I291" s="449"/>
      <c r="J291" s="440"/>
      <c r="K291" s="209">
        <f>+SUBTOTAL(9,K287:K289)</f>
        <v>782495.67999999993</v>
      </c>
      <c r="L291" s="210"/>
      <c r="M291" s="211">
        <f>+SUBTOTAL(9,M287:M289)</f>
        <v>152093.51</v>
      </c>
      <c r="N291" s="211"/>
      <c r="O291" s="211">
        <f>+SUBTOTAL(9,O287:O289)</f>
        <v>630402</v>
      </c>
      <c r="P291" s="211"/>
      <c r="Q291" s="211">
        <f>+SUBTOTAL(9,Q287:Q289)</f>
        <v>66529</v>
      </c>
      <c r="R291" s="440"/>
      <c r="S291" s="450">
        <f>Q291/K291*100</f>
        <v>8.5021555646160252</v>
      </c>
      <c r="T291" s="440"/>
      <c r="U291" s="451">
        <f>ROUND(O291/Q291,1)</f>
        <v>9.5</v>
      </c>
      <c r="V291" s="843">
        <f t="shared" ref="V291" si="64">Q291/K291</f>
        <v>8.5021555646160249E-2</v>
      </c>
      <c r="W291" s="685">
        <f t="shared" si="62"/>
        <v>0</v>
      </c>
      <c r="X291" s="685"/>
      <c r="Z291" s="211">
        <v>66529</v>
      </c>
      <c r="AA291" s="450">
        <v>8.5021555646160252</v>
      </c>
    </row>
    <row r="292" spans="1:27" s="444" customFormat="1" ht="15.6" x14ac:dyDescent="0.3">
      <c r="A292" s="439"/>
      <c r="B292" s="440"/>
      <c r="C292" s="452"/>
      <c r="D292" s="440"/>
      <c r="E292" s="441"/>
      <c r="F292" s="440"/>
      <c r="G292" s="448"/>
      <c r="H292" s="448"/>
      <c r="I292" s="449"/>
      <c r="J292" s="440"/>
      <c r="K292" s="209"/>
      <c r="L292" s="210"/>
      <c r="M292" s="211"/>
      <c r="N292" s="211"/>
      <c r="O292" s="211"/>
      <c r="P292" s="211"/>
      <c r="Q292" s="211"/>
      <c r="R292" s="440"/>
      <c r="S292" s="450"/>
      <c r="T292" s="440"/>
      <c r="U292" s="451"/>
      <c r="V292" s="843"/>
      <c r="W292" s="685">
        <f t="shared" si="62"/>
        <v>0</v>
      </c>
      <c r="X292" s="685"/>
      <c r="Z292" s="211"/>
      <c r="AA292" s="450"/>
    </row>
    <row r="293" spans="1:27" s="444" customFormat="1" ht="15.6" x14ac:dyDescent="0.3">
      <c r="A293" s="439">
        <v>348</v>
      </c>
      <c r="B293" s="440"/>
      <c r="C293" s="452" t="s">
        <v>848</v>
      </c>
      <c r="D293" s="440"/>
      <c r="E293" s="441" t="s">
        <v>721</v>
      </c>
      <c r="F293" s="440"/>
      <c r="G293" s="448" t="s">
        <v>849</v>
      </c>
      <c r="H293" s="448"/>
      <c r="I293" s="449">
        <v>0</v>
      </c>
      <c r="J293" s="440"/>
      <c r="K293" s="212">
        <v>4776731.5599999996</v>
      </c>
      <c r="L293" s="210"/>
      <c r="M293" s="213">
        <v>95635.37</v>
      </c>
      <c r="N293" s="211"/>
      <c r="O293" s="213">
        <v>4681096</v>
      </c>
      <c r="P293" s="211"/>
      <c r="Q293" s="213">
        <v>238466</v>
      </c>
      <c r="R293" s="440"/>
      <c r="S293" s="450">
        <v>4.99</v>
      </c>
      <c r="T293" s="440"/>
      <c r="U293" s="451">
        <v>19.600000000000001</v>
      </c>
      <c r="V293" s="843">
        <f t="shared" ref="V293" si="65">Q293/K293</f>
        <v>4.992242017468531E-2</v>
      </c>
      <c r="W293" s="685">
        <f t="shared" si="62"/>
        <v>-2.2420174685310046E-5</v>
      </c>
      <c r="X293" s="685"/>
      <c r="Z293" s="213">
        <v>238466</v>
      </c>
      <c r="AA293" s="450">
        <v>4.99</v>
      </c>
    </row>
    <row r="294" spans="1:27" s="444" customFormat="1" x14ac:dyDescent="0.25">
      <c r="A294" s="439"/>
      <c r="B294" s="440"/>
      <c r="C294" s="440"/>
      <c r="D294" s="440"/>
      <c r="E294" s="441"/>
      <c r="F294" s="440"/>
      <c r="G294" s="448"/>
      <c r="H294" s="448"/>
      <c r="I294" s="449"/>
      <c r="J294" s="440"/>
      <c r="K294" s="209"/>
      <c r="L294" s="210"/>
      <c r="M294" s="211"/>
      <c r="N294" s="211"/>
      <c r="O294" s="211"/>
      <c r="P294" s="211"/>
      <c r="Q294" s="211"/>
      <c r="R294" s="440"/>
      <c r="S294" s="439"/>
      <c r="T294" s="440"/>
      <c r="U294" s="467"/>
      <c r="V294" s="843"/>
      <c r="W294" s="685">
        <f t="shared" si="62"/>
        <v>0</v>
      </c>
      <c r="X294" s="685"/>
      <c r="Z294" s="211"/>
      <c r="AA294" s="439"/>
    </row>
    <row r="295" spans="1:27" ht="15.6" x14ac:dyDescent="0.3">
      <c r="A295" s="438"/>
      <c r="C295" s="471" t="s">
        <v>577</v>
      </c>
      <c r="G295" s="424"/>
      <c r="I295" s="420"/>
      <c r="J295" s="416"/>
      <c r="K295" s="214">
        <f>SUBTOTAL(9,K171:K293)</f>
        <v>1895861022.3200006</v>
      </c>
      <c r="L295" s="457"/>
      <c r="M295" s="215">
        <f>SUBTOTAL(9,M171:M293)</f>
        <v>697385809.49999988</v>
      </c>
      <c r="N295" s="458"/>
      <c r="O295" s="215">
        <f>SUBTOTAL(9,O171:O293)</f>
        <v>1218392431</v>
      </c>
      <c r="P295" s="458"/>
      <c r="Q295" s="215">
        <f>SUBTOTAL(9,Q171:Q293)</f>
        <v>80310360</v>
      </c>
      <c r="R295" s="416"/>
      <c r="S295" s="459">
        <f>ROUND(Q295/K295*100,2)</f>
        <v>4.24</v>
      </c>
      <c r="U295" s="437"/>
      <c r="V295" s="843">
        <f t="shared" ref="V295" si="66">Q295/K295</f>
        <v>4.2360889883016166E-2</v>
      </c>
      <c r="W295" s="685">
        <f t="shared" si="62"/>
        <v>3.9110116983834264E-5</v>
      </c>
      <c r="X295" s="685"/>
      <c r="Z295" s="215">
        <v>80310360</v>
      </c>
      <c r="AA295" s="459">
        <v>4.24</v>
      </c>
    </row>
    <row r="296" spans="1:27" ht="15.6" x14ac:dyDescent="0.3">
      <c r="A296" s="438"/>
      <c r="C296" s="471"/>
      <c r="G296" s="424"/>
      <c r="I296" s="420"/>
      <c r="J296" s="416"/>
      <c r="K296" s="216"/>
      <c r="L296" s="416"/>
      <c r="M296" s="460"/>
      <c r="N296" s="460"/>
      <c r="O296" s="460"/>
      <c r="P296" s="460"/>
      <c r="Q296" s="460"/>
      <c r="R296" s="416"/>
      <c r="S296" s="438"/>
      <c r="U296" s="437"/>
      <c r="V296" s="842"/>
      <c r="W296" s="685">
        <f t="shared" si="62"/>
        <v>0</v>
      </c>
      <c r="X296" s="685"/>
      <c r="Z296" s="460"/>
      <c r="AA296" s="438"/>
    </row>
    <row r="297" spans="1:27" x14ac:dyDescent="0.25">
      <c r="A297" s="438"/>
      <c r="G297" s="424"/>
      <c r="I297" s="456"/>
      <c r="K297" s="216"/>
      <c r="M297" s="436"/>
      <c r="N297" s="436"/>
      <c r="O297" s="436"/>
      <c r="P297" s="436"/>
      <c r="Q297" s="436"/>
      <c r="S297" s="438"/>
      <c r="U297" s="437"/>
      <c r="V297" s="842"/>
      <c r="W297" s="685">
        <f t="shared" si="62"/>
        <v>0</v>
      </c>
      <c r="X297" s="685"/>
      <c r="Z297" s="436"/>
      <c r="AA297" s="438"/>
    </row>
    <row r="298" spans="1:27" ht="15.6" x14ac:dyDescent="0.3">
      <c r="A298" s="438"/>
      <c r="C298" s="417" t="s">
        <v>578</v>
      </c>
      <c r="G298" s="424"/>
      <c r="I298" s="456"/>
      <c r="K298" s="216"/>
      <c r="M298" s="436"/>
      <c r="N298" s="436"/>
      <c r="O298" s="436"/>
      <c r="P298" s="436"/>
      <c r="Q298" s="436"/>
      <c r="S298" s="438"/>
      <c r="U298" s="437"/>
      <c r="V298" s="842"/>
      <c r="W298" s="685">
        <f t="shared" si="62"/>
        <v>0</v>
      </c>
      <c r="X298" s="685"/>
      <c r="Z298" s="436"/>
      <c r="AA298" s="438"/>
    </row>
    <row r="299" spans="1:27" ht="15.6" x14ac:dyDescent="0.3">
      <c r="A299" s="438"/>
      <c r="C299" s="427"/>
      <c r="G299" s="424"/>
      <c r="I299" s="456"/>
      <c r="K299" s="216"/>
      <c r="M299" s="436"/>
      <c r="N299" s="436"/>
      <c r="O299" s="436"/>
      <c r="P299" s="436"/>
      <c r="Q299" s="436"/>
      <c r="S299" s="438"/>
      <c r="U299" s="437"/>
      <c r="V299" s="842"/>
      <c r="W299" s="685">
        <f t="shared" si="62"/>
        <v>0</v>
      </c>
      <c r="X299" s="685"/>
      <c r="Z299" s="436"/>
      <c r="AA299" s="438"/>
    </row>
    <row r="300" spans="1:27" x14ac:dyDescent="0.25">
      <c r="A300" s="438">
        <v>350.1</v>
      </c>
      <c r="C300" s="461" t="s">
        <v>38</v>
      </c>
      <c r="E300" s="447"/>
      <c r="G300" s="448" t="s">
        <v>701</v>
      </c>
      <c r="H300" s="448"/>
      <c r="I300" s="449">
        <v>0</v>
      </c>
      <c r="J300" s="440"/>
      <c r="K300" s="209">
        <v>13037871.039999999</v>
      </c>
      <c r="L300" s="210"/>
      <c r="M300" s="211">
        <v>3769177.55</v>
      </c>
      <c r="N300" s="211"/>
      <c r="O300" s="211">
        <v>9268693</v>
      </c>
      <c r="P300" s="211"/>
      <c r="Q300" s="211">
        <v>143445</v>
      </c>
      <c r="R300" s="444"/>
      <c r="S300" s="450">
        <v>1.1000000000000001</v>
      </c>
      <c r="T300" s="444"/>
      <c r="U300" s="451">
        <v>64.599999999999994</v>
      </c>
      <c r="V300" s="843">
        <f t="shared" ref="V300:V330" si="67">Q300/K300</f>
        <v>1.100217969328833E-2</v>
      </c>
      <c r="W300" s="685">
        <f t="shared" si="62"/>
        <v>-2.1796932883292458E-6</v>
      </c>
      <c r="X300" s="685"/>
      <c r="Z300" s="211">
        <v>143445</v>
      </c>
      <c r="AA300" s="450">
        <v>1.1000000000000001</v>
      </c>
    </row>
    <row r="301" spans="1:27" x14ac:dyDescent="0.25">
      <c r="A301" s="438">
        <v>350.16</v>
      </c>
      <c r="C301" s="461" t="s">
        <v>580</v>
      </c>
      <c r="E301" s="447"/>
      <c r="G301" s="448" t="s">
        <v>701</v>
      </c>
      <c r="H301" s="448"/>
      <c r="I301" s="449">
        <v>0</v>
      </c>
      <c r="J301" s="440"/>
      <c r="K301" s="209">
        <v>2478317.94</v>
      </c>
      <c r="L301" s="210"/>
      <c r="M301" s="211">
        <v>-34424.42</v>
      </c>
      <c r="N301" s="211"/>
      <c r="O301" s="211">
        <v>2512742</v>
      </c>
      <c r="P301" s="211"/>
      <c r="Q301" s="211">
        <v>34956</v>
      </c>
      <c r="R301" s="444"/>
      <c r="S301" s="450">
        <v>1.41</v>
      </c>
      <c r="T301" s="444"/>
      <c r="U301" s="451">
        <v>71.900000000000006</v>
      </c>
      <c r="V301" s="843">
        <f t="shared" si="67"/>
        <v>1.410472782196783E-2</v>
      </c>
      <c r="W301" s="685">
        <f t="shared" si="62"/>
        <v>-4.7278219678301148E-6</v>
      </c>
      <c r="X301" s="685"/>
      <c r="Z301" s="211">
        <v>34956</v>
      </c>
      <c r="AA301" s="450">
        <v>1.41</v>
      </c>
    </row>
    <row r="302" spans="1:27" x14ac:dyDescent="0.25">
      <c r="A302" s="438">
        <v>350.17</v>
      </c>
      <c r="C302" s="461" t="s">
        <v>579</v>
      </c>
      <c r="E302" s="447"/>
      <c r="G302" s="448" t="s">
        <v>701</v>
      </c>
      <c r="H302" s="448"/>
      <c r="I302" s="449">
        <v>0</v>
      </c>
      <c r="J302" s="440"/>
      <c r="K302" s="209">
        <v>20438119.84</v>
      </c>
      <c r="L302" s="210"/>
      <c r="M302" s="211">
        <v>9201695.75</v>
      </c>
      <c r="N302" s="211"/>
      <c r="O302" s="211">
        <v>11236424</v>
      </c>
      <c r="P302" s="211"/>
      <c r="Q302" s="211">
        <v>216465</v>
      </c>
      <c r="R302" s="444"/>
      <c r="S302" s="450">
        <v>1.06</v>
      </c>
      <c r="T302" s="444"/>
      <c r="U302" s="451">
        <v>51.9</v>
      </c>
      <c r="V302" s="843">
        <f t="shared" si="67"/>
        <v>1.0591238415989248E-2</v>
      </c>
      <c r="W302" s="685">
        <f t="shared" si="62"/>
        <v>8.7615840107524434E-6</v>
      </c>
      <c r="X302" s="685"/>
      <c r="Z302" s="211">
        <v>216465</v>
      </c>
      <c r="AA302" s="450">
        <v>1.06</v>
      </c>
    </row>
    <row r="303" spans="1:27" x14ac:dyDescent="0.25">
      <c r="A303" s="438">
        <v>350.99</v>
      </c>
      <c r="C303" s="461" t="s">
        <v>581</v>
      </c>
      <c r="E303" s="447"/>
      <c r="G303" s="448" t="s">
        <v>701</v>
      </c>
      <c r="H303" s="448"/>
      <c r="I303" s="449">
        <v>0</v>
      </c>
      <c r="J303" s="440"/>
      <c r="K303" s="209">
        <v>172388.53</v>
      </c>
      <c r="L303" s="210"/>
      <c r="M303" s="211">
        <v>39558.92</v>
      </c>
      <c r="N303" s="211"/>
      <c r="O303" s="211">
        <v>132830</v>
      </c>
      <c r="P303" s="211"/>
      <c r="Q303" s="211">
        <v>2066</v>
      </c>
      <c r="R303" s="444"/>
      <c r="S303" s="450">
        <v>1.2</v>
      </c>
      <c r="T303" s="444"/>
      <c r="U303" s="451">
        <v>64.3</v>
      </c>
      <c r="V303" s="843">
        <f t="shared" si="67"/>
        <v>1.1984556049059644E-2</v>
      </c>
      <c r="W303" s="685">
        <f t="shared" si="62"/>
        <v>1.5443950940356374E-5</v>
      </c>
      <c r="X303" s="685"/>
      <c r="Z303" s="211">
        <v>2066</v>
      </c>
      <c r="AA303" s="450">
        <v>1.2</v>
      </c>
    </row>
    <row r="304" spans="1:27" x14ac:dyDescent="0.25">
      <c r="A304" s="438">
        <v>352</v>
      </c>
      <c r="C304" s="408" t="s">
        <v>582</v>
      </c>
      <c r="E304" s="447"/>
      <c r="G304" s="448" t="s">
        <v>702</v>
      </c>
      <c r="H304" s="448"/>
      <c r="I304" s="449">
        <v>-5</v>
      </c>
      <c r="J304" s="440"/>
      <c r="K304" s="209">
        <v>3818787.78</v>
      </c>
      <c r="L304" s="210"/>
      <c r="M304" s="211">
        <v>1232450.67</v>
      </c>
      <c r="N304" s="211"/>
      <c r="O304" s="211">
        <v>2777276</v>
      </c>
      <c r="P304" s="211"/>
      <c r="Q304" s="211">
        <v>58188</v>
      </c>
      <c r="R304" s="444"/>
      <c r="S304" s="450">
        <v>1.52</v>
      </c>
      <c r="T304" s="444"/>
      <c r="U304" s="451">
        <v>47.7</v>
      </c>
      <c r="V304" s="843">
        <f t="shared" si="67"/>
        <v>1.5237296061526625E-2</v>
      </c>
      <c r="W304" s="685">
        <f t="shared" si="62"/>
        <v>-3.7296061526624971E-5</v>
      </c>
      <c r="X304" s="685"/>
      <c r="Z304" s="211">
        <v>58188</v>
      </c>
      <c r="AA304" s="450">
        <v>1.52</v>
      </c>
    </row>
    <row r="305" spans="1:27" x14ac:dyDescent="0.25">
      <c r="A305" s="438">
        <v>352.6</v>
      </c>
      <c r="C305" s="408" t="s">
        <v>583</v>
      </c>
      <c r="E305" s="447"/>
      <c r="G305" s="448" t="s">
        <v>702</v>
      </c>
      <c r="H305" s="448"/>
      <c r="I305" s="449">
        <v>-5</v>
      </c>
      <c r="J305" s="440"/>
      <c r="K305" s="209">
        <v>1759633.82</v>
      </c>
      <c r="L305" s="210"/>
      <c r="M305" s="211">
        <v>68051.58</v>
      </c>
      <c r="N305" s="211"/>
      <c r="O305" s="211">
        <v>1779564</v>
      </c>
      <c r="P305" s="211"/>
      <c r="Q305" s="211">
        <v>28096</v>
      </c>
      <c r="R305" s="444"/>
      <c r="S305" s="450">
        <v>1.6</v>
      </c>
      <c r="T305" s="444"/>
      <c r="U305" s="451">
        <v>63.3</v>
      </c>
      <c r="V305" s="843">
        <f t="shared" si="67"/>
        <v>1.5966958398196732E-2</v>
      </c>
      <c r="W305" s="685">
        <f t="shared" si="62"/>
        <v>3.3041601803267956E-5</v>
      </c>
      <c r="X305" s="685"/>
      <c r="Z305" s="211">
        <v>28096</v>
      </c>
      <c r="AA305" s="450">
        <v>1.6</v>
      </c>
    </row>
    <row r="306" spans="1:27" x14ac:dyDescent="0.25">
      <c r="A306" s="438">
        <v>352.7</v>
      </c>
      <c r="C306" s="444" t="s">
        <v>584</v>
      </c>
      <c r="E306" s="447"/>
      <c r="G306" s="448" t="s">
        <v>702</v>
      </c>
      <c r="H306" s="448"/>
      <c r="I306" s="449">
        <v>-5</v>
      </c>
      <c r="J306" s="440"/>
      <c r="K306" s="209">
        <v>2270219.17</v>
      </c>
      <c r="L306" s="210"/>
      <c r="M306" s="211">
        <v>1182926.1399999999</v>
      </c>
      <c r="N306" s="211"/>
      <c r="O306" s="211">
        <v>1200804</v>
      </c>
      <c r="P306" s="211"/>
      <c r="Q306" s="211">
        <v>29883</v>
      </c>
      <c r="R306" s="444"/>
      <c r="S306" s="450">
        <v>1.32</v>
      </c>
      <c r="T306" s="444"/>
      <c r="U306" s="451">
        <v>40.200000000000003</v>
      </c>
      <c r="V306" s="843">
        <f t="shared" si="67"/>
        <v>1.3163046279800377E-2</v>
      </c>
      <c r="W306" s="685">
        <f t="shared" si="62"/>
        <v>3.6953720199623188E-5</v>
      </c>
      <c r="X306" s="685"/>
      <c r="Z306" s="211">
        <v>29883</v>
      </c>
      <c r="AA306" s="450">
        <v>1.32</v>
      </c>
    </row>
    <row r="307" spans="1:27" x14ac:dyDescent="0.25">
      <c r="A307" s="438">
        <v>352.9</v>
      </c>
      <c r="C307" s="408" t="s">
        <v>585</v>
      </c>
      <c r="E307" s="447"/>
      <c r="G307" s="448" t="s">
        <v>702</v>
      </c>
      <c r="H307" s="448"/>
      <c r="I307" s="449">
        <v>-5</v>
      </c>
      <c r="J307" s="440"/>
      <c r="K307" s="209">
        <v>1956303.54</v>
      </c>
      <c r="L307" s="210"/>
      <c r="M307" s="211">
        <v>298137.78999999998</v>
      </c>
      <c r="N307" s="211"/>
      <c r="O307" s="211">
        <v>1755981</v>
      </c>
      <c r="P307" s="211"/>
      <c r="Q307" s="211">
        <v>29470</v>
      </c>
      <c r="R307" s="444"/>
      <c r="S307" s="450">
        <v>1.51</v>
      </c>
      <c r="T307" s="444"/>
      <c r="U307" s="451">
        <v>59.6</v>
      </c>
      <c r="V307" s="843">
        <f t="shared" si="67"/>
        <v>1.5064124455860259E-2</v>
      </c>
      <c r="W307" s="685">
        <f t="shared" si="62"/>
        <v>3.5875544139741394E-5</v>
      </c>
      <c r="X307" s="685"/>
      <c r="Z307" s="211">
        <v>29470</v>
      </c>
      <c r="AA307" s="450">
        <v>1.51</v>
      </c>
    </row>
    <row r="308" spans="1:27" x14ac:dyDescent="0.25">
      <c r="A308" s="438">
        <v>353</v>
      </c>
      <c r="C308" s="408" t="s">
        <v>586</v>
      </c>
      <c r="E308" s="447"/>
      <c r="G308" s="448" t="s">
        <v>686</v>
      </c>
      <c r="H308" s="448"/>
      <c r="I308" s="449">
        <v>-10</v>
      </c>
      <c r="J308" s="440"/>
      <c r="K308" s="209">
        <v>157933119.28999999</v>
      </c>
      <c r="L308" s="210"/>
      <c r="M308" s="211">
        <v>45791173.810000002</v>
      </c>
      <c r="N308" s="211"/>
      <c r="O308" s="211">
        <v>127935257</v>
      </c>
      <c r="P308" s="211"/>
      <c r="Q308" s="211">
        <v>3642533</v>
      </c>
      <c r="R308" s="444"/>
      <c r="S308" s="450">
        <v>2.31</v>
      </c>
      <c r="T308" s="444"/>
      <c r="U308" s="451">
        <v>35.1</v>
      </c>
      <c r="V308" s="843">
        <f t="shared" si="67"/>
        <v>2.3063769121861685E-2</v>
      </c>
      <c r="W308" s="685">
        <f t="shared" si="62"/>
        <v>3.6230878138313743E-5</v>
      </c>
      <c r="X308" s="685"/>
      <c r="Z308" s="211">
        <v>3642533</v>
      </c>
      <c r="AA308" s="450">
        <v>2.31</v>
      </c>
    </row>
    <row r="309" spans="1:27" x14ac:dyDescent="0.25">
      <c r="A309" s="438">
        <v>353.6</v>
      </c>
      <c r="C309" s="408" t="s">
        <v>587</v>
      </c>
      <c r="E309" s="447"/>
      <c r="G309" s="448" t="s">
        <v>686</v>
      </c>
      <c r="H309" s="448"/>
      <c r="I309" s="449">
        <v>-10</v>
      </c>
      <c r="J309" s="440"/>
      <c r="K309" s="209">
        <v>108797057.09</v>
      </c>
      <c r="L309" s="210"/>
      <c r="M309" s="211">
        <v>6534012.4800000004</v>
      </c>
      <c r="N309" s="211"/>
      <c r="O309" s="211">
        <v>113142750</v>
      </c>
      <c r="P309" s="211"/>
      <c r="Q309" s="211">
        <v>2669975</v>
      </c>
      <c r="R309" s="444"/>
      <c r="S309" s="450">
        <v>2.4500000000000002</v>
      </c>
      <c r="T309" s="444"/>
      <c r="U309" s="451">
        <v>42.4</v>
      </c>
      <c r="V309" s="843">
        <f t="shared" si="67"/>
        <v>2.4540875198410202E-2</v>
      </c>
      <c r="W309" s="685">
        <f t="shared" si="62"/>
        <v>-4.0875198410200708E-5</v>
      </c>
      <c r="X309" s="685"/>
      <c r="Z309" s="211">
        <v>2669975</v>
      </c>
      <c r="AA309" s="450">
        <v>2.4500000000000002</v>
      </c>
    </row>
    <row r="310" spans="1:27" x14ac:dyDescent="0.25">
      <c r="A310" s="438">
        <v>353.7</v>
      </c>
      <c r="C310" s="444" t="s">
        <v>588</v>
      </c>
      <c r="E310" s="447"/>
      <c r="G310" s="448" t="s">
        <v>686</v>
      </c>
      <c r="H310" s="448"/>
      <c r="I310" s="449">
        <v>-10</v>
      </c>
      <c r="J310" s="440"/>
      <c r="K310" s="209">
        <v>198771431.59999999</v>
      </c>
      <c r="L310" s="210"/>
      <c r="M310" s="211">
        <v>67306052.129999995</v>
      </c>
      <c r="N310" s="211"/>
      <c r="O310" s="211">
        <v>151342523</v>
      </c>
      <c r="P310" s="211"/>
      <c r="Q310" s="211">
        <v>4951422</v>
      </c>
      <c r="R310" s="444"/>
      <c r="S310" s="450">
        <v>2.4900000000000002</v>
      </c>
      <c r="T310" s="444"/>
      <c r="U310" s="451">
        <v>30.6</v>
      </c>
      <c r="V310" s="843">
        <f t="shared" si="67"/>
        <v>2.4910128986564084E-2</v>
      </c>
      <c r="W310" s="685">
        <f t="shared" si="62"/>
        <v>-1.0128986564082038E-5</v>
      </c>
      <c r="X310" s="685"/>
      <c r="Z310" s="211">
        <v>4951422</v>
      </c>
      <c r="AA310" s="450">
        <v>2.4900000000000002</v>
      </c>
    </row>
    <row r="311" spans="1:27" x14ac:dyDescent="0.25">
      <c r="A311" s="438">
        <v>353.8</v>
      </c>
      <c r="C311" s="444" t="s">
        <v>589</v>
      </c>
      <c r="E311" s="447"/>
      <c r="G311" s="448" t="s">
        <v>686</v>
      </c>
      <c r="H311" s="448"/>
      <c r="I311" s="449">
        <v>-10</v>
      </c>
      <c r="J311" s="440"/>
      <c r="K311" s="209">
        <v>405246.36</v>
      </c>
      <c r="L311" s="210"/>
      <c r="M311" s="211">
        <v>193972.31</v>
      </c>
      <c r="N311" s="211"/>
      <c r="O311" s="211">
        <v>251799</v>
      </c>
      <c r="P311" s="211"/>
      <c r="Q311" s="211">
        <v>9978</v>
      </c>
      <c r="R311" s="444"/>
      <c r="S311" s="450">
        <v>2.46</v>
      </c>
      <c r="T311" s="444"/>
      <c r="U311" s="451">
        <v>25.2</v>
      </c>
      <c r="V311" s="843">
        <f t="shared" si="67"/>
        <v>2.4622059529418105E-2</v>
      </c>
      <c r="W311" s="685">
        <f t="shared" si="62"/>
        <v>-2.2059529418104462E-5</v>
      </c>
      <c r="X311" s="685"/>
      <c r="Z311" s="211">
        <v>9978</v>
      </c>
      <c r="AA311" s="450">
        <v>2.46</v>
      </c>
    </row>
    <row r="312" spans="1:27" x14ac:dyDescent="0.25">
      <c r="A312" s="438">
        <v>353.9</v>
      </c>
      <c r="C312" s="444" t="s">
        <v>590</v>
      </c>
      <c r="E312" s="447"/>
      <c r="G312" s="448" t="s">
        <v>686</v>
      </c>
      <c r="H312" s="448"/>
      <c r="I312" s="449">
        <v>-10</v>
      </c>
      <c r="J312" s="440"/>
      <c r="K312" s="209">
        <v>129568728.68000001</v>
      </c>
      <c r="L312" s="210"/>
      <c r="M312" s="211">
        <v>38323241.859999999</v>
      </c>
      <c r="N312" s="211"/>
      <c r="O312" s="211">
        <v>104202360</v>
      </c>
      <c r="P312" s="211"/>
      <c r="Q312" s="211">
        <v>2697721</v>
      </c>
      <c r="R312" s="444"/>
      <c r="S312" s="450">
        <v>2.08</v>
      </c>
      <c r="T312" s="444"/>
      <c r="U312" s="451">
        <v>38.6</v>
      </c>
      <c r="V312" s="843">
        <f t="shared" si="67"/>
        <v>2.0820772322792849E-2</v>
      </c>
      <c r="W312" s="685">
        <f t="shared" si="62"/>
        <v>-2.077232279285024E-5</v>
      </c>
      <c r="X312" s="685"/>
      <c r="Z312" s="211">
        <v>2697721</v>
      </c>
      <c r="AA312" s="450">
        <v>2.08</v>
      </c>
    </row>
    <row r="313" spans="1:27" x14ac:dyDescent="0.25">
      <c r="A313" s="438">
        <v>354</v>
      </c>
      <c r="C313" s="408" t="s">
        <v>591</v>
      </c>
      <c r="E313" s="447"/>
      <c r="G313" s="448" t="s">
        <v>701</v>
      </c>
      <c r="H313" s="448"/>
      <c r="I313" s="449">
        <v>-15</v>
      </c>
      <c r="J313" s="440"/>
      <c r="K313" s="209">
        <v>90563275.939999998</v>
      </c>
      <c r="L313" s="210"/>
      <c r="M313" s="211">
        <v>43514474.619999997</v>
      </c>
      <c r="N313" s="211"/>
      <c r="O313" s="211">
        <v>60633293</v>
      </c>
      <c r="P313" s="211"/>
      <c r="Q313" s="211">
        <v>1136178</v>
      </c>
      <c r="R313" s="444"/>
      <c r="S313" s="450">
        <v>1.25</v>
      </c>
      <c r="T313" s="444"/>
      <c r="U313" s="451">
        <v>53.4</v>
      </c>
      <c r="V313" s="843">
        <f t="shared" si="67"/>
        <v>1.254568132840889E-2</v>
      </c>
      <c r="W313" s="685">
        <f t="shared" si="62"/>
        <v>-4.5681328408889166E-5</v>
      </c>
      <c r="X313" s="685"/>
      <c r="Z313" s="211">
        <v>1136178</v>
      </c>
      <c r="AA313" s="450">
        <v>1.25</v>
      </c>
    </row>
    <row r="314" spans="1:27" x14ac:dyDescent="0.25">
      <c r="A314" s="438">
        <v>354.7</v>
      </c>
      <c r="C314" s="444" t="s">
        <v>592</v>
      </c>
      <c r="E314" s="447"/>
      <c r="G314" s="448" t="s">
        <v>701</v>
      </c>
      <c r="H314" s="448"/>
      <c r="I314" s="449">
        <v>-15</v>
      </c>
      <c r="J314" s="440"/>
      <c r="K314" s="209">
        <v>1507252.65</v>
      </c>
      <c r="L314" s="210"/>
      <c r="M314" s="211">
        <v>896631.28</v>
      </c>
      <c r="N314" s="211"/>
      <c r="O314" s="211">
        <v>836709</v>
      </c>
      <c r="P314" s="211"/>
      <c r="Q314" s="211">
        <v>16945</v>
      </c>
      <c r="R314" s="444"/>
      <c r="S314" s="450">
        <v>1.1200000000000001</v>
      </c>
      <c r="T314" s="444"/>
      <c r="U314" s="451">
        <v>49.4</v>
      </c>
      <c r="V314" s="843">
        <f t="shared" si="67"/>
        <v>1.1242308978524603E-2</v>
      </c>
      <c r="W314" s="685">
        <f t="shared" si="62"/>
        <v>-4.2308978524601207E-5</v>
      </c>
      <c r="X314" s="685"/>
      <c r="Z314" s="211">
        <v>16945</v>
      </c>
      <c r="AA314" s="450">
        <v>1.1200000000000001</v>
      </c>
    </row>
    <row r="315" spans="1:27" x14ac:dyDescent="0.25">
      <c r="A315" s="438">
        <v>354.9</v>
      </c>
      <c r="C315" s="444" t="s">
        <v>593</v>
      </c>
      <c r="E315" s="447"/>
      <c r="G315" s="448" t="s">
        <v>701</v>
      </c>
      <c r="H315" s="448"/>
      <c r="I315" s="449">
        <v>-15</v>
      </c>
      <c r="J315" s="440"/>
      <c r="K315" s="209">
        <v>133399.28</v>
      </c>
      <c r="L315" s="210"/>
      <c r="M315" s="211">
        <v>110351.05</v>
      </c>
      <c r="N315" s="211"/>
      <c r="O315" s="211">
        <v>43058</v>
      </c>
      <c r="P315" s="211"/>
      <c r="Q315" s="211">
        <v>609</v>
      </c>
      <c r="R315" s="444"/>
      <c r="S315" s="450">
        <v>0.46</v>
      </c>
      <c r="T315" s="444"/>
      <c r="U315" s="451">
        <v>70.7</v>
      </c>
      <c r="V315" s="843">
        <f t="shared" si="67"/>
        <v>4.5652420312913234E-3</v>
      </c>
      <c r="W315" s="685">
        <f t="shared" si="62"/>
        <v>3.4757968708676486E-5</v>
      </c>
      <c r="X315" s="685"/>
      <c r="Z315" s="211">
        <v>609</v>
      </c>
      <c r="AA315" s="450">
        <v>0.46</v>
      </c>
    </row>
    <row r="316" spans="1:27" x14ac:dyDescent="0.25">
      <c r="A316" s="438">
        <v>355</v>
      </c>
      <c r="C316" s="408" t="s">
        <v>594</v>
      </c>
      <c r="E316" s="447"/>
      <c r="G316" s="448" t="s">
        <v>850</v>
      </c>
      <c r="H316" s="448"/>
      <c r="I316" s="449">
        <v>-40</v>
      </c>
      <c r="J316" s="440"/>
      <c r="K316" s="209">
        <v>85130847.549999997</v>
      </c>
      <c r="L316" s="210"/>
      <c r="M316" s="211">
        <v>27928205.609999999</v>
      </c>
      <c r="N316" s="211"/>
      <c r="O316" s="211">
        <v>91254981</v>
      </c>
      <c r="P316" s="211"/>
      <c r="Q316" s="211">
        <v>2587052</v>
      </c>
      <c r="R316" s="444"/>
      <c r="S316" s="450">
        <v>3.04</v>
      </c>
      <c r="T316" s="444"/>
      <c r="U316" s="451">
        <v>35.299999999999997</v>
      </c>
      <c r="V316" s="843">
        <f t="shared" si="67"/>
        <v>3.0389125381143935E-2</v>
      </c>
      <c r="W316" s="685">
        <f t="shared" si="62"/>
        <v>1.0874618856064611E-5</v>
      </c>
      <c r="X316" s="685"/>
      <c r="Z316" s="211">
        <v>2587052</v>
      </c>
      <c r="AA316" s="450">
        <v>3.04</v>
      </c>
    </row>
    <row r="317" spans="1:27" x14ac:dyDescent="0.25">
      <c r="A317" s="438">
        <v>355.6</v>
      </c>
      <c r="C317" s="408" t="s">
        <v>595</v>
      </c>
      <c r="E317" s="447"/>
      <c r="G317" s="448" t="s">
        <v>850</v>
      </c>
      <c r="H317" s="448"/>
      <c r="I317" s="449">
        <v>-40</v>
      </c>
      <c r="J317" s="440"/>
      <c r="K317" s="209">
        <v>78708415.219999999</v>
      </c>
      <c r="L317" s="210"/>
      <c r="M317" s="211">
        <v>4825665.6500000004</v>
      </c>
      <c r="N317" s="211"/>
      <c r="O317" s="211">
        <v>105366116</v>
      </c>
      <c r="P317" s="211"/>
      <c r="Q317" s="211">
        <v>2559412</v>
      </c>
      <c r="R317" s="444"/>
      <c r="S317" s="450">
        <v>3.25</v>
      </c>
      <c r="T317" s="444"/>
      <c r="U317" s="451">
        <v>41.2</v>
      </c>
      <c r="V317" s="843">
        <f t="shared" si="67"/>
        <v>3.251764112955545E-2</v>
      </c>
      <c r="W317" s="685">
        <f t="shared" si="62"/>
        <v>-1.7641129555448498E-5</v>
      </c>
      <c r="X317" s="685"/>
      <c r="Z317" s="211">
        <v>2559412</v>
      </c>
      <c r="AA317" s="450">
        <v>3.25</v>
      </c>
    </row>
    <row r="318" spans="1:27" x14ac:dyDescent="0.25">
      <c r="A318" s="438">
        <v>355.7</v>
      </c>
      <c r="C318" s="444" t="s">
        <v>596</v>
      </c>
      <c r="E318" s="447"/>
      <c r="G318" s="448" t="s">
        <v>850</v>
      </c>
      <c r="H318" s="448"/>
      <c r="I318" s="449">
        <v>-40</v>
      </c>
      <c r="J318" s="440"/>
      <c r="K318" s="209">
        <v>170738423.63</v>
      </c>
      <c r="L318" s="210"/>
      <c r="M318" s="211">
        <v>47576642.549999997</v>
      </c>
      <c r="N318" s="211"/>
      <c r="O318" s="211">
        <v>191457151</v>
      </c>
      <c r="P318" s="211"/>
      <c r="Q318" s="211">
        <v>5810001</v>
      </c>
      <c r="R318" s="444"/>
      <c r="S318" s="450">
        <v>3.4</v>
      </c>
      <c r="T318" s="444"/>
      <c r="U318" s="451">
        <v>33</v>
      </c>
      <c r="V318" s="843">
        <f t="shared" si="67"/>
        <v>3.4028667223674307E-2</v>
      </c>
      <c r="W318" s="685">
        <f t="shared" si="62"/>
        <v>-2.8667223674304354E-5</v>
      </c>
      <c r="X318" s="685"/>
      <c r="Z318" s="211">
        <v>5810001</v>
      </c>
      <c r="AA318" s="450">
        <v>3.4</v>
      </c>
    </row>
    <row r="319" spans="1:27" x14ac:dyDescent="0.25">
      <c r="A319" s="438">
        <v>355.9</v>
      </c>
      <c r="C319" s="444" t="s">
        <v>597</v>
      </c>
      <c r="E319" s="447"/>
      <c r="G319" s="448" t="s">
        <v>850</v>
      </c>
      <c r="H319" s="448"/>
      <c r="I319" s="449">
        <v>-40</v>
      </c>
      <c r="J319" s="440"/>
      <c r="K319" s="209">
        <v>8879281.0700000003</v>
      </c>
      <c r="L319" s="210"/>
      <c r="M319" s="211">
        <v>2097318.0099999998</v>
      </c>
      <c r="N319" s="211"/>
      <c r="O319" s="211">
        <v>10333675</v>
      </c>
      <c r="P319" s="211"/>
      <c r="Q319" s="211">
        <v>274655</v>
      </c>
      <c r="R319" s="444"/>
      <c r="S319" s="450">
        <v>3.09</v>
      </c>
      <c r="T319" s="444"/>
      <c r="U319" s="451">
        <v>37.6</v>
      </c>
      <c r="V319" s="843">
        <f t="shared" si="67"/>
        <v>3.0932121399779047E-2</v>
      </c>
      <c r="W319" s="685">
        <f t="shared" si="62"/>
        <v>-3.2121399779049681E-5</v>
      </c>
      <c r="X319" s="685"/>
      <c r="Z319" s="211">
        <v>274655</v>
      </c>
      <c r="AA319" s="450">
        <v>3.09</v>
      </c>
    </row>
    <row r="320" spans="1:27" x14ac:dyDescent="0.25">
      <c r="A320" s="438">
        <v>356</v>
      </c>
      <c r="C320" s="408" t="s">
        <v>598</v>
      </c>
      <c r="E320" s="447"/>
      <c r="G320" s="448" t="s">
        <v>691</v>
      </c>
      <c r="H320" s="448"/>
      <c r="I320" s="449">
        <v>-10</v>
      </c>
      <c r="J320" s="440"/>
      <c r="K320" s="209">
        <v>127496954.51000001</v>
      </c>
      <c r="L320" s="210"/>
      <c r="M320" s="211">
        <v>69844695.090000004</v>
      </c>
      <c r="N320" s="211"/>
      <c r="O320" s="211">
        <v>70401955</v>
      </c>
      <c r="P320" s="211"/>
      <c r="Q320" s="211">
        <v>1643066</v>
      </c>
      <c r="R320" s="444"/>
      <c r="S320" s="450">
        <v>1.29</v>
      </c>
      <c r="T320" s="444"/>
      <c r="U320" s="451">
        <v>42.8</v>
      </c>
      <c r="V320" s="843">
        <f t="shared" si="67"/>
        <v>1.2887099980659764E-2</v>
      </c>
      <c r="W320" s="685">
        <f t="shared" si="62"/>
        <v>1.2900019340235727E-5</v>
      </c>
      <c r="X320" s="685"/>
      <c r="Z320" s="211">
        <v>1643066</v>
      </c>
      <c r="AA320" s="450">
        <v>1.29</v>
      </c>
    </row>
    <row r="321" spans="1:27" x14ac:dyDescent="0.25">
      <c r="A321" s="438">
        <v>356.6</v>
      </c>
      <c r="C321" s="444" t="s">
        <v>599</v>
      </c>
      <c r="E321" s="447"/>
      <c r="G321" s="448" t="s">
        <v>691</v>
      </c>
      <c r="H321" s="448"/>
      <c r="I321" s="449">
        <v>-10</v>
      </c>
      <c r="J321" s="440"/>
      <c r="K321" s="209">
        <v>25127105.969999999</v>
      </c>
      <c r="L321" s="210"/>
      <c r="M321" s="211">
        <v>1384143.75</v>
      </c>
      <c r="N321" s="211"/>
      <c r="O321" s="211">
        <v>26255673</v>
      </c>
      <c r="P321" s="211"/>
      <c r="Q321" s="211">
        <v>455609</v>
      </c>
      <c r="R321" s="444"/>
      <c r="S321" s="450">
        <v>1.81</v>
      </c>
      <c r="T321" s="444"/>
      <c r="U321" s="451">
        <v>57.6</v>
      </c>
      <c r="V321" s="843">
        <f t="shared" si="67"/>
        <v>1.8132171709068494E-2</v>
      </c>
      <c r="W321" s="685">
        <f t="shared" si="62"/>
        <v>-3.2171709068492399E-5</v>
      </c>
      <c r="X321" s="685"/>
      <c r="Z321" s="211">
        <v>455609</v>
      </c>
      <c r="AA321" s="450">
        <v>1.81</v>
      </c>
    </row>
    <row r="322" spans="1:27" x14ac:dyDescent="0.25">
      <c r="A322" s="438">
        <v>356.7</v>
      </c>
      <c r="C322" s="444" t="s">
        <v>600</v>
      </c>
      <c r="E322" s="447"/>
      <c r="G322" s="448" t="s">
        <v>691</v>
      </c>
      <c r="H322" s="448"/>
      <c r="I322" s="449">
        <v>-10</v>
      </c>
      <c r="J322" s="440"/>
      <c r="K322" s="209">
        <v>132747968.58</v>
      </c>
      <c r="L322" s="210"/>
      <c r="M322" s="211">
        <v>70324577.640000001</v>
      </c>
      <c r="N322" s="211"/>
      <c r="O322" s="211">
        <v>75698188</v>
      </c>
      <c r="P322" s="211"/>
      <c r="Q322" s="211">
        <v>1743446</v>
      </c>
      <c r="R322" s="444"/>
      <c r="S322" s="450">
        <v>1.31</v>
      </c>
      <c r="T322" s="444"/>
      <c r="U322" s="451">
        <v>43.4</v>
      </c>
      <c r="V322" s="843">
        <f t="shared" si="67"/>
        <v>1.313350417825279E-2</v>
      </c>
      <c r="W322" s="685">
        <f t="shared" si="62"/>
        <v>-3.3504178252789438E-5</v>
      </c>
      <c r="X322" s="685"/>
      <c r="Z322" s="211">
        <v>1743446</v>
      </c>
      <c r="AA322" s="450">
        <v>1.31</v>
      </c>
    </row>
    <row r="323" spans="1:27" x14ac:dyDescent="0.25">
      <c r="A323" s="438">
        <v>356.9</v>
      </c>
      <c r="C323" s="444" t="s">
        <v>601</v>
      </c>
      <c r="E323" s="447"/>
      <c r="G323" s="448" t="s">
        <v>691</v>
      </c>
      <c r="H323" s="448"/>
      <c r="I323" s="449">
        <v>-10</v>
      </c>
      <c r="J323" s="440"/>
      <c r="K323" s="209">
        <v>6269537.6799999997</v>
      </c>
      <c r="L323" s="210"/>
      <c r="M323" s="211">
        <v>1610719.94</v>
      </c>
      <c r="N323" s="211"/>
      <c r="O323" s="211">
        <v>5285772</v>
      </c>
      <c r="P323" s="211"/>
      <c r="Q323" s="211">
        <v>100331</v>
      </c>
      <c r="R323" s="444"/>
      <c r="S323" s="450">
        <v>1.6</v>
      </c>
      <c r="T323" s="444"/>
      <c r="U323" s="451">
        <v>52.7</v>
      </c>
      <c r="V323" s="843">
        <f t="shared" si="67"/>
        <v>1.600293436628648E-2</v>
      </c>
      <c r="W323" s="685">
        <f t="shared" si="62"/>
        <v>-2.9343662864798892E-6</v>
      </c>
      <c r="X323" s="685"/>
      <c r="Z323" s="211">
        <v>100331</v>
      </c>
      <c r="AA323" s="450">
        <v>1.6</v>
      </c>
    </row>
    <row r="324" spans="1:27" x14ac:dyDescent="0.25">
      <c r="A324" s="438">
        <v>357.7</v>
      </c>
      <c r="C324" s="444" t="s">
        <v>602</v>
      </c>
      <c r="G324" s="424" t="s">
        <v>694</v>
      </c>
      <c r="I324" s="456">
        <v>0</v>
      </c>
      <c r="K324" s="216">
        <v>700574.85</v>
      </c>
      <c r="M324" s="472">
        <v>375466.72</v>
      </c>
      <c r="N324" s="436"/>
      <c r="O324" s="472">
        <v>325108</v>
      </c>
      <c r="P324" s="436"/>
      <c r="Q324" s="472">
        <v>17834</v>
      </c>
      <c r="S324" s="438">
        <v>2.5499999999999998</v>
      </c>
      <c r="U324" s="437">
        <v>18.2</v>
      </c>
      <c r="V324" s="843">
        <f t="shared" si="67"/>
        <v>2.5456237830975521E-2</v>
      </c>
      <c r="W324" s="685">
        <f t="shared" si="62"/>
        <v>4.3762169024477715E-5</v>
      </c>
      <c r="X324" s="685"/>
      <c r="Z324" s="472">
        <v>17834</v>
      </c>
      <c r="AA324" s="438">
        <v>2.5499999999999998</v>
      </c>
    </row>
    <row r="325" spans="1:27" x14ac:dyDescent="0.25">
      <c r="A325" s="438">
        <v>357.9</v>
      </c>
      <c r="C325" s="444" t="s">
        <v>851</v>
      </c>
      <c r="G325" s="424" t="s">
        <v>694</v>
      </c>
      <c r="I325" s="456">
        <v>0</v>
      </c>
      <c r="K325" s="216">
        <v>510284.37</v>
      </c>
      <c r="M325" s="472">
        <v>114485.82</v>
      </c>
      <c r="N325" s="436"/>
      <c r="O325" s="472">
        <v>395799</v>
      </c>
      <c r="P325" s="436"/>
      <c r="Q325" s="472">
        <v>8839</v>
      </c>
      <c r="S325" s="438">
        <v>1.73</v>
      </c>
      <c r="U325" s="437">
        <v>44.8</v>
      </c>
      <c r="V325" s="843">
        <f t="shared" si="67"/>
        <v>1.7321714164986086E-2</v>
      </c>
      <c r="W325" s="685">
        <f t="shared" si="62"/>
        <v>-2.1714164986086359E-5</v>
      </c>
      <c r="X325" s="685"/>
      <c r="Z325" s="472">
        <v>8839</v>
      </c>
      <c r="AA325" s="438">
        <v>1.73</v>
      </c>
    </row>
    <row r="326" spans="1:27" x14ac:dyDescent="0.25">
      <c r="A326" s="438">
        <v>358.7</v>
      </c>
      <c r="C326" s="444" t="s">
        <v>603</v>
      </c>
      <c r="G326" s="424" t="s">
        <v>694</v>
      </c>
      <c r="I326" s="456">
        <v>0</v>
      </c>
      <c r="K326" s="216">
        <v>2932873.15</v>
      </c>
      <c r="M326" s="472">
        <v>2515857.46</v>
      </c>
      <c r="N326" s="436"/>
      <c r="O326" s="472">
        <v>417016</v>
      </c>
      <c r="P326" s="436"/>
      <c r="Q326" s="472">
        <v>21673</v>
      </c>
      <c r="S326" s="438">
        <v>0.74</v>
      </c>
      <c r="U326" s="437">
        <v>19.2</v>
      </c>
      <c r="V326" s="843">
        <f t="shared" si="67"/>
        <v>7.3896820256273274E-3</v>
      </c>
      <c r="W326" s="685">
        <f t="shared" si="62"/>
        <v>1.0317974372672963E-5</v>
      </c>
      <c r="X326" s="685"/>
      <c r="Z326" s="472">
        <v>21673</v>
      </c>
      <c r="AA326" s="438">
        <v>0.74</v>
      </c>
    </row>
    <row r="327" spans="1:27" x14ac:dyDescent="0.25">
      <c r="A327" s="438">
        <v>358.9</v>
      </c>
      <c r="C327" s="444" t="s">
        <v>604</v>
      </c>
      <c r="G327" s="424" t="s">
        <v>694</v>
      </c>
      <c r="I327" s="456">
        <v>0</v>
      </c>
      <c r="K327" s="216">
        <v>34023856.659999996</v>
      </c>
      <c r="M327" s="472">
        <v>8177268.2800000003</v>
      </c>
      <c r="N327" s="436"/>
      <c r="O327" s="472">
        <v>25846588</v>
      </c>
      <c r="P327" s="436"/>
      <c r="Q327" s="472">
        <v>527144</v>
      </c>
      <c r="S327" s="438">
        <v>1.55</v>
      </c>
      <c r="U327" s="437">
        <v>49</v>
      </c>
      <c r="V327" s="843">
        <f t="shared" si="67"/>
        <v>1.5493364119998031E-2</v>
      </c>
      <c r="W327" s="685">
        <f t="shared" si="62"/>
        <v>6.6358800019684916E-6</v>
      </c>
      <c r="X327" s="685"/>
      <c r="Z327" s="472">
        <v>527144</v>
      </c>
      <c r="AA327" s="438">
        <v>1.55</v>
      </c>
    </row>
    <row r="328" spans="1:27" x14ac:dyDescent="0.25">
      <c r="A328" s="438">
        <v>359</v>
      </c>
      <c r="C328" s="408" t="s">
        <v>605</v>
      </c>
      <c r="G328" s="424" t="s">
        <v>702</v>
      </c>
      <c r="I328" s="456">
        <v>0</v>
      </c>
      <c r="K328" s="216">
        <v>1379629.34</v>
      </c>
      <c r="M328" s="472">
        <v>397493.76000000001</v>
      </c>
      <c r="N328" s="436"/>
      <c r="O328" s="472">
        <v>982136</v>
      </c>
      <c r="P328" s="436"/>
      <c r="Q328" s="472">
        <v>19310</v>
      </c>
      <c r="S328" s="438">
        <v>1.4</v>
      </c>
      <c r="U328" s="437">
        <v>50.9</v>
      </c>
      <c r="V328" s="843">
        <f t="shared" si="67"/>
        <v>1.3996513005442461E-2</v>
      </c>
      <c r="W328" s="685">
        <f t="shared" si="62"/>
        <v>3.4869945575374817E-6</v>
      </c>
      <c r="X328" s="685"/>
      <c r="Z328" s="472">
        <v>19310</v>
      </c>
      <c r="AA328" s="438">
        <v>1.4</v>
      </c>
    </row>
    <row r="329" spans="1:27" x14ac:dyDescent="0.25">
      <c r="A329" s="438">
        <v>359.7</v>
      </c>
      <c r="C329" s="444" t="s">
        <v>606</v>
      </c>
      <c r="G329" s="424" t="s">
        <v>702</v>
      </c>
      <c r="I329" s="456">
        <v>0</v>
      </c>
      <c r="K329" s="216">
        <v>568185.43000000005</v>
      </c>
      <c r="M329" s="472">
        <v>279528.76</v>
      </c>
      <c r="N329" s="436"/>
      <c r="O329" s="472">
        <v>288657</v>
      </c>
      <c r="P329" s="436"/>
      <c r="Q329" s="472">
        <v>9535</v>
      </c>
      <c r="S329" s="438">
        <v>1.68</v>
      </c>
      <c r="U329" s="437">
        <v>30.3</v>
      </c>
      <c r="V329" s="843">
        <f t="shared" si="67"/>
        <v>1.678149332340324E-2</v>
      </c>
      <c r="W329" s="685">
        <f t="shared" si="62"/>
        <v>1.8506676596759253E-5</v>
      </c>
      <c r="X329" s="685"/>
      <c r="Z329" s="472">
        <v>9535</v>
      </c>
      <c r="AA329" s="438">
        <v>1.68</v>
      </c>
    </row>
    <row r="330" spans="1:27" x14ac:dyDescent="0.25">
      <c r="A330" s="438">
        <v>359.99</v>
      </c>
      <c r="C330" s="444" t="s">
        <v>607</v>
      </c>
      <c r="G330" s="424" t="s">
        <v>702</v>
      </c>
      <c r="I330" s="456">
        <v>0</v>
      </c>
      <c r="K330" s="212">
        <v>8020.92</v>
      </c>
      <c r="M330" s="473">
        <v>3313.15</v>
      </c>
      <c r="N330" s="436"/>
      <c r="O330" s="473">
        <v>4708</v>
      </c>
      <c r="P330" s="436"/>
      <c r="Q330" s="473">
        <v>117</v>
      </c>
      <c r="S330" s="438">
        <v>1.46</v>
      </c>
      <c r="U330" s="437">
        <v>40.200000000000003</v>
      </c>
      <c r="V330" s="843">
        <f t="shared" si="67"/>
        <v>1.4586855373199084E-2</v>
      </c>
      <c r="W330" s="685">
        <f t="shared" si="62"/>
        <v>1.3144626800916381E-5</v>
      </c>
      <c r="X330" s="685"/>
      <c r="Z330" s="473">
        <v>117</v>
      </c>
      <c r="AA330" s="438">
        <v>1.46</v>
      </c>
    </row>
    <row r="331" spans="1:27" x14ac:dyDescent="0.25">
      <c r="A331" s="438"/>
      <c r="G331" s="424"/>
      <c r="I331" s="456"/>
      <c r="K331" s="216"/>
      <c r="M331" s="472"/>
      <c r="N331" s="436"/>
      <c r="O331" s="472"/>
      <c r="P331" s="436"/>
      <c r="Q331" s="472"/>
      <c r="S331" s="438"/>
      <c r="U331" s="437"/>
      <c r="V331" s="842"/>
      <c r="W331" s="685">
        <f t="shared" si="62"/>
        <v>0</v>
      </c>
      <c r="X331" s="685"/>
      <c r="Z331" s="472"/>
      <c r="AA331" s="438"/>
    </row>
    <row r="332" spans="1:27" ht="15.6" x14ac:dyDescent="0.3">
      <c r="A332" s="438"/>
      <c r="C332" s="433" t="s">
        <v>608</v>
      </c>
      <c r="G332" s="418"/>
      <c r="H332" s="416"/>
      <c r="I332" s="420"/>
      <c r="J332" s="416"/>
      <c r="K332" s="214">
        <f>+SUBTOTAL(9,K300:K330)</f>
        <v>1408833111.48</v>
      </c>
      <c r="L332" s="457"/>
      <c r="M332" s="215">
        <f>+SUBTOTAL(9,M300:M330)</f>
        <v>455882865.70999986</v>
      </c>
      <c r="N332" s="458"/>
      <c r="O332" s="215">
        <f>+SUBTOTAL(9,O300:O330)</f>
        <v>1193365586</v>
      </c>
      <c r="P332" s="458"/>
      <c r="Q332" s="215">
        <f>+SUBTOTAL(9,Q300:Q330)</f>
        <v>31445954</v>
      </c>
      <c r="S332" s="459">
        <f>ROUND(Q332/K332*100,2)</f>
        <v>2.23</v>
      </c>
      <c r="U332" s="437"/>
      <c r="V332" s="843">
        <f t="shared" ref="V332" si="68">Q332/K332</f>
        <v>2.2320567101780819E-2</v>
      </c>
      <c r="W332" s="685">
        <f t="shared" si="62"/>
        <v>-2.0567101780818997E-5</v>
      </c>
      <c r="X332" s="685"/>
      <c r="Z332" s="215">
        <v>31445954</v>
      </c>
      <c r="AA332" s="459">
        <v>2.23</v>
      </c>
    </row>
    <row r="333" spans="1:27" ht="15.6" x14ac:dyDescent="0.3">
      <c r="A333" s="438"/>
      <c r="C333" s="749"/>
      <c r="G333" s="702"/>
      <c r="H333" s="700"/>
      <c r="I333" s="704"/>
      <c r="J333" s="700"/>
      <c r="K333" s="214"/>
      <c r="L333" s="457"/>
      <c r="M333" s="215"/>
      <c r="N333" s="752"/>
      <c r="O333" s="215"/>
      <c r="P333" s="752"/>
      <c r="Q333" s="215"/>
      <c r="S333" s="750"/>
      <c r="U333" s="437"/>
      <c r="V333" s="843"/>
      <c r="W333" s="685"/>
      <c r="X333" s="685"/>
      <c r="Z333" s="215"/>
      <c r="AA333" s="750"/>
    </row>
    <row r="334" spans="1:27" ht="15.6" x14ac:dyDescent="0.3">
      <c r="A334" s="438"/>
      <c r="C334" s="749"/>
      <c r="G334" s="702"/>
      <c r="H334" s="700"/>
      <c r="I334" s="704"/>
      <c r="J334" s="700"/>
      <c r="K334" s="214"/>
      <c r="L334" s="457"/>
      <c r="M334" s="215"/>
      <c r="N334" s="752"/>
      <c r="O334" s="215"/>
      <c r="P334" s="752"/>
      <c r="Q334" s="215"/>
      <c r="S334" s="750"/>
      <c r="U334" s="437"/>
      <c r="V334" s="843"/>
      <c r="W334" s="685"/>
      <c r="X334" s="685"/>
      <c r="Z334" s="215"/>
      <c r="AA334" s="750"/>
    </row>
    <row r="335" spans="1:27" ht="15.6" x14ac:dyDescent="0.3">
      <c r="A335" s="438"/>
      <c r="C335" s="749"/>
      <c r="G335" s="702"/>
      <c r="H335" s="700"/>
      <c r="I335" s="704"/>
      <c r="J335" s="700"/>
      <c r="K335" s="214"/>
      <c r="L335" s="457"/>
      <c r="M335" s="215"/>
      <c r="N335" s="752"/>
      <c r="O335" s="215"/>
      <c r="P335" s="752"/>
      <c r="Q335" s="215"/>
      <c r="S335" s="750"/>
      <c r="U335" s="437"/>
      <c r="V335" s="843"/>
      <c r="W335" s="685"/>
      <c r="X335" s="685"/>
      <c r="Z335" s="215"/>
      <c r="AA335" s="750"/>
    </row>
    <row r="336" spans="1:27" ht="15.6" x14ac:dyDescent="0.3">
      <c r="A336" s="438"/>
      <c r="C336" s="433"/>
      <c r="G336" s="418"/>
      <c r="H336" s="416"/>
      <c r="I336" s="420"/>
      <c r="J336" s="416"/>
      <c r="K336" s="216"/>
      <c r="L336" s="416"/>
      <c r="M336" s="460"/>
      <c r="N336" s="460"/>
      <c r="O336" s="460"/>
      <c r="P336" s="460"/>
      <c r="Q336" s="460"/>
      <c r="S336" s="438"/>
      <c r="U336" s="437"/>
      <c r="V336" s="842"/>
      <c r="W336" s="685">
        <f t="shared" si="62"/>
        <v>0</v>
      </c>
      <c r="X336" s="685"/>
      <c r="Z336" s="460"/>
      <c r="AA336" s="438"/>
    </row>
    <row r="337" spans="1:27" x14ac:dyDescent="0.25">
      <c r="A337" s="438"/>
      <c r="G337" s="424"/>
      <c r="I337" s="456"/>
      <c r="K337" s="216"/>
      <c r="M337" s="436"/>
      <c r="N337" s="436"/>
      <c r="O337" s="436"/>
      <c r="P337" s="436"/>
      <c r="Q337" s="436"/>
      <c r="S337" s="438"/>
      <c r="U337" s="437"/>
      <c r="V337" s="842"/>
      <c r="W337" s="685">
        <f t="shared" si="62"/>
        <v>0</v>
      </c>
      <c r="X337" s="685"/>
      <c r="Z337" s="436"/>
      <c r="AA337" s="438"/>
    </row>
    <row r="338" spans="1:27" ht="15.6" x14ac:dyDescent="0.3">
      <c r="A338" s="438"/>
      <c r="B338" s="407"/>
      <c r="C338" s="417" t="s">
        <v>452</v>
      </c>
      <c r="D338" s="407"/>
      <c r="F338" s="407"/>
      <c r="G338" s="424"/>
      <c r="H338" s="407"/>
      <c r="I338" s="456"/>
      <c r="J338" s="407"/>
      <c r="K338" s="216"/>
      <c r="L338" s="407"/>
      <c r="M338" s="436"/>
      <c r="N338" s="436"/>
      <c r="O338" s="436"/>
      <c r="P338" s="436"/>
      <c r="Q338" s="436"/>
      <c r="R338" s="407"/>
      <c r="S338" s="438"/>
      <c r="T338" s="407"/>
      <c r="U338" s="437"/>
      <c r="V338" s="842"/>
      <c r="W338" s="685">
        <f t="shared" si="62"/>
        <v>0</v>
      </c>
      <c r="X338" s="685"/>
      <c r="Z338" s="436"/>
      <c r="AA338" s="438"/>
    </row>
    <row r="339" spans="1:27" ht="15.6" x14ac:dyDescent="0.3">
      <c r="A339" s="438"/>
      <c r="C339" s="427"/>
      <c r="G339" s="424"/>
      <c r="I339" s="456"/>
      <c r="K339" s="216"/>
      <c r="M339" s="436"/>
      <c r="N339" s="436"/>
      <c r="O339" s="436"/>
      <c r="P339" s="436"/>
      <c r="Q339" s="436"/>
      <c r="S339" s="438"/>
      <c r="U339" s="437"/>
      <c r="V339" s="842"/>
      <c r="W339" s="685">
        <f t="shared" si="62"/>
        <v>0</v>
      </c>
      <c r="X339" s="685"/>
      <c r="Z339" s="436"/>
      <c r="AA339" s="438"/>
    </row>
    <row r="340" spans="1:27" x14ac:dyDescent="0.25">
      <c r="A340" s="438">
        <v>360.1</v>
      </c>
      <c r="C340" s="461" t="s">
        <v>38</v>
      </c>
      <c r="E340" s="447"/>
      <c r="G340" s="448" t="s">
        <v>702</v>
      </c>
      <c r="H340" s="448"/>
      <c r="I340" s="449">
        <v>0</v>
      </c>
      <c r="J340" s="440"/>
      <c r="K340" s="209">
        <v>6192997.7800000003</v>
      </c>
      <c r="L340" s="210"/>
      <c r="M340" s="211">
        <v>3154464.1</v>
      </c>
      <c r="N340" s="211"/>
      <c r="O340" s="211">
        <v>3038534</v>
      </c>
      <c r="P340" s="211"/>
      <c r="Q340" s="211">
        <v>69962</v>
      </c>
      <c r="R340" s="444"/>
      <c r="S340" s="450">
        <v>1.1299999999999999</v>
      </c>
      <c r="T340" s="444"/>
      <c r="U340" s="451">
        <v>43.4</v>
      </c>
      <c r="V340" s="843">
        <f t="shared" ref="V340:V351" si="69">Q340/K340</f>
        <v>1.1296952216895514E-2</v>
      </c>
      <c r="W340" s="685">
        <f t="shared" si="62"/>
        <v>3.0477831044848497E-6</v>
      </c>
      <c r="X340" s="685"/>
      <c r="Z340" s="211">
        <v>69962</v>
      </c>
      <c r="AA340" s="450">
        <v>1.1299999999999999</v>
      </c>
    </row>
    <row r="341" spans="1:27" x14ac:dyDescent="0.25">
      <c r="A341" s="438">
        <v>361</v>
      </c>
      <c r="C341" s="408" t="s">
        <v>609</v>
      </c>
      <c r="E341" s="447"/>
      <c r="G341" s="448" t="s">
        <v>703</v>
      </c>
      <c r="H341" s="448"/>
      <c r="I341" s="449">
        <v>-10</v>
      </c>
      <c r="J341" s="440"/>
      <c r="K341" s="209">
        <v>7980826.7300000004</v>
      </c>
      <c r="L341" s="210"/>
      <c r="M341" s="211">
        <v>2327040.6800000002</v>
      </c>
      <c r="N341" s="211"/>
      <c r="O341" s="211">
        <v>6451869</v>
      </c>
      <c r="P341" s="211"/>
      <c r="Q341" s="211">
        <v>140499</v>
      </c>
      <c r="R341" s="444"/>
      <c r="S341" s="450">
        <v>1.76</v>
      </c>
      <c r="T341" s="444"/>
      <c r="U341" s="451">
        <v>45.9</v>
      </c>
      <c r="V341" s="843">
        <f t="shared" si="69"/>
        <v>1.7604567139875744E-2</v>
      </c>
      <c r="W341" s="685">
        <f t="shared" si="62"/>
        <v>-4.5671398757433923E-6</v>
      </c>
      <c r="X341" s="685"/>
      <c r="Z341" s="211">
        <v>140499</v>
      </c>
      <c r="AA341" s="450">
        <v>1.76</v>
      </c>
    </row>
    <row r="342" spans="1:27" x14ac:dyDescent="0.25">
      <c r="A342" s="438">
        <v>362</v>
      </c>
      <c r="C342" s="408" t="s">
        <v>586</v>
      </c>
      <c r="E342" s="447"/>
      <c r="G342" s="448" t="s">
        <v>852</v>
      </c>
      <c r="H342" s="448"/>
      <c r="I342" s="449">
        <v>-15</v>
      </c>
      <c r="J342" s="440"/>
      <c r="K342" s="209">
        <v>434912648.51999998</v>
      </c>
      <c r="L342" s="210"/>
      <c r="M342" s="211">
        <v>125213289.48</v>
      </c>
      <c r="N342" s="211"/>
      <c r="O342" s="211">
        <v>374936256</v>
      </c>
      <c r="P342" s="211"/>
      <c r="Q342" s="211">
        <v>8871422</v>
      </c>
      <c r="R342" s="444"/>
      <c r="S342" s="450">
        <v>2.04</v>
      </c>
      <c r="T342" s="444"/>
      <c r="U342" s="451">
        <v>42.3</v>
      </c>
      <c r="V342" s="843">
        <f t="shared" si="69"/>
        <v>2.0398169678875266E-2</v>
      </c>
      <c r="W342" s="685">
        <f t="shared" si="62"/>
        <v>1.8303211247357176E-6</v>
      </c>
      <c r="X342" s="685"/>
      <c r="Z342" s="211">
        <v>8871422</v>
      </c>
      <c r="AA342" s="450">
        <v>2.04</v>
      </c>
    </row>
    <row r="343" spans="1:27" x14ac:dyDescent="0.25">
      <c r="A343" s="438">
        <v>363</v>
      </c>
      <c r="C343" s="408" t="s">
        <v>838</v>
      </c>
      <c r="E343" s="447"/>
      <c r="G343" s="448" t="s">
        <v>849</v>
      </c>
      <c r="H343" s="448"/>
      <c r="I343" s="449">
        <v>0</v>
      </c>
      <c r="J343" s="440"/>
      <c r="K343" s="209">
        <v>1194182.8600000001</v>
      </c>
      <c r="L343" s="210"/>
      <c r="M343" s="211">
        <v>23908.84</v>
      </c>
      <c r="N343" s="211"/>
      <c r="O343" s="211">
        <v>1170274</v>
      </c>
      <c r="P343" s="211"/>
      <c r="Q343" s="211">
        <v>59617</v>
      </c>
      <c r="R343" s="444"/>
      <c r="S343" s="450">
        <v>4.99</v>
      </c>
      <c r="T343" s="444"/>
      <c r="U343" s="451">
        <v>19.600000000000001</v>
      </c>
      <c r="V343" s="843">
        <f t="shared" si="69"/>
        <v>4.9922840125171446E-2</v>
      </c>
      <c r="W343" s="685">
        <f t="shared" si="62"/>
        <v>-2.2840125171445791E-5</v>
      </c>
      <c r="X343" s="685"/>
      <c r="Z343" s="211">
        <v>59617</v>
      </c>
      <c r="AA343" s="450">
        <v>4.99</v>
      </c>
    </row>
    <row r="344" spans="1:27" x14ac:dyDescent="0.25">
      <c r="A344" s="438">
        <v>364</v>
      </c>
      <c r="C344" s="408" t="s">
        <v>610</v>
      </c>
      <c r="E344" s="447"/>
      <c r="G344" s="448" t="s">
        <v>704</v>
      </c>
      <c r="H344" s="448"/>
      <c r="I344" s="449">
        <v>-50</v>
      </c>
      <c r="J344" s="440"/>
      <c r="K344" s="209">
        <v>340904415.12</v>
      </c>
      <c r="L344" s="210"/>
      <c r="M344" s="211">
        <v>146427146.66</v>
      </c>
      <c r="N344" s="211"/>
      <c r="O344" s="211">
        <v>364929476</v>
      </c>
      <c r="P344" s="211"/>
      <c r="Q344" s="211">
        <v>10713901</v>
      </c>
      <c r="R344" s="444"/>
      <c r="S344" s="450">
        <v>3.14</v>
      </c>
      <c r="T344" s="444"/>
      <c r="U344" s="451">
        <v>34.1</v>
      </c>
      <c r="V344" s="843">
        <f t="shared" si="69"/>
        <v>3.1427873986990325E-2</v>
      </c>
      <c r="W344" s="685">
        <f t="shared" si="62"/>
        <v>-2.787398699032051E-5</v>
      </c>
      <c r="X344" s="685"/>
      <c r="Z344" s="211">
        <v>10713901</v>
      </c>
      <c r="AA344" s="450">
        <v>3.14</v>
      </c>
    </row>
    <row r="345" spans="1:27" x14ac:dyDescent="0.25">
      <c r="A345" s="438">
        <v>365</v>
      </c>
      <c r="C345" s="408" t="s">
        <v>598</v>
      </c>
      <c r="E345" s="447"/>
      <c r="G345" s="448" t="s">
        <v>705</v>
      </c>
      <c r="H345" s="448"/>
      <c r="I345" s="449">
        <v>-25</v>
      </c>
      <c r="J345" s="440"/>
      <c r="K345" s="209">
        <v>409216186.50999999</v>
      </c>
      <c r="L345" s="210"/>
      <c r="M345" s="211">
        <v>120401104.94</v>
      </c>
      <c r="N345" s="211"/>
      <c r="O345" s="211">
        <v>391119128</v>
      </c>
      <c r="P345" s="211"/>
      <c r="Q345" s="211">
        <v>15306553</v>
      </c>
      <c r="R345" s="444"/>
      <c r="S345" s="450">
        <v>3.74</v>
      </c>
      <c r="T345" s="444"/>
      <c r="U345" s="451">
        <v>25.6</v>
      </c>
      <c r="V345" s="843">
        <f t="shared" si="69"/>
        <v>3.7404563906774872E-2</v>
      </c>
      <c r="W345" s="685">
        <f t="shared" si="62"/>
        <v>-4.5639067748695639E-6</v>
      </c>
      <c r="X345" s="685"/>
      <c r="Z345" s="211">
        <v>15306553</v>
      </c>
      <c r="AA345" s="450">
        <v>3.74</v>
      </c>
    </row>
    <row r="346" spans="1:27" x14ac:dyDescent="0.25">
      <c r="A346" s="438">
        <v>366</v>
      </c>
      <c r="C346" s="408" t="s">
        <v>611</v>
      </c>
      <c r="E346" s="447"/>
      <c r="G346" s="448" t="s">
        <v>706</v>
      </c>
      <c r="H346" s="448"/>
      <c r="I346" s="449">
        <v>-10</v>
      </c>
      <c r="J346" s="440"/>
      <c r="K346" s="209">
        <v>672272622.88</v>
      </c>
      <c r="L346" s="210"/>
      <c r="M346" s="211">
        <v>261027349.00999999</v>
      </c>
      <c r="N346" s="211"/>
      <c r="O346" s="211">
        <v>478472536</v>
      </c>
      <c r="P346" s="211"/>
      <c r="Q346" s="211">
        <v>11912719</v>
      </c>
      <c r="R346" s="444"/>
      <c r="S346" s="450">
        <v>1.77</v>
      </c>
      <c r="T346" s="444"/>
      <c r="U346" s="451">
        <v>40.200000000000003</v>
      </c>
      <c r="V346" s="843">
        <f t="shared" si="69"/>
        <v>1.7720071581921921E-2</v>
      </c>
      <c r="W346" s="685">
        <f t="shared" si="62"/>
        <v>-2.0071581921920351E-5</v>
      </c>
      <c r="X346" s="685"/>
      <c r="Z346" s="211">
        <v>11912719</v>
      </c>
      <c r="AA346" s="450">
        <v>1.77</v>
      </c>
    </row>
    <row r="347" spans="1:27" x14ac:dyDescent="0.25">
      <c r="A347" s="438">
        <v>367</v>
      </c>
      <c r="C347" s="408" t="s">
        <v>612</v>
      </c>
      <c r="E347" s="447"/>
      <c r="G347" s="448" t="s">
        <v>705</v>
      </c>
      <c r="H347" s="448"/>
      <c r="I347" s="449">
        <v>-40</v>
      </c>
      <c r="J347" s="440"/>
      <c r="K347" s="209">
        <v>844856752.28999996</v>
      </c>
      <c r="L347" s="210"/>
      <c r="M347" s="211">
        <v>341308279.60000002</v>
      </c>
      <c r="N347" s="211"/>
      <c r="O347" s="211">
        <v>841491174</v>
      </c>
      <c r="P347" s="211"/>
      <c r="Q347" s="211">
        <v>33220993</v>
      </c>
      <c r="R347" s="444"/>
      <c r="S347" s="450">
        <v>3.93</v>
      </c>
      <c r="T347" s="444"/>
      <c r="U347" s="451">
        <v>25.3</v>
      </c>
      <c r="V347" s="843">
        <f t="shared" si="69"/>
        <v>3.9321450541708852E-2</v>
      </c>
      <c r="W347" s="685">
        <f t="shared" si="62"/>
        <v>-2.1450541708850634E-5</v>
      </c>
      <c r="X347" s="685"/>
      <c r="Z347" s="211">
        <v>33220993</v>
      </c>
      <c r="AA347" s="450">
        <v>3.93</v>
      </c>
    </row>
    <row r="348" spans="1:27" x14ac:dyDescent="0.25">
      <c r="A348" s="438">
        <v>368</v>
      </c>
      <c r="C348" s="408" t="s">
        <v>613</v>
      </c>
      <c r="E348" s="447"/>
      <c r="G348" s="448" t="s">
        <v>853</v>
      </c>
      <c r="H348" s="448"/>
      <c r="I348" s="449">
        <v>-50</v>
      </c>
      <c r="J348" s="440"/>
      <c r="K348" s="209">
        <v>462673680.60000002</v>
      </c>
      <c r="L348" s="210"/>
      <c r="M348" s="211">
        <v>181111959.47999999</v>
      </c>
      <c r="N348" s="211"/>
      <c r="O348" s="211">
        <v>512898561</v>
      </c>
      <c r="P348" s="211"/>
      <c r="Q348" s="211">
        <v>18805777</v>
      </c>
      <c r="R348" s="444"/>
      <c r="S348" s="450">
        <v>4.0599999999999996</v>
      </c>
      <c r="T348" s="444"/>
      <c r="U348" s="451">
        <v>27.3</v>
      </c>
      <c r="V348" s="843">
        <f t="shared" si="69"/>
        <v>4.0645875891648892E-2</v>
      </c>
      <c r="W348" s="685">
        <f t="shared" si="62"/>
        <v>-4.5875891648894385E-5</v>
      </c>
      <c r="X348" s="685"/>
      <c r="Z348" s="211">
        <v>18805777</v>
      </c>
      <c r="AA348" s="450">
        <v>4.0599999999999996</v>
      </c>
    </row>
    <row r="349" spans="1:27" x14ac:dyDescent="0.25">
      <c r="A349" s="438">
        <v>369</v>
      </c>
      <c r="C349" s="408" t="s">
        <v>614</v>
      </c>
      <c r="G349" s="448" t="s">
        <v>706</v>
      </c>
      <c r="H349" s="448"/>
      <c r="I349" s="449">
        <v>-60</v>
      </c>
      <c r="J349" s="440"/>
      <c r="K349" s="209">
        <v>182057677.19</v>
      </c>
      <c r="L349" s="210"/>
      <c r="M349" s="211">
        <v>116569686.06999999</v>
      </c>
      <c r="N349" s="211"/>
      <c r="O349" s="211">
        <v>174722597</v>
      </c>
      <c r="P349" s="211"/>
      <c r="Q349" s="211">
        <v>5727599</v>
      </c>
      <c r="R349" s="444"/>
      <c r="S349" s="450">
        <v>3.15</v>
      </c>
      <c r="T349" s="444"/>
      <c r="U349" s="451">
        <v>30.5</v>
      </c>
      <c r="V349" s="843">
        <f t="shared" si="69"/>
        <v>3.1460354149320122E-2</v>
      </c>
      <c r="W349" s="685">
        <f t="shared" si="62"/>
        <v>3.964585067987858E-5</v>
      </c>
      <c r="X349" s="685"/>
      <c r="Z349" s="211">
        <v>5727599</v>
      </c>
      <c r="AA349" s="450">
        <v>3.15</v>
      </c>
    </row>
    <row r="350" spans="1:27" x14ac:dyDescent="0.25">
      <c r="A350" s="438">
        <v>370</v>
      </c>
      <c r="C350" s="444" t="s">
        <v>72</v>
      </c>
      <c r="E350" s="447" t="s">
        <v>721</v>
      </c>
      <c r="G350" s="448" t="s">
        <v>854</v>
      </c>
      <c r="H350" s="448"/>
      <c r="I350" s="449">
        <v>-10</v>
      </c>
      <c r="J350" s="440"/>
      <c r="K350" s="209">
        <v>140665913.55000001</v>
      </c>
      <c r="L350" s="210"/>
      <c r="M350" s="211">
        <v>34679835.299999997</v>
      </c>
      <c r="N350" s="211"/>
      <c r="O350" s="211">
        <v>120052670</v>
      </c>
      <c r="P350" s="211"/>
      <c r="Q350" s="211">
        <v>11730432</v>
      </c>
      <c r="R350" s="444"/>
      <c r="S350" s="450">
        <v>8.34</v>
      </c>
      <c r="T350" s="444" t="s">
        <v>726</v>
      </c>
      <c r="U350" s="451">
        <v>10.199999999999999</v>
      </c>
      <c r="V350" s="843">
        <f t="shared" si="69"/>
        <v>8.3392143156489656E-2</v>
      </c>
      <c r="W350" s="685">
        <f t="shared" si="62"/>
        <v>7.8568435103454348E-6</v>
      </c>
      <c r="X350" s="685"/>
      <c r="Z350" s="211">
        <v>11730432</v>
      </c>
      <c r="AA350" s="450">
        <v>8.34</v>
      </c>
    </row>
    <row r="351" spans="1:27" x14ac:dyDescent="0.25">
      <c r="A351" s="438">
        <v>373</v>
      </c>
      <c r="C351" s="408" t="s">
        <v>616</v>
      </c>
      <c r="G351" s="448" t="s">
        <v>707</v>
      </c>
      <c r="H351" s="448"/>
      <c r="I351" s="449">
        <v>-15</v>
      </c>
      <c r="J351" s="440"/>
      <c r="K351" s="212">
        <v>53727968.479999997</v>
      </c>
      <c r="L351" s="210"/>
      <c r="M351" s="211">
        <v>18793323.43</v>
      </c>
      <c r="N351" s="211"/>
      <c r="O351" s="211">
        <v>42993840</v>
      </c>
      <c r="P351" s="211"/>
      <c r="Q351" s="211">
        <v>2552518</v>
      </c>
      <c r="R351" s="444"/>
      <c r="S351" s="450">
        <v>4.75</v>
      </c>
      <c r="T351" s="444"/>
      <c r="U351" s="451">
        <v>16.8</v>
      </c>
      <c r="V351" s="843">
        <f t="shared" si="69"/>
        <v>4.7508180045001402E-2</v>
      </c>
      <c r="W351" s="685">
        <f t="shared" si="62"/>
        <v>-8.1800450014019033E-6</v>
      </c>
      <c r="X351" s="685"/>
      <c r="Z351" s="211">
        <v>2552518</v>
      </c>
      <c r="AA351" s="450">
        <v>4.75</v>
      </c>
    </row>
    <row r="352" spans="1:27" x14ac:dyDescent="0.25">
      <c r="A352" s="438"/>
      <c r="G352" s="424"/>
      <c r="I352" s="456"/>
      <c r="K352" s="216"/>
      <c r="M352" s="474"/>
      <c r="N352" s="436"/>
      <c r="O352" s="474"/>
      <c r="P352" s="436"/>
      <c r="Q352" s="474"/>
      <c r="S352" s="438"/>
      <c r="U352" s="437"/>
      <c r="V352" s="842"/>
      <c r="W352" s="685">
        <f t="shared" ref="W352:W412" si="70">S352/100-V352</f>
        <v>0</v>
      </c>
      <c r="X352" s="685"/>
      <c r="Z352" s="474"/>
      <c r="AA352" s="438"/>
    </row>
    <row r="353" spans="1:27" ht="15.6" x14ac:dyDescent="0.3">
      <c r="A353" s="438"/>
      <c r="C353" s="433" t="s">
        <v>617</v>
      </c>
      <c r="G353" s="418"/>
      <c r="H353" s="416"/>
      <c r="I353" s="420"/>
      <c r="J353" s="416"/>
      <c r="K353" s="214">
        <f>+SUBTOTAL(9,K340:K351)</f>
        <v>3556655872.5100002</v>
      </c>
      <c r="L353" s="457"/>
      <c r="M353" s="215">
        <f>+SUBTOTAL(9,M340:M351)</f>
        <v>1351037387.5899999</v>
      </c>
      <c r="N353" s="458"/>
      <c r="O353" s="215">
        <f>+SUBTOTAL(9,O340:O351)</f>
        <v>3312276915</v>
      </c>
      <c r="P353" s="458"/>
      <c r="Q353" s="215">
        <f>+SUBTOTAL(9,Q340:Q351)</f>
        <v>119111992</v>
      </c>
      <c r="R353" s="416"/>
      <c r="S353" s="459">
        <f>ROUND(Q353/K353*100,2)</f>
        <v>3.35</v>
      </c>
      <c r="U353" s="475"/>
      <c r="V353" s="843">
        <f t="shared" ref="V353" si="71">Q353/K353</f>
        <v>3.3489883831786173E-2</v>
      </c>
      <c r="W353" s="685">
        <f t="shared" si="70"/>
        <v>1.0116168213829269E-5</v>
      </c>
      <c r="X353" s="685"/>
      <c r="Z353" s="215">
        <v>119111992</v>
      </c>
      <c r="AA353" s="459">
        <v>3.35</v>
      </c>
    </row>
    <row r="354" spans="1:27" ht="15.6" x14ac:dyDescent="0.3">
      <c r="A354" s="438"/>
      <c r="C354" s="749"/>
      <c r="G354" s="702"/>
      <c r="H354" s="700"/>
      <c r="I354" s="704"/>
      <c r="J354" s="700"/>
      <c r="K354" s="214"/>
      <c r="L354" s="457"/>
      <c r="M354" s="215"/>
      <c r="N354" s="752"/>
      <c r="O354" s="215"/>
      <c r="P354" s="752"/>
      <c r="Q354" s="215"/>
      <c r="R354" s="700"/>
      <c r="S354" s="750"/>
      <c r="U354" s="475"/>
      <c r="V354" s="843"/>
      <c r="W354" s="685"/>
      <c r="X354" s="685"/>
      <c r="Z354" s="215"/>
      <c r="AA354" s="750"/>
    </row>
    <row r="355" spans="1:27" ht="15.6" x14ac:dyDescent="0.3">
      <c r="A355" s="438"/>
      <c r="C355" s="749"/>
      <c r="G355" s="702"/>
      <c r="H355" s="700"/>
      <c r="I355" s="704"/>
      <c r="J355" s="700"/>
      <c r="K355" s="214"/>
      <c r="L355" s="457"/>
      <c r="M355" s="215"/>
      <c r="N355" s="752"/>
      <c r="O355" s="215"/>
      <c r="P355" s="752"/>
      <c r="Q355" s="215"/>
      <c r="R355" s="700"/>
      <c r="S355" s="750"/>
      <c r="U355" s="475"/>
      <c r="V355" s="843"/>
      <c r="W355" s="685"/>
      <c r="X355" s="685"/>
      <c r="Z355" s="215"/>
      <c r="AA355" s="750"/>
    </row>
    <row r="356" spans="1:27" ht="15.6" x14ac:dyDescent="0.3">
      <c r="A356" s="438"/>
      <c r="C356" s="749"/>
      <c r="G356" s="702"/>
      <c r="H356" s="700"/>
      <c r="I356" s="704"/>
      <c r="J356" s="700"/>
      <c r="K356" s="214"/>
      <c r="L356" s="457"/>
      <c r="M356" s="215"/>
      <c r="N356" s="752"/>
      <c r="O356" s="215"/>
      <c r="P356" s="752"/>
      <c r="Q356" s="215"/>
      <c r="R356" s="700"/>
      <c r="S356" s="750"/>
      <c r="U356" s="475"/>
      <c r="V356" s="843"/>
      <c r="W356" s="685"/>
      <c r="X356" s="685"/>
      <c r="Z356" s="215"/>
      <c r="AA356" s="750"/>
    </row>
    <row r="357" spans="1:27" ht="15.6" x14ac:dyDescent="0.3">
      <c r="A357" s="438"/>
      <c r="C357" s="749"/>
      <c r="G357" s="702"/>
      <c r="H357" s="700"/>
      <c r="I357" s="704"/>
      <c r="J357" s="700"/>
      <c r="K357" s="214"/>
      <c r="L357" s="457"/>
      <c r="M357" s="215"/>
      <c r="N357" s="752"/>
      <c r="O357" s="215"/>
      <c r="P357" s="752"/>
      <c r="Q357" s="215"/>
      <c r="R357" s="700"/>
      <c r="S357" s="750"/>
      <c r="U357" s="475"/>
      <c r="V357" s="843"/>
      <c r="W357" s="685"/>
      <c r="X357" s="685"/>
      <c r="Z357" s="215"/>
      <c r="AA357" s="750"/>
    </row>
    <row r="358" spans="1:27" ht="15.6" x14ac:dyDescent="0.3">
      <c r="A358" s="438"/>
      <c r="C358" s="749"/>
      <c r="G358" s="702"/>
      <c r="H358" s="700"/>
      <c r="I358" s="704"/>
      <c r="J358" s="700"/>
      <c r="K358" s="214"/>
      <c r="L358" s="457"/>
      <c r="M358" s="215"/>
      <c r="N358" s="752"/>
      <c r="O358" s="215"/>
      <c r="P358" s="752"/>
      <c r="Q358" s="215"/>
      <c r="R358" s="700"/>
      <c r="S358" s="750"/>
      <c r="U358" s="475"/>
      <c r="V358" s="843"/>
      <c r="W358" s="685"/>
      <c r="X358" s="685"/>
      <c r="Z358" s="215"/>
      <c r="AA358" s="750"/>
    </row>
    <row r="359" spans="1:27" ht="15.6" x14ac:dyDescent="0.3">
      <c r="A359" s="438"/>
      <c r="C359" s="749"/>
      <c r="G359" s="702"/>
      <c r="H359" s="700"/>
      <c r="I359" s="704"/>
      <c r="J359" s="700"/>
      <c r="K359" s="214"/>
      <c r="L359" s="457"/>
      <c r="M359" s="215"/>
      <c r="N359" s="752"/>
      <c r="O359" s="215"/>
      <c r="P359" s="752"/>
      <c r="Q359" s="215"/>
      <c r="R359" s="700"/>
      <c r="S359" s="750"/>
      <c r="U359" s="475"/>
      <c r="V359" s="843"/>
      <c r="W359" s="685"/>
      <c r="X359" s="685"/>
      <c r="Z359" s="215"/>
      <c r="AA359" s="750"/>
    </row>
    <row r="360" spans="1:27" ht="15.6" x14ac:dyDescent="0.3">
      <c r="A360" s="438"/>
      <c r="C360" s="433"/>
      <c r="G360" s="418"/>
      <c r="H360" s="416"/>
      <c r="I360" s="420"/>
      <c r="J360" s="416"/>
      <c r="K360" s="216"/>
      <c r="L360" s="416"/>
      <c r="M360" s="460"/>
      <c r="N360" s="460"/>
      <c r="O360" s="460"/>
      <c r="P360" s="460"/>
      <c r="Q360" s="460"/>
      <c r="R360" s="416"/>
      <c r="S360" s="438"/>
      <c r="U360" s="475"/>
      <c r="V360" s="842"/>
      <c r="W360" s="685">
        <f t="shared" si="70"/>
        <v>0</v>
      </c>
      <c r="X360" s="685"/>
      <c r="Z360" s="460"/>
      <c r="AA360" s="438"/>
    </row>
    <row r="361" spans="1:27" x14ac:dyDescent="0.25">
      <c r="A361" s="438"/>
      <c r="G361" s="424"/>
      <c r="I361" s="456"/>
      <c r="K361" s="216"/>
      <c r="M361" s="436"/>
      <c r="N361" s="436"/>
      <c r="O361" s="436"/>
      <c r="P361" s="436"/>
      <c r="Q361" s="436"/>
      <c r="S361" s="438"/>
      <c r="U361" s="437"/>
      <c r="V361" s="842"/>
      <c r="W361" s="685">
        <f t="shared" si="70"/>
        <v>0</v>
      </c>
      <c r="X361" s="685"/>
      <c r="Z361" s="436"/>
      <c r="AA361" s="438"/>
    </row>
    <row r="362" spans="1:27" ht="15.6" x14ac:dyDescent="0.3">
      <c r="A362" s="438"/>
      <c r="C362" s="417" t="s">
        <v>453</v>
      </c>
      <c r="G362" s="424"/>
      <c r="I362" s="456"/>
      <c r="K362" s="216"/>
      <c r="M362" s="436"/>
      <c r="N362" s="436"/>
      <c r="O362" s="436"/>
      <c r="P362" s="436"/>
      <c r="Q362" s="436"/>
      <c r="S362" s="438"/>
      <c r="U362" s="437"/>
      <c r="V362" s="842"/>
      <c r="W362" s="685">
        <f t="shared" si="70"/>
        <v>0</v>
      </c>
      <c r="X362" s="685"/>
      <c r="Z362" s="436"/>
      <c r="AA362" s="438"/>
    </row>
    <row r="363" spans="1:27" ht="15.6" x14ac:dyDescent="0.3">
      <c r="A363" s="438"/>
      <c r="C363" s="427"/>
      <c r="G363" s="424"/>
      <c r="I363" s="456"/>
      <c r="K363" s="216"/>
      <c r="M363" s="436"/>
      <c r="N363" s="436"/>
      <c r="O363" s="436"/>
      <c r="P363" s="436"/>
      <c r="Q363" s="436"/>
      <c r="S363" s="438"/>
      <c r="U363" s="437"/>
      <c r="V363" s="842"/>
      <c r="W363" s="685">
        <f t="shared" si="70"/>
        <v>0</v>
      </c>
      <c r="X363" s="685"/>
      <c r="Z363" s="436"/>
      <c r="AA363" s="438"/>
    </row>
    <row r="364" spans="1:27" x14ac:dyDescent="0.25">
      <c r="A364" s="438">
        <v>390</v>
      </c>
      <c r="C364" s="461" t="s">
        <v>451</v>
      </c>
      <c r="G364" s="448"/>
      <c r="H364" s="448"/>
      <c r="I364" s="449"/>
      <c r="J364" s="440"/>
      <c r="K364" s="209"/>
      <c r="L364" s="210"/>
      <c r="M364" s="211"/>
      <c r="N364" s="211"/>
      <c r="O364" s="211"/>
      <c r="P364" s="211"/>
      <c r="Q364" s="211"/>
      <c r="R364" s="444"/>
      <c r="S364" s="450"/>
      <c r="T364" s="444"/>
      <c r="U364" s="451"/>
      <c r="V364" s="842"/>
      <c r="W364" s="685">
        <f t="shared" si="70"/>
        <v>0</v>
      </c>
      <c r="X364" s="685"/>
      <c r="Z364" s="211"/>
      <c r="AA364" s="450"/>
    </row>
    <row r="365" spans="1:27" x14ac:dyDescent="0.25">
      <c r="A365" s="438"/>
      <c r="C365" s="461" t="s">
        <v>618</v>
      </c>
      <c r="E365" s="447">
        <v>57526</v>
      </c>
      <c r="G365" s="448" t="s">
        <v>708</v>
      </c>
      <c r="H365" s="448" t="s">
        <v>685</v>
      </c>
      <c r="I365" s="449">
        <v>-5</v>
      </c>
      <c r="J365" s="440"/>
      <c r="K365" s="209">
        <v>20916098.27</v>
      </c>
      <c r="L365" s="210"/>
      <c r="M365" s="211">
        <v>7596119</v>
      </c>
      <c r="N365" s="211"/>
      <c r="O365" s="211">
        <v>14365784</v>
      </c>
      <c r="P365" s="211"/>
      <c r="Q365" s="211">
        <v>374164</v>
      </c>
      <c r="R365" s="444"/>
      <c r="S365" s="450">
        <v>1.79</v>
      </c>
      <c r="T365" s="444"/>
      <c r="U365" s="451">
        <v>38.4</v>
      </c>
      <c r="V365" s="843">
        <f>Q365/K365</f>
        <v>1.7888804841611601E-2</v>
      </c>
      <c r="W365" s="685">
        <f t="shared" si="70"/>
        <v>1.1195158388398185E-5</v>
      </c>
      <c r="X365" s="685"/>
      <c r="Z365" s="211">
        <v>374164</v>
      </c>
      <c r="AA365" s="450">
        <v>1.79</v>
      </c>
    </row>
    <row r="366" spans="1:27" x14ac:dyDescent="0.25">
      <c r="A366" s="438"/>
      <c r="C366" s="461" t="s">
        <v>427</v>
      </c>
      <c r="E366" s="447"/>
      <c r="G366" s="448" t="s">
        <v>699</v>
      </c>
      <c r="H366" s="448"/>
      <c r="I366" s="449">
        <v>-5</v>
      </c>
      <c r="J366" s="440"/>
      <c r="K366" s="212">
        <v>27691074.899999999</v>
      </c>
      <c r="L366" s="210"/>
      <c r="M366" s="213">
        <v>20042691.399999999</v>
      </c>
      <c r="N366" s="211"/>
      <c r="O366" s="213">
        <v>9032937</v>
      </c>
      <c r="P366" s="211"/>
      <c r="Q366" s="213">
        <v>261922</v>
      </c>
      <c r="R366" s="444"/>
      <c r="S366" s="450">
        <v>0.95</v>
      </c>
      <c r="T366" s="444"/>
      <c r="U366" s="451">
        <v>34.5</v>
      </c>
      <c r="V366" s="843">
        <f t="shared" ref="V366" si="72">Q366/K366</f>
        <v>9.4587155228127318E-3</v>
      </c>
      <c r="W366" s="685">
        <f t="shared" si="70"/>
        <v>4.1284477187267937E-5</v>
      </c>
      <c r="X366" s="685"/>
      <c r="Z366" s="213">
        <v>261922</v>
      </c>
      <c r="AA366" s="450">
        <v>0.95</v>
      </c>
    </row>
    <row r="367" spans="1:27" x14ac:dyDescent="0.25">
      <c r="A367" s="438"/>
      <c r="C367" s="461"/>
      <c r="E367" s="447"/>
      <c r="G367" s="448"/>
      <c r="H367" s="448"/>
      <c r="I367" s="449"/>
      <c r="J367" s="440"/>
      <c r="K367" s="209"/>
      <c r="L367" s="210"/>
      <c r="M367" s="211"/>
      <c r="N367" s="211"/>
      <c r="O367" s="211"/>
      <c r="P367" s="211"/>
      <c r="Q367" s="211"/>
      <c r="R367" s="444"/>
      <c r="S367" s="450"/>
      <c r="T367" s="444"/>
      <c r="U367" s="451"/>
      <c r="V367" s="842"/>
      <c r="W367" s="685">
        <f t="shared" si="70"/>
        <v>0</v>
      </c>
      <c r="X367" s="685"/>
      <c r="Z367" s="211"/>
      <c r="AA367" s="450"/>
    </row>
    <row r="368" spans="1:27" ht="15.6" x14ac:dyDescent="0.3">
      <c r="A368" s="438"/>
      <c r="C368" s="464" t="s">
        <v>428</v>
      </c>
      <c r="E368" s="447"/>
      <c r="G368" s="448"/>
      <c r="H368" s="448"/>
      <c r="I368" s="449"/>
      <c r="J368" s="440"/>
      <c r="K368" s="216">
        <f>SUBTOTAL(9,K365:K366)</f>
        <v>48607173.170000002</v>
      </c>
      <c r="L368" s="210"/>
      <c r="M368" s="218">
        <f>SUBTOTAL(9,M365:M366)</f>
        <v>27638810.399999999</v>
      </c>
      <c r="N368" s="211"/>
      <c r="O368" s="218">
        <f>SUBTOTAL(9,O365:O366)</f>
        <v>23398721</v>
      </c>
      <c r="P368" s="211"/>
      <c r="Q368" s="218">
        <f>SUBTOTAL(9,Q365:Q366)</f>
        <v>636086</v>
      </c>
      <c r="R368" s="444"/>
      <c r="S368" s="450">
        <v>1.43</v>
      </c>
      <c r="T368" s="444"/>
      <c r="U368" s="451">
        <v>36.6</v>
      </c>
      <c r="V368" s="843">
        <f>Q368/K368</f>
        <v>1.308625781991757E-2</v>
      </c>
      <c r="W368" s="685">
        <f t="shared" si="70"/>
        <v>1.2137421800824302E-3</v>
      </c>
      <c r="X368" s="685"/>
      <c r="Z368" s="218">
        <v>636086</v>
      </c>
      <c r="AA368" s="450">
        <v>1.43</v>
      </c>
    </row>
    <row r="369" spans="1:27" x14ac:dyDescent="0.25">
      <c r="A369" s="438"/>
      <c r="C369" s="461"/>
      <c r="E369" s="447"/>
      <c r="G369" s="448"/>
      <c r="H369" s="448"/>
      <c r="I369" s="449"/>
      <c r="J369" s="440"/>
      <c r="K369" s="209"/>
      <c r="L369" s="210"/>
      <c r="M369" s="211"/>
      <c r="N369" s="211"/>
      <c r="O369" s="211"/>
      <c r="P369" s="211"/>
      <c r="Q369" s="211"/>
      <c r="R369" s="444"/>
      <c r="S369" s="450"/>
      <c r="T369" s="444"/>
      <c r="U369" s="451"/>
      <c r="V369" s="842"/>
      <c r="W369" s="685">
        <f t="shared" si="70"/>
        <v>0</v>
      </c>
      <c r="X369" s="685"/>
      <c r="Z369" s="211"/>
      <c r="AA369" s="450"/>
    </row>
    <row r="370" spans="1:27" x14ac:dyDescent="0.25">
      <c r="A370" s="438">
        <v>391.1</v>
      </c>
      <c r="C370" s="444" t="s">
        <v>429</v>
      </c>
      <c r="E370" s="447"/>
      <c r="G370" s="448"/>
      <c r="H370" s="448"/>
      <c r="I370" s="449"/>
      <c r="J370" s="440"/>
      <c r="K370" s="209"/>
      <c r="L370" s="210"/>
      <c r="M370" s="211"/>
      <c r="N370" s="211"/>
      <c r="O370" s="211"/>
      <c r="P370" s="211"/>
      <c r="Q370" s="211"/>
      <c r="R370" s="444"/>
      <c r="S370" s="450"/>
      <c r="T370" s="444"/>
      <c r="U370" s="451"/>
      <c r="V370" s="842"/>
      <c r="W370" s="685">
        <f t="shared" si="70"/>
        <v>0</v>
      </c>
      <c r="X370" s="685"/>
      <c r="Z370" s="211"/>
      <c r="AA370" s="450"/>
    </row>
    <row r="371" spans="1:27" x14ac:dyDescent="0.25">
      <c r="A371" s="438"/>
      <c r="C371" s="444" t="s">
        <v>436</v>
      </c>
      <c r="E371" s="447"/>
      <c r="G371" s="448" t="s">
        <v>709</v>
      </c>
      <c r="H371" s="448"/>
      <c r="I371" s="449">
        <v>0</v>
      </c>
      <c r="J371" s="440"/>
      <c r="K371" s="209">
        <v>5896620.0700000003</v>
      </c>
      <c r="L371" s="210"/>
      <c r="M371" s="211">
        <v>5896620.0700000003</v>
      </c>
      <c r="N371" s="211"/>
      <c r="O371" s="211">
        <v>0</v>
      </c>
      <c r="P371" s="211"/>
      <c r="Q371" s="211">
        <v>0</v>
      </c>
      <c r="R371" s="444"/>
      <c r="S371" s="219">
        <v>0</v>
      </c>
      <c r="T371" s="220"/>
      <c r="U371" s="219">
        <v>0</v>
      </c>
      <c r="V371" s="843">
        <f t="shared" ref="V371" si="73">Q371/K371</f>
        <v>0</v>
      </c>
      <c r="W371" s="685">
        <f t="shared" si="70"/>
        <v>0</v>
      </c>
      <c r="X371" s="685"/>
      <c r="Z371" s="211">
        <v>0</v>
      </c>
      <c r="AA371" s="219">
        <v>0</v>
      </c>
    </row>
    <row r="372" spans="1:27" x14ac:dyDescent="0.25">
      <c r="A372" s="438"/>
      <c r="C372" s="444" t="s">
        <v>437</v>
      </c>
      <c r="E372" s="447"/>
      <c r="G372" s="448" t="s">
        <v>710</v>
      </c>
      <c r="H372" s="448"/>
      <c r="I372" s="449">
        <v>0</v>
      </c>
      <c r="J372" s="440"/>
      <c r="K372" s="212">
        <v>4398911.17</v>
      </c>
      <c r="L372" s="210"/>
      <c r="M372" s="213">
        <v>2177000</v>
      </c>
      <c r="N372" s="211"/>
      <c r="O372" s="213">
        <v>2221911</v>
      </c>
      <c r="P372" s="211"/>
      <c r="Q372" s="213">
        <v>219874</v>
      </c>
      <c r="R372" s="444"/>
      <c r="S372" s="450">
        <v>5</v>
      </c>
      <c r="T372" s="444"/>
      <c r="U372" s="451">
        <v>10.1</v>
      </c>
      <c r="V372" s="843">
        <f>Q372/K372</f>
        <v>4.9983732679012023E-2</v>
      </c>
      <c r="W372" s="685">
        <f t="shared" si="70"/>
        <v>1.6267320987979617E-5</v>
      </c>
      <c r="X372" s="685"/>
      <c r="Z372" s="213">
        <v>219874</v>
      </c>
      <c r="AA372" s="450">
        <v>5</v>
      </c>
    </row>
    <row r="373" spans="1:27" x14ac:dyDescent="0.25">
      <c r="A373" s="438"/>
      <c r="C373" s="444"/>
      <c r="E373" s="447"/>
      <c r="G373" s="448"/>
      <c r="H373" s="448"/>
      <c r="I373" s="449"/>
      <c r="J373" s="440"/>
      <c r="K373" s="209"/>
      <c r="L373" s="210"/>
      <c r="M373" s="211"/>
      <c r="N373" s="211"/>
      <c r="O373" s="211"/>
      <c r="P373" s="211"/>
      <c r="Q373" s="211"/>
      <c r="R373" s="444"/>
      <c r="S373" s="450"/>
      <c r="T373" s="444"/>
      <c r="U373" s="451"/>
      <c r="V373" s="842"/>
      <c r="W373" s="685">
        <f t="shared" si="70"/>
        <v>0</v>
      </c>
      <c r="X373" s="685"/>
      <c r="Z373" s="211"/>
      <c r="AA373" s="450"/>
    </row>
    <row r="374" spans="1:27" ht="15.6" x14ac:dyDescent="0.3">
      <c r="A374" s="438"/>
      <c r="C374" s="464" t="s">
        <v>619</v>
      </c>
      <c r="E374" s="447"/>
      <c r="G374" s="448"/>
      <c r="H374" s="448"/>
      <c r="I374" s="449"/>
      <c r="J374" s="440"/>
      <c r="K374" s="216">
        <f>SUBTOTAL(9,K371:K372)</f>
        <v>10295531.24</v>
      </c>
      <c r="L374" s="210"/>
      <c r="M374" s="218">
        <f>SUBTOTAL(9,M371:M372)</f>
        <v>8073620.0700000003</v>
      </c>
      <c r="N374" s="211"/>
      <c r="O374" s="218">
        <f>SUBTOTAL(9,O371:O372)</f>
        <v>2221911</v>
      </c>
      <c r="P374" s="211"/>
      <c r="Q374" s="218">
        <f>SUBTOTAL(9,Q371:Q372)</f>
        <v>219874</v>
      </c>
      <c r="R374" s="444"/>
      <c r="S374" s="450">
        <v>2.14</v>
      </c>
      <c r="T374" s="444"/>
      <c r="U374" s="451">
        <v>10.5</v>
      </c>
      <c r="V374" s="843">
        <f t="shared" ref="V374" si="74">Q374/K374</f>
        <v>2.1356255920602692E-2</v>
      </c>
      <c r="W374" s="685">
        <f t="shared" si="70"/>
        <v>4.3744079397309982E-5</v>
      </c>
      <c r="X374" s="685"/>
      <c r="Z374" s="218">
        <v>219874</v>
      </c>
      <c r="AA374" s="450">
        <v>2.14</v>
      </c>
    </row>
    <row r="375" spans="1:27" x14ac:dyDescent="0.25">
      <c r="A375" s="438"/>
      <c r="C375" s="461"/>
      <c r="E375" s="447"/>
      <c r="G375" s="448"/>
      <c r="H375" s="448"/>
      <c r="I375" s="449"/>
      <c r="J375" s="440"/>
      <c r="K375" s="209"/>
      <c r="L375" s="210"/>
      <c r="M375" s="211"/>
      <c r="N375" s="211"/>
      <c r="O375" s="211"/>
      <c r="P375" s="211"/>
      <c r="Q375" s="211"/>
      <c r="R375" s="444"/>
      <c r="S375" s="450"/>
      <c r="T375" s="444"/>
      <c r="U375" s="451"/>
      <c r="V375" s="842"/>
      <c r="W375" s="685">
        <f t="shared" si="70"/>
        <v>0</v>
      </c>
      <c r="X375" s="685"/>
      <c r="Z375" s="211"/>
      <c r="AA375" s="450"/>
    </row>
    <row r="376" spans="1:27" x14ac:dyDescent="0.25">
      <c r="A376" s="438">
        <v>391.2</v>
      </c>
      <c r="C376" s="444" t="s">
        <v>620</v>
      </c>
      <c r="E376" s="447"/>
      <c r="G376" s="448" t="s">
        <v>711</v>
      </c>
      <c r="H376" s="448"/>
      <c r="I376" s="449">
        <v>0</v>
      </c>
      <c r="J376" s="440"/>
      <c r="K376" s="209">
        <v>22169281.93</v>
      </c>
      <c r="L376" s="210"/>
      <c r="M376" s="211">
        <v>13532000</v>
      </c>
      <c r="N376" s="211"/>
      <c r="O376" s="211">
        <v>8637282</v>
      </c>
      <c r="P376" s="211"/>
      <c r="Q376" s="211">
        <v>4433881</v>
      </c>
      <c r="R376" s="444"/>
      <c r="S376" s="450">
        <v>20</v>
      </c>
      <c r="T376" s="444"/>
      <c r="U376" s="451">
        <v>1.9</v>
      </c>
      <c r="V376" s="843">
        <f t="shared" ref="V376" si="75">Q376/K376</f>
        <v>0.20000111027502279</v>
      </c>
      <c r="W376" s="685">
        <f t="shared" si="70"/>
        <v>-1.1102750227809377E-6</v>
      </c>
      <c r="X376" s="685"/>
      <c r="Z376" s="211">
        <v>4433881</v>
      </c>
      <c r="AA376" s="450">
        <v>20</v>
      </c>
    </row>
    <row r="377" spans="1:27" x14ac:dyDescent="0.25">
      <c r="E377" s="447"/>
      <c r="K377" s="476"/>
      <c r="L377" s="476"/>
      <c r="M377" s="477"/>
      <c r="N377" s="477"/>
      <c r="O377" s="477"/>
      <c r="P377" s="477"/>
      <c r="Q377" s="477"/>
      <c r="W377" s="685">
        <f t="shared" si="70"/>
        <v>0</v>
      </c>
      <c r="X377" s="685"/>
      <c r="Z377" s="477"/>
    </row>
    <row r="378" spans="1:27" x14ac:dyDescent="0.25">
      <c r="A378" s="438">
        <v>392</v>
      </c>
      <c r="C378" s="461" t="s">
        <v>454</v>
      </c>
      <c r="E378" s="447"/>
      <c r="G378" s="448" t="s">
        <v>712</v>
      </c>
      <c r="H378" s="448"/>
      <c r="I378" s="449">
        <v>10</v>
      </c>
      <c r="J378" s="440"/>
      <c r="K378" s="209">
        <v>9188876.1099999994</v>
      </c>
      <c r="L378" s="210"/>
      <c r="M378" s="211">
        <v>5273637.58</v>
      </c>
      <c r="N378" s="211"/>
      <c r="O378" s="211">
        <v>2996351</v>
      </c>
      <c r="P378" s="211"/>
      <c r="Q378" s="211">
        <v>482333</v>
      </c>
      <c r="R378" s="444"/>
      <c r="S378" s="450">
        <v>5.25</v>
      </c>
      <c r="T378" s="444"/>
      <c r="U378" s="451">
        <v>6.2</v>
      </c>
      <c r="V378" s="843">
        <f t="shared" ref="V378" si="76">Q378/K378</f>
        <v>5.2490967799107703E-2</v>
      </c>
      <c r="W378" s="685">
        <f t="shared" si="70"/>
        <v>9.0322008922949504E-6</v>
      </c>
      <c r="X378" s="685"/>
      <c r="Z378" s="211">
        <v>482333</v>
      </c>
      <c r="AA378" s="450">
        <v>5.25</v>
      </c>
    </row>
    <row r="379" spans="1:27" x14ac:dyDescent="0.25">
      <c r="A379" s="438"/>
      <c r="C379" s="461"/>
      <c r="E379" s="447"/>
      <c r="G379" s="448"/>
      <c r="H379" s="448"/>
      <c r="I379" s="449"/>
      <c r="J379" s="440"/>
      <c r="K379" s="209"/>
      <c r="L379" s="210"/>
      <c r="M379" s="211"/>
      <c r="N379" s="211"/>
      <c r="O379" s="211"/>
      <c r="P379" s="211"/>
      <c r="Q379" s="211"/>
      <c r="R379" s="444"/>
      <c r="S379" s="450"/>
      <c r="T379" s="444"/>
      <c r="U379" s="451"/>
      <c r="V379" s="842"/>
      <c r="W379" s="685">
        <f t="shared" si="70"/>
        <v>0</v>
      </c>
      <c r="X379" s="685"/>
      <c r="Z379" s="211"/>
      <c r="AA379" s="450"/>
    </row>
    <row r="380" spans="1:27" x14ac:dyDescent="0.25">
      <c r="A380" s="438">
        <v>393</v>
      </c>
      <c r="C380" s="461" t="s">
        <v>455</v>
      </c>
      <c r="E380" s="447"/>
      <c r="G380" s="448"/>
      <c r="H380" s="448"/>
      <c r="I380" s="449"/>
      <c r="J380" s="440"/>
      <c r="K380" s="209"/>
      <c r="L380" s="210"/>
      <c r="M380" s="211"/>
      <c r="N380" s="211"/>
      <c r="O380" s="211"/>
      <c r="P380" s="211"/>
      <c r="Q380" s="211"/>
      <c r="R380" s="444"/>
      <c r="S380" s="450"/>
      <c r="T380" s="444"/>
      <c r="U380" s="451"/>
      <c r="V380" s="842"/>
      <c r="W380" s="685">
        <f t="shared" si="70"/>
        <v>0</v>
      </c>
      <c r="X380" s="685"/>
      <c r="Z380" s="211"/>
      <c r="AA380" s="450"/>
    </row>
    <row r="381" spans="1:27" x14ac:dyDescent="0.25">
      <c r="A381" s="438"/>
      <c r="C381" s="461" t="s">
        <v>436</v>
      </c>
      <c r="E381" s="447"/>
      <c r="G381" s="448" t="s">
        <v>709</v>
      </c>
      <c r="H381" s="448"/>
      <c r="I381" s="449">
        <v>0</v>
      </c>
      <c r="J381" s="440"/>
      <c r="K381" s="209">
        <v>589595.93000000005</v>
      </c>
      <c r="L381" s="210"/>
      <c r="M381" s="211">
        <v>589595.93000000005</v>
      </c>
      <c r="N381" s="211"/>
      <c r="O381" s="211">
        <v>0</v>
      </c>
      <c r="P381" s="211"/>
      <c r="Q381" s="211">
        <v>0</v>
      </c>
      <c r="R381" s="444"/>
      <c r="S381" s="219">
        <v>0</v>
      </c>
      <c r="T381" s="220"/>
      <c r="U381" s="219">
        <v>0</v>
      </c>
      <c r="V381" s="843">
        <f t="shared" ref="V381:V382" si="77">Q381/K381</f>
        <v>0</v>
      </c>
      <c r="W381" s="685">
        <f t="shared" si="70"/>
        <v>0</v>
      </c>
      <c r="X381" s="685"/>
      <c r="Z381" s="211">
        <v>0</v>
      </c>
      <c r="AA381" s="219">
        <v>0</v>
      </c>
    </row>
    <row r="382" spans="1:27" x14ac:dyDescent="0.25">
      <c r="A382" s="438"/>
      <c r="C382" s="461" t="s">
        <v>437</v>
      </c>
      <c r="E382" s="447"/>
      <c r="G382" s="448" t="s">
        <v>710</v>
      </c>
      <c r="H382" s="448"/>
      <c r="I382" s="449">
        <v>0</v>
      </c>
      <c r="J382" s="440"/>
      <c r="K382" s="212">
        <v>170968.61</v>
      </c>
      <c r="L382" s="210"/>
      <c r="M382" s="213">
        <v>33600</v>
      </c>
      <c r="N382" s="211"/>
      <c r="O382" s="213">
        <v>137369</v>
      </c>
      <c r="P382" s="211"/>
      <c r="Q382" s="213">
        <v>8552</v>
      </c>
      <c r="R382" s="444"/>
      <c r="S382" s="450">
        <v>5</v>
      </c>
      <c r="T382" s="444"/>
      <c r="U382" s="451">
        <v>16.100000000000001</v>
      </c>
      <c r="V382" s="843">
        <f t="shared" si="77"/>
        <v>5.0020878101541565E-2</v>
      </c>
      <c r="W382" s="685">
        <f t="shared" si="70"/>
        <v>-2.0878101541561833E-5</v>
      </c>
      <c r="X382" s="685"/>
      <c r="Z382" s="213">
        <v>8552</v>
      </c>
      <c r="AA382" s="450">
        <v>5</v>
      </c>
    </row>
    <row r="383" spans="1:27" x14ac:dyDescent="0.25">
      <c r="A383" s="438"/>
      <c r="C383" s="461"/>
      <c r="E383" s="447"/>
      <c r="G383" s="448"/>
      <c r="H383" s="448"/>
      <c r="I383" s="449"/>
      <c r="J383" s="440"/>
      <c r="K383" s="209"/>
      <c r="L383" s="210"/>
      <c r="M383" s="211"/>
      <c r="N383" s="211"/>
      <c r="O383" s="211"/>
      <c r="P383" s="211"/>
      <c r="Q383" s="211"/>
      <c r="R383" s="444"/>
      <c r="S383" s="450"/>
      <c r="T383" s="444"/>
      <c r="U383" s="451"/>
      <c r="V383" s="842"/>
      <c r="W383" s="685">
        <f t="shared" si="70"/>
        <v>0</v>
      </c>
      <c r="X383" s="685"/>
      <c r="Z383" s="211"/>
      <c r="AA383" s="450"/>
    </row>
    <row r="384" spans="1:27" ht="15.6" x14ac:dyDescent="0.3">
      <c r="A384" s="438"/>
      <c r="C384" s="478" t="s">
        <v>621</v>
      </c>
      <c r="E384" s="447"/>
      <c r="G384" s="455"/>
      <c r="I384" s="456"/>
      <c r="K384" s="216">
        <f>SUBTOTAL(9,K381:K382)</f>
        <v>760564.54</v>
      </c>
      <c r="L384" s="479"/>
      <c r="M384" s="218">
        <f>SUBTOTAL(9,M381:M382)</f>
        <v>623195.93000000005</v>
      </c>
      <c r="N384" s="436"/>
      <c r="O384" s="218">
        <f>SUBTOTAL(9,O381:O382)</f>
        <v>137369</v>
      </c>
      <c r="P384" s="436"/>
      <c r="Q384" s="218">
        <f>SUBTOTAL(9,Q381:Q382)</f>
        <v>8552</v>
      </c>
      <c r="R384" s="479"/>
      <c r="S384" s="438">
        <v>0.99</v>
      </c>
      <c r="T384" s="434"/>
      <c r="U384" s="437">
        <v>16.399999999999999</v>
      </c>
      <c r="V384" s="843">
        <f t="shared" ref="V384" si="78">Q384/K384</f>
        <v>1.1244279150852864E-2</v>
      </c>
      <c r="W384" s="685">
        <f t="shared" si="70"/>
        <v>-1.3442791508528652E-3</v>
      </c>
      <c r="X384" s="685"/>
      <c r="Z384" s="218">
        <v>8552</v>
      </c>
      <c r="AA384" s="438">
        <v>0.99</v>
      </c>
    </row>
    <row r="385" spans="1:27" ht="15.6" x14ac:dyDescent="0.3">
      <c r="A385" s="438"/>
      <c r="C385" s="478"/>
      <c r="E385" s="447"/>
      <c r="G385" s="455"/>
      <c r="I385" s="456"/>
      <c r="K385" s="216"/>
      <c r="L385" s="479"/>
      <c r="M385" s="436"/>
      <c r="N385" s="436"/>
      <c r="O385" s="436"/>
      <c r="P385" s="436"/>
      <c r="Q385" s="436"/>
      <c r="R385" s="479"/>
      <c r="S385" s="438"/>
      <c r="T385" s="434"/>
      <c r="U385" s="437"/>
      <c r="V385" s="842"/>
      <c r="W385" s="685">
        <f t="shared" si="70"/>
        <v>0</v>
      </c>
      <c r="X385" s="685"/>
      <c r="Z385" s="436"/>
      <c r="AA385" s="438"/>
    </row>
    <row r="386" spans="1:27" x14ac:dyDescent="0.25">
      <c r="A386" s="438">
        <v>394</v>
      </c>
      <c r="C386" s="461" t="s">
        <v>456</v>
      </c>
      <c r="E386" s="447"/>
      <c r="G386" s="448"/>
      <c r="H386" s="448"/>
      <c r="I386" s="449"/>
      <c r="J386" s="440"/>
      <c r="K386" s="209"/>
      <c r="L386" s="210"/>
      <c r="M386" s="211"/>
      <c r="N386" s="211"/>
      <c r="O386" s="211"/>
      <c r="P386" s="211"/>
      <c r="Q386" s="211"/>
      <c r="R386" s="444"/>
      <c r="S386" s="450"/>
      <c r="T386" s="444"/>
      <c r="U386" s="451"/>
      <c r="V386" s="842"/>
      <c r="W386" s="685">
        <f t="shared" si="70"/>
        <v>0</v>
      </c>
      <c r="X386" s="685"/>
      <c r="Z386" s="211"/>
      <c r="AA386" s="450"/>
    </row>
    <row r="387" spans="1:27" x14ac:dyDescent="0.25">
      <c r="A387" s="438"/>
      <c r="C387" s="461" t="s">
        <v>436</v>
      </c>
      <c r="E387" s="447"/>
      <c r="G387" s="448" t="s">
        <v>709</v>
      </c>
      <c r="H387" s="448"/>
      <c r="I387" s="449">
        <v>0</v>
      </c>
      <c r="J387" s="440"/>
      <c r="K387" s="209">
        <v>3661294.93</v>
      </c>
      <c r="L387" s="210"/>
      <c r="M387" s="211">
        <v>3661294.93</v>
      </c>
      <c r="N387" s="211"/>
      <c r="O387" s="211">
        <v>0</v>
      </c>
      <c r="P387" s="211"/>
      <c r="Q387" s="211">
        <v>0</v>
      </c>
      <c r="R387" s="444"/>
      <c r="S387" s="219">
        <v>0</v>
      </c>
      <c r="T387" s="220"/>
      <c r="U387" s="219">
        <v>0</v>
      </c>
      <c r="V387" s="843">
        <f t="shared" ref="V387:V388" si="79">Q387/K387</f>
        <v>0</v>
      </c>
      <c r="W387" s="685">
        <f t="shared" si="70"/>
        <v>0</v>
      </c>
      <c r="X387" s="685"/>
      <c r="Z387" s="211">
        <v>0</v>
      </c>
      <c r="AA387" s="219">
        <v>0</v>
      </c>
    </row>
    <row r="388" spans="1:27" x14ac:dyDescent="0.25">
      <c r="A388" s="438"/>
      <c r="C388" s="461" t="s">
        <v>437</v>
      </c>
      <c r="E388" s="447"/>
      <c r="G388" s="448" t="s">
        <v>710</v>
      </c>
      <c r="H388" s="448"/>
      <c r="I388" s="449">
        <v>0</v>
      </c>
      <c r="J388" s="440"/>
      <c r="K388" s="212">
        <v>8917577.8399999999</v>
      </c>
      <c r="L388" s="210"/>
      <c r="M388" s="213">
        <v>2134000</v>
      </c>
      <c r="N388" s="211"/>
      <c r="O388" s="213">
        <v>6783578</v>
      </c>
      <c r="P388" s="211"/>
      <c r="Q388" s="213">
        <v>445520</v>
      </c>
      <c r="R388" s="444"/>
      <c r="S388" s="450">
        <v>5</v>
      </c>
      <c r="T388" s="444"/>
      <c r="U388" s="451">
        <v>15.2</v>
      </c>
      <c r="V388" s="843">
        <f t="shared" si="79"/>
        <v>4.9959754542495814E-2</v>
      </c>
      <c r="W388" s="685">
        <f t="shared" si="70"/>
        <v>4.0245457504188564E-5</v>
      </c>
      <c r="X388" s="685"/>
      <c r="Z388" s="213">
        <v>445520</v>
      </c>
      <c r="AA388" s="450">
        <v>5</v>
      </c>
    </row>
    <row r="389" spans="1:27" x14ac:dyDescent="0.25">
      <c r="A389" s="438"/>
      <c r="C389" s="461"/>
      <c r="E389" s="447"/>
      <c r="G389" s="448"/>
      <c r="H389" s="448"/>
      <c r="I389" s="449"/>
      <c r="J389" s="440"/>
      <c r="K389" s="209"/>
      <c r="L389" s="210"/>
      <c r="M389" s="211"/>
      <c r="N389" s="211"/>
      <c r="O389" s="211"/>
      <c r="P389" s="211"/>
      <c r="Q389" s="211"/>
      <c r="R389" s="444"/>
      <c r="S389" s="450"/>
      <c r="T389" s="444"/>
      <c r="U389" s="451"/>
      <c r="V389" s="842"/>
      <c r="W389" s="685">
        <f t="shared" si="70"/>
        <v>0</v>
      </c>
      <c r="X389" s="685"/>
      <c r="Z389" s="211"/>
      <c r="AA389" s="450"/>
    </row>
    <row r="390" spans="1:27" ht="15.6" x14ac:dyDescent="0.3">
      <c r="A390" s="438"/>
      <c r="C390" s="478" t="s">
        <v>622</v>
      </c>
      <c r="E390" s="447"/>
      <c r="G390" s="455"/>
      <c r="I390" s="456"/>
      <c r="K390" s="216">
        <f>SUBTOTAL(9,K387:K388)</f>
        <v>12578872.77</v>
      </c>
      <c r="L390" s="479"/>
      <c r="M390" s="218">
        <f>SUBTOTAL(9,M387:M388)</f>
        <v>5795294.9299999997</v>
      </c>
      <c r="N390" s="436"/>
      <c r="O390" s="218">
        <f>SUBTOTAL(9,O387:O388)</f>
        <v>6783578</v>
      </c>
      <c r="P390" s="436"/>
      <c r="Q390" s="218">
        <f>SUBTOTAL(9,Q387:Q388)</f>
        <v>445520</v>
      </c>
      <c r="R390" s="479"/>
      <c r="S390" s="438">
        <v>3.61</v>
      </c>
      <c r="T390" s="434"/>
      <c r="U390" s="437">
        <v>15.7</v>
      </c>
      <c r="V390" s="843">
        <f t="shared" ref="V390" si="80">Q390/K390</f>
        <v>3.54181179940498E-2</v>
      </c>
      <c r="W390" s="685">
        <f t="shared" si="70"/>
        <v>6.8188200595020038E-4</v>
      </c>
      <c r="X390" s="685"/>
      <c r="Z390" s="218">
        <v>445520</v>
      </c>
      <c r="AA390" s="438">
        <v>3.61</v>
      </c>
    </row>
    <row r="391" spans="1:27" x14ac:dyDescent="0.25">
      <c r="A391" s="438"/>
      <c r="C391" s="461"/>
      <c r="E391" s="447"/>
      <c r="G391" s="448"/>
      <c r="H391" s="448"/>
      <c r="I391" s="449"/>
      <c r="J391" s="440"/>
      <c r="K391" s="209"/>
      <c r="L391" s="210"/>
      <c r="M391" s="211"/>
      <c r="N391" s="211"/>
      <c r="O391" s="211"/>
      <c r="P391" s="211"/>
      <c r="Q391" s="211"/>
      <c r="R391" s="444"/>
      <c r="S391" s="450"/>
      <c r="T391" s="444"/>
      <c r="U391" s="451"/>
      <c r="V391" s="842"/>
      <c r="W391" s="685">
        <f t="shared" si="70"/>
        <v>0</v>
      </c>
      <c r="X391" s="685"/>
      <c r="Z391" s="211"/>
      <c r="AA391" s="450"/>
    </row>
    <row r="392" spans="1:27" x14ac:dyDescent="0.25">
      <c r="A392" s="438">
        <v>395</v>
      </c>
      <c r="C392" s="461" t="s">
        <v>457</v>
      </c>
      <c r="E392" s="447"/>
      <c r="G392" s="448"/>
      <c r="H392" s="448"/>
      <c r="I392" s="449"/>
      <c r="J392" s="440"/>
      <c r="K392" s="209"/>
      <c r="L392" s="210"/>
      <c r="M392" s="211"/>
      <c r="N392" s="211"/>
      <c r="O392" s="211"/>
      <c r="P392" s="211"/>
      <c r="Q392" s="211"/>
      <c r="R392" s="444"/>
      <c r="S392" s="450"/>
      <c r="T392" s="444"/>
      <c r="U392" s="451"/>
      <c r="V392" s="842"/>
      <c r="W392" s="685">
        <f t="shared" si="70"/>
        <v>0</v>
      </c>
      <c r="X392" s="685"/>
      <c r="Z392" s="211"/>
      <c r="AA392" s="450"/>
    </row>
    <row r="393" spans="1:27" x14ac:dyDescent="0.25">
      <c r="A393" s="438"/>
      <c r="C393" s="461" t="s">
        <v>436</v>
      </c>
      <c r="E393" s="447"/>
      <c r="G393" s="448" t="s">
        <v>709</v>
      </c>
      <c r="H393" s="448"/>
      <c r="I393" s="449">
        <v>0</v>
      </c>
      <c r="J393" s="440"/>
      <c r="K393" s="209">
        <v>4155876.27</v>
      </c>
      <c r="L393" s="210"/>
      <c r="M393" s="211">
        <v>4155876.27</v>
      </c>
      <c r="N393" s="211"/>
      <c r="O393" s="211">
        <v>0</v>
      </c>
      <c r="P393" s="211"/>
      <c r="Q393" s="211">
        <v>0</v>
      </c>
      <c r="R393" s="444"/>
      <c r="S393" s="219">
        <v>0</v>
      </c>
      <c r="T393" s="220"/>
      <c r="U393" s="219">
        <v>0</v>
      </c>
      <c r="V393" s="843">
        <f t="shared" ref="V393:V394" si="81">Q393/K393</f>
        <v>0</v>
      </c>
      <c r="W393" s="685">
        <f t="shared" si="70"/>
        <v>0</v>
      </c>
      <c r="X393" s="685"/>
      <c r="Z393" s="211">
        <v>0</v>
      </c>
      <c r="AA393" s="219">
        <v>0</v>
      </c>
    </row>
    <row r="394" spans="1:27" x14ac:dyDescent="0.25">
      <c r="A394" s="438"/>
      <c r="C394" s="461" t="s">
        <v>437</v>
      </c>
      <c r="E394" s="447"/>
      <c r="G394" s="448" t="s">
        <v>710</v>
      </c>
      <c r="H394" s="448"/>
      <c r="I394" s="449">
        <v>0</v>
      </c>
      <c r="J394" s="440"/>
      <c r="K394" s="212">
        <v>7875250.46</v>
      </c>
      <c r="L394" s="210"/>
      <c r="M394" s="213">
        <v>3991000</v>
      </c>
      <c r="N394" s="211"/>
      <c r="O394" s="213">
        <v>3884250</v>
      </c>
      <c r="P394" s="211"/>
      <c r="Q394" s="213">
        <v>393582</v>
      </c>
      <c r="R394" s="444"/>
      <c r="S394" s="450">
        <v>5</v>
      </c>
      <c r="T394" s="444"/>
      <c r="U394" s="451">
        <v>9.9</v>
      </c>
      <c r="V394" s="843">
        <f t="shared" si="81"/>
        <v>4.9977077173492208E-2</v>
      </c>
      <c r="W394" s="685">
        <f t="shared" si="70"/>
        <v>2.2922826507794369E-5</v>
      </c>
      <c r="X394" s="685"/>
      <c r="Z394" s="213">
        <v>393582</v>
      </c>
      <c r="AA394" s="450">
        <v>5</v>
      </c>
    </row>
    <row r="395" spans="1:27" x14ac:dyDescent="0.25">
      <c r="A395" s="438"/>
      <c r="C395" s="461"/>
      <c r="E395" s="447"/>
      <c r="G395" s="448"/>
      <c r="H395" s="448"/>
      <c r="I395" s="449"/>
      <c r="J395" s="440"/>
      <c r="K395" s="209"/>
      <c r="L395" s="210"/>
      <c r="M395" s="211"/>
      <c r="N395" s="211"/>
      <c r="O395" s="211"/>
      <c r="P395" s="211"/>
      <c r="Q395" s="211"/>
      <c r="R395" s="444"/>
      <c r="S395" s="450"/>
      <c r="T395" s="444"/>
      <c r="U395" s="451"/>
      <c r="V395" s="842"/>
      <c r="W395" s="685">
        <f t="shared" si="70"/>
        <v>0</v>
      </c>
      <c r="X395" s="685"/>
      <c r="Z395" s="211"/>
      <c r="AA395" s="450"/>
    </row>
    <row r="396" spans="1:27" ht="15.6" x14ac:dyDescent="0.3">
      <c r="A396" s="438"/>
      <c r="C396" s="478" t="s">
        <v>623</v>
      </c>
      <c r="E396" s="447"/>
      <c r="G396" s="455"/>
      <c r="I396" s="456"/>
      <c r="K396" s="216">
        <f>SUBTOTAL(9,K393:K394)</f>
        <v>12031126.73</v>
      </c>
      <c r="L396" s="479"/>
      <c r="M396" s="218">
        <f>SUBTOTAL(9,M393:M394)</f>
        <v>8146876.2699999996</v>
      </c>
      <c r="N396" s="436"/>
      <c r="O396" s="218">
        <f>SUBTOTAL(9,O393:O394)</f>
        <v>3884250</v>
      </c>
      <c r="P396" s="436"/>
      <c r="Q396" s="218">
        <f>SUBTOTAL(9,Q393:Q394)</f>
        <v>393582</v>
      </c>
      <c r="R396" s="479"/>
      <c r="S396" s="438">
        <v>3.4</v>
      </c>
      <c r="T396" s="434"/>
      <c r="U396" s="437">
        <v>10.5</v>
      </c>
      <c r="V396" s="843">
        <f t="shared" ref="V396" si="82">Q396/K396</f>
        <v>3.2713644268960333E-2</v>
      </c>
      <c r="W396" s="685">
        <f t="shared" si="70"/>
        <v>1.2863557310396692E-3</v>
      </c>
      <c r="X396" s="685"/>
      <c r="Z396" s="218">
        <v>393582</v>
      </c>
      <c r="AA396" s="438">
        <v>3.4</v>
      </c>
    </row>
    <row r="397" spans="1:27" x14ac:dyDescent="0.25">
      <c r="A397" s="438"/>
      <c r="C397" s="461"/>
      <c r="E397" s="447"/>
      <c r="G397" s="448"/>
      <c r="H397" s="448"/>
      <c r="I397" s="449"/>
      <c r="J397" s="440"/>
      <c r="K397" s="209"/>
      <c r="L397" s="210"/>
      <c r="M397" s="211"/>
      <c r="N397" s="211"/>
      <c r="O397" s="211"/>
      <c r="P397" s="211"/>
      <c r="Q397" s="211"/>
      <c r="R397" s="444"/>
      <c r="S397" s="450"/>
      <c r="T397" s="444"/>
      <c r="U397" s="451"/>
      <c r="V397" s="842"/>
      <c r="W397" s="685">
        <f t="shared" si="70"/>
        <v>0</v>
      </c>
      <c r="X397" s="685"/>
      <c r="Z397" s="211"/>
      <c r="AA397" s="450"/>
    </row>
    <row r="398" spans="1:27" x14ac:dyDescent="0.25">
      <c r="A398" s="438">
        <v>396</v>
      </c>
      <c r="C398" s="408" t="s">
        <v>458</v>
      </c>
      <c r="E398" s="447"/>
      <c r="G398" s="448" t="s">
        <v>713</v>
      </c>
      <c r="H398" s="448"/>
      <c r="I398" s="449">
        <v>10</v>
      </c>
      <c r="J398" s="440"/>
      <c r="K398" s="209">
        <v>6082762.2400000002</v>
      </c>
      <c r="L398" s="210"/>
      <c r="M398" s="211">
        <v>2469390.7200000002</v>
      </c>
      <c r="N398" s="211"/>
      <c r="O398" s="211">
        <v>3005095</v>
      </c>
      <c r="P398" s="211"/>
      <c r="Q398" s="211">
        <v>400413</v>
      </c>
      <c r="R398" s="444"/>
      <c r="S398" s="450">
        <v>6.58</v>
      </c>
      <c r="T398" s="444"/>
      <c r="U398" s="451">
        <v>7.5</v>
      </c>
      <c r="V398" s="843">
        <f t="shared" ref="V398" si="83">Q398/K398</f>
        <v>6.5827494845499657E-2</v>
      </c>
      <c r="W398" s="685">
        <f t="shared" si="70"/>
        <v>-2.7494845499659304E-5</v>
      </c>
      <c r="X398" s="685"/>
      <c r="Z398" s="211">
        <v>400413</v>
      </c>
      <c r="AA398" s="450">
        <v>6.58</v>
      </c>
    </row>
    <row r="399" spans="1:27" x14ac:dyDescent="0.25">
      <c r="A399" s="438"/>
      <c r="E399" s="447"/>
      <c r="G399" s="448"/>
      <c r="H399" s="448"/>
      <c r="I399" s="449"/>
      <c r="J399" s="440"/>
      <c r="K399" s="209"/>
      <c r="L399" s="210"/>
      <c r="M399" s="211"/>
      <c r="N399" s="211"/>
      <c r="O399" s="211"/>
      <c r="P399" s="211"/>
      <c r="Q399" s="211"/>
      <c r="R399" s="444"/>
      <c r="S399" s="450"/>
      <c r="T399" s="444"/>
      <c r="U399" s="451"/>
      <c r="V399" s="842"/>
      <c r="W399" s="685">
        <f t="shared" si="70"/>
        <v>0</v>
      </c>
      <c r="X399" s="685"/>
      <c r="Z399" s="211"/>
      <c r="AA399" s="450"/>
    </row>
    <row r="400" spans="1:27" x14ac:dyDescent="0.25">
      <c r="A400" s="438">
        <v>397</v>
      </c>
      <c r="C400" s="444" t="s">
        <v>624</v>
      </c>
      <c r="E400" s="447"/>
      <c r="G400" s="448"/>
      <c r="H400" s="448"/>
      <c r="I400" s="449"/>
      <c r="J400" s="440"/>
      <c r="K400" s="209"/>
      <c r="L400" s="210"/>
      <c r="M400" s="211"/>
      <c r="N400" s="211"/>
      <c r="O400" s="211"/>
      <c r="P400" s="211"/>
      <c r="Q400" s="211"/>
      <c r="R400" s="444"/>
      <c r="S400" s="450"/>
      <c r="T400" s="444"/>
      <c r="U400" s="451"/>
      <c r="V400" s="842"/>
      <c r="W400" s="685">
        <f t="shared" si="70"/>
        <v>0</v>
      </c>
      <c r="X400" s="685"/>
      <c r="Z400" s="211"/>
      <c r="AA400" s="450"/>
    </row>
    <row r="401" spans="1:27" x14ac:dyDescent="0.25">
      <c r="A401" s="438"/>
      <c r="C401" s="444" t="s">
        <v>436</v>
      </c>
      <c r="G401" s="448" t="s">
        <v>709</v>
      </c>
      <c r="H401" s="448"/>
      <c r="I401" s="449">
        <v>0</v>
      </c>
      <c r="J401" s="440"/>
      <c r="K401" s="209">
        <v>12913083.02</v>
      </c>
      <c r="L401" s="210"/>
      <c r="M401" s="211">
        <v>12913083.02</v>
      </c>
      <c r="N401" s="211"/>
      <c r="O401" s="211">
        <v>0</v>
      </c>
      <c r="P401" s="211"/>
      <c r="Q401" s="211">
        <v>0</v>
      </c>
      <c r="R401" s="444"/>
      <c r="S401" s="219">
        <v>0</v>
      </c>
      <c r="T401" s="220"/>
      <c r="U401" s="219">
        <v>0</v>
      </c>
      <c r="V401" s="843">
        <f t="shared" ref="V401:V402" si="84">Q401/K401</f>
        <v>0</v>
      </c>
      <c r="W401" s="685">
        <f t="shared" si="70"/>
        <v>0</v>
      </c>
      <c r="X401" s="685"/>
      <c r="Z401" s="211">
        <v>0</v>
      </c>
      <c r="AA401" s="219">
        <v>0</v>
      </c>
    </row>
    <row r="402" spans="1:27" x14ac:dyDescent="0.25">
      <c r="A402" s="438"/>
      <c r="C402" s="444" t="s">
        <v>437</v>
      </c>
      <c r="G402" s="448" t="s">
        <v>714</v>
      </c>
      <c r="H402" s="448"/>
      <c r="I402" s="449">
        <v>0</v>
      </c>
      <c r="J402" s="440"/>
      <c r="K402" s="212">
        <v>80874473</v>
      </c>
      <c r="L402" s="210"/>
      <c r="M402" s="213">
        <v>28500000</v>
      </c>
      <c r="N402" s="211"/>
      <c r="O402" s="213">
        <v>52374473</v>
      </c>
      <c r="P402" s="211"/>
      <c r="Q402" s="213">
        <v>5396167</v>
      </c>
      <c r="R402" s="444"/>
      <c r="S402" s="450">
        <v>6.67</v>
      </c>
      <c r="T402" s="444"/>
      <c r="U402" s="451">
        <v>9.6999999999999993</v>
      </c>
      <c r="V402" s="843">
        <f t="shared" si="84"/>
        <v>6.6722746990883014E-2</v>
      </c>
      <c r="W402" s="685">
        <f t="shared" si="70"/>
        <v>-2.274699088301857E-5</v>
      </c>
      <c r="X402" s="685"/>
      <c r="Z402" s="213">
        <v>5396167</v>
      </c>
      <c r="AA402" s="450">
        <v>6.67</v>
      </c>
    </row>
    <row r="403" spans="1:27" x14ac:dyDescent="0.25">
      <c r="A403" s="438"/>
      <c r="C403" s="444"/>
      <c r="G403" s="448"/>
      <c r="H403" s="448"/>
      <c r="I403" s="449"/>
      <c r="J403" s="440"/>
      <c r="K403" s="209"/>
      <c r="L403" s="210"/>
      <c r="M403" s="211"/>
      <c r="N403" s="211"/>
      <c r="O403" s="211"/>
      <c r="P403" s="211"/>
      <c r="Q403" s="211"/>
      <c r="R403" s="444"/>
      <c r="S403" s="450"/>
      <c r="T403" s="444"/>
      <c r="U403" s="451"/>
      <c r="V403" s="842"/>
      <c r="W403" s="685">
        <f t="shared" si="70"/>
        <v>0</v>
      </c>
      <c r="X403" s="685"/>
      <c r="Z403" s="211"/>
      <c r="AA403" s="450"/>
    </row>
    <row r="404" spans="1:27" ht="15.6" x14ac:dyDescent="0.3">
      <c r="A404" s="438"/>
      <c r="C404" s="478" t="s">
        <v>625</v>
      </c>
      <c r="G404" s="455"/>
      <c r="I404" s="456"/>
      <c r="K404" s="216">
        <f>SUBTOTAL(9,K401:K402)</f>
        <v>93787556.019999996</v>
      </c>
      <c r="L404" s="479"/>
      <c r="M404" s="218">
        <f>SUBTOTAL(9,M401:M402)</f>
        <v>41413083.019999996</v>
      </c>
      <c r="N404" s="436"/>
      <c r="O404" s="218">
        <f>SUBTOTAL(9,O401:O402)</f>
        <v>52374473</v>
      </c>
      <c r="P404" s="436"/>
      <c r="Q404" s="218">
        <f>SUBTOTAL(9,Q401:Q402)</f>
        <v>5396167</v>
      </c>
      <c r="R404" s="479"/>
      <c r="S404" s="438">
        <v>5.81</v>
      </c>
      <c r="T404" s="434"/>
      <c r="U404" s="437">
        <v>10.3</v>
      </c>
      <c r="V404" s="843">
        <f t="shared" ref="V404" si="85">Q404/K404</f>
        <v>5.7536065859838365E-2</v>
      </c>
      <c r="W404" s="685">
        <f t="shared" si="70"/>
        <v>5.6393414016163435E-4</v>
      </c>
      <c r="X404" s="685"/>
      <c r="Z404" s="218">
        <v>5396167</v>
      </c>
      <c r="AA404" s="438">
        <v>5.81</v>
      </c>
    </row>
    <row r="405" spans="1:27" x14ac:dyDescent="0.25">
      <c r="A405" s="438"/>
      <c r="C405" s="444"/>
      <c r="G405" s="448"/>
      <c r="H405" s="448"/>
      <c r="I405" s="449"/>
      <c r="J405" s="440"/>
      <c r="K405" s="209"/>
      <c r="L405" s="210"/>
      <c r="M405" s="211"/>
      <c r="N405" s="211"/>
      <c r="O405" s="211"/>
      <c r="P405" s="211"/>
      <c r="Q405" s="211"/>
      <c r="R405" s="444"/>
      <c r="S405" s="450"/>
      <c r="T405" s="444"/>
      <c r="U405" s="451"/>
      <c r="V405" s="842"/>
      <c r="W405" s="685">
        <f t="shared" si="70"/>
        <v>0</v>
      </c>
      <c r="X405" s="685"/>
      <c r="Z405" s="211"/>
      <c r="AA405" s="450"/>
    </row>
    <row r="406" spans="1:27" x14ac:dyDescent="0.25">
      <c r="A406" s="438">
        <v>398</v>
      </c>
      <c r="C406" s="480" t="s">
        <v>459</v>
      </c>
      <c r="G406" s="448"/>
      <c r="H406" s="448"/>
      <c r="I406" s="449"/>
      <c r="J406" s="440"/>
      <c r="K406" s="209"/>
      <c r="L406" s="210"/>
      <c r="M406" s="211"/>
      <c r="N406" s="211"/>
      <c r="O406" s="211"/>
      <c r="P406" s="211"/>
      <c r="Q406" s="211"/>
      <c r="R406" s="444"/>
      <c r="S406" s="450"/>
      <c r="T406" s="444"/>
      <c r="U406" s="451"/>
      <c r="V406" s="842"/>
      <c r="W406" s="685">
        <f t="shared" si="70"/>
        <v>0</v>
      </c>
      <c r="X406" s="685"/>
      <c r="Z406" s="211"/>
      <c r="AA406" s="450"/>
    </row>
    <row r="407" spans="1:27" x14ac:dyDescent="0.25">
      <c r="A407" s="438"/>
      <c r="C407" s="480" t="s">
        <v>436</v>
      </c>
      <c r="G407" s="448" t="s">
        <v>709</v>
      </c>
      <c r="H407" s="448"/>
      <c r="I407" s="449">
        <v>0</v>
      </c>
      <c r="J407" s="440"/>
      <c r="K407" s="209">
        <v>86544.16</v>
      </c>
      <c r="L407" s="210"/>
      <c r="M407" s="211">
        <v>86544.16</v>
      </c>
      <c r="N407" s="211"/>
      <c r="O407" s="211">
        <v>0</v>
      </c>
      <c r="P407" s="211"/>
      <c r="Q407" s="211">
        <v>0</v>
      </c>
      <c r="R407" s="444"/>
      <c r="S407" s="219">
        <v>0</v>
      </c>
      <c r="T407" s="220"/>
      <c r="U407" s="219">
        <v>0</v>
      </c>
      <c r="V407" s="843">
        <f t="shared" ref="V407:V408" si="86">Q407/K407</f>
        <v>0</v>
      </c>
      <c r="W407" s="685">
        <f t="shared" si="70"/>
        <v>0</v>
      </c>
      <c r="X407" s="685"/>
      <c r="Z407" s="211">
        <v>0</v>
      </c>
      <c r="AA407" s="219">
        <v>0</v>
      </c>
    </row>
    <row r="408" spans="1:27" x14ac:dyDescent="0.25">
      <c r="A408" s="438"/>
      <c r="C408" s="480" t="s">
        <v>437</v>
      </c>
      <c r="G408" s="448" t="s">
        <v>714</v>
      </c>
      <c r="H408" s="448"/>
      <c r="I408" s="449">
        <v>0</v>
      </c>
      <c r="J408" s="440"/>
      <c r="K408" s="212">
        <v>190785.64</v>
      </c>
      <c r="L408" s="210"/>
      <c r="M408" s="213">
        <v>67100</v>
      </c>
      <c r="N408" s="211"/>
      <c r="O408" s="213">
        <v>123686</v>
      </c>
      <c r="P408" s="211"/>
      <c r="Q408" s="213">
        <v>12718</v>
      </c>
      <c r="R408" s="444"/>
      <c r="S408" s="450">
        <v>6.67</v>
      </c>
      <c r="T408" s="444"/>
      <c r="U408" s="451">
        <v>9.6999999999999993</v>
      </c>
      <c r="V408" s="843">
        <f t="shared" si="86"/>
        <v>6.6661201545357388E-2</v>
      </c>
      <c r="W408" s="685">
        <f t="shared" si="70"/>
        <v>3.8798454642607894E-5</v>
      </c>
      <c r="X408" s="685"/>
      <c r="Z408" s="213">
        <v>12718</v>
      </c>
      <c r="AA408" s="450">
        <v>6.67</v>
      </c>
    </row>
    <row r="409" spans="1:27" x14ac:dyDescent="0.25">
      <c r="A409" s="438"/>
      <c r="C409" s="480"/>
      <c r="G409" s="448"/>
      <c r="H409" s="448"/>
      <c r="I409" s="449"/>
      <c r="J409" s="440"/>
      <c r="K409" s="209"/>
      <c r="L409" s="210"/>
      <c r="M409" s="211"/>
      <c r="N409" s="211"/>
      <c r="O409" s="211"/>
      <c r="P409" s="211"/>
      <c r="Q409" s="211"/>
      <c r="R409" s="444"/>
      <c r="S409" s="450"/>
      <c r="T409" s="444"/>
      <c r="U409" s="451"/>
      <c r="V409" s="842"/>
      <c r="W409" s="685">
        <f t="shared" si="70"/>
        <v>0</v>
      </c>
      <c r="X409" s="685"/>
      <c r="Z409" s="211"/>
      <c r="AA409" s="450"/>
    </row>
    <row r="410" spans="1:27" ht="15.6" x14ac:dyDescent="0.3">
      <c r="A410" s="438"/>
      <c r="C410" s="478" t="s">
        <v>626</v>
      </c>
      <c r="G410" s="455"/>
      <c r="I410" s="456"/>
      <c r="K410" s="212">
        <f>SUBTOTAL(9,K407:K408)</f>
        <v>277329.80000000005</v>
      </c>
      <c r="L410" s="481"/>
      <c r="M410" s="213">
        <f>SUBTOTAL(9,M407:M408)</f>
        <v>153644.16</v>
      </c>
      <c r="N410" s="472"/>
      <c r="O410" s="213">
        <f>SUBTOTAL(9,O407:O408)</f>
        <v>123686</v>
      </c>
      <c r="P410" s="472"/>
      <c r="Q410" s="213">
        <f>SUBTOTAL(9,Q407:Q408)</f>
        <v>12718</v>
      </c>
      <c r="R410" s="479"/>
      <c r="S410" s="438">
        <v>4.47</v>
      </c>
      <c r="T410" s="434"/>
      <c r="U410" s="437">
        <v>10.3</v>
      </c>
      <c r="V410" s="843">
        <f t="shared" ref="V410" si="87">Q410/K410</f>
        <v>4.5858757335129501E-2</v>
      </c>
      <c r="W410" s="685">
        <f t="shared" si="70"/>
        <v>-1.1587573351295039E-3</v>
      </c>
      <c r="X410" s="685"/>
      <c r="Z410" s="213">
        <v>12718</v>
      </c>
      <c r="AA410" s="438">
        <v>4.47</v>
      </c>
    </row>
    <row r="411" spans="1:27" ht="15.6" x14ac:dyDescent="0.3">
      <c r="A411" s="438"/>
      <c r="C411" s="478"/>
      <c r="G411" s="455"/>
      <c r="I411" s="456"/>
      <c r="K411" s="209"/>
      <c r="L411" s="479"/>
      <c r="M411" s="472"/>
      <c r="N411" s="436"/>
      <c r="O411" s="472"/>
      <c r="P411" s="436"/>
      <c r="Q411" s="472"/>
      <c r="R411" s="479"/>
      <c r="S411" s="438"/>
      <c r="T411" s="434"/>
      <c r="U411" s="437"/>
      <c r="V411" s="842"/>
      <c r="W411" s="685">
        <f t="shared" si="70"/>
        <v>0</v>
      </c>
      <c r="X411" s="685"/>
      <c r="Z411" s="472"/>
      <c r="AA411" s="438"/>
    </row>
    <row r="412" spans="1:27" ht="15.6" x14ac:dyDescent="0.3">
      <c r="A412" s="407"/>
      <c r="C412" s="433" t="s">
        <v>627</v>
      </c>
      <c r="G412" s="424"/>
      <c r="I412" s="456"/>
      <c r="K412" s="226">
        <f>SUBTOTAL(9,K365:K410)</f>
        <v>215779074.54999998</v>
      </c>
      <c r="L412" s="457"/>
      <c r="M412" s="222">
        <f>SUBTOTAL(9,M365:M410)</f>
        <v>113119553.08</v>
      </c>
      <c r="N412" s="458"/>
      <c r="O412" s="222">
        <f>SUBTOTAL(9,O365:O410)</f>
        <v>103562716</v>
      </c>
      <c r="P412" s="458"/>
      <c r="Q412" s="222">
        <f>SUBTOTAL(9,Q365:Q410)</f>
        <v>12429126</v>
      </c>
      <c r="R412" s="416"/>
      <c r="S412" s="459">
        <f>ROUND(Q412/K412*100,2)</f>
        <v>5.76</v>
      </c>
      <c r="U412" s="475"/>
      <c r="V412" s="843">
        <f t="shared" ref="V412" si="88">Q412/K412</f>
        <v>5.7601164644535276E-2</v>
      </c>
      <c r="W412" s="685">
        <f t="shared" si="70"/>
        <v>-1.1646445352772594E-6</v>
      </c>
      <c r="X412" s="685"/>
      <c r="Z412" s="222">
        <v>12429126</v>
      </c>
      <c r="AA412" s="459">
        <v>5.76</v>
      </c>
    </row>
    <row r="413" spans="1:27" ht="15.6" x14ac:dyDescent="0.3">
      <c r="A413" s="407"/>
      <c r="C413" s="749"/>
      <c r="G413" s="708"/>
      <c r="I413" s="719"/>
      <c r="K413" s="214"/>
      <c r="L413" s="457"/>
      <c r="M413" s="215"/>
      <c r="N413" s="752"/>
      <c r="O413" s="215"/>
      <c r="P413" s="752"/>
      <c r="Q413" s="215"/>
      <c r="R413" s="700"/>
      <c r="S413" s="750"/>
      <c r="U413" s="475"/>
      <c r="V413" s="843"/>
      <c r="W413" s="685"/>
      <c r="X413" s="685"/>
      <c r="Z413" s="215"/>
      <c r="AA413" s="750"/>
    </row>
    <row r="414" spans="1:27" ht="15.6" x14ac:dyDescent="0.3">
      <c r="A414" s="407"/>
      <c r="C414" s="749"/>
      <c r="G414" s="708"/>
      <c r="I414" s="719"/>
      <c r="K414" s="214"/>
      <c r="L414" s="457"/>
      <c r="M414" s="215"/>
      <c r="N414" s="752"/>
      <c r="O414" s="215"/>
      <c r="P414" s="752"/>
      <c r="Q414" s="215"/>
      <c r="R414" s="700"/>
      <c r="S414" s="750"/>
      <c r="U414" s="475"/>
      <c r="V414" s="843"/>
      <c r="W414" s="685"/>
      <c r="X414" s="685"/>
      <c r="Z414" s="215"/>
      <c r="AA414" s="750"/>
    </row>
    <row r="415" spans="1:27" ht="15.6" x14ac:dyDescent="0.3">
      <c r="A415" s="407"/>
      <c r="C415" s="749"/>
      <c r="G415" s="708"/>
      <c r="I415" s="719"/>
      <c r="K415" s="214"/>
      <c r="L415" s="457"/>
      <c r="M415" s="215"/>
      <c r="N415" s="752"/>
      <c r="O415" s="215"/>
      <c r="P415" s="752"/>
      <c r="Q415" s="215"/>
      <c r="R415" s="700"/>
      <c r="S415" s="750"/>
      <c r="U415" s="475"/>
      <c r="V415" s="843"/>
      <c r="W415" s="685"/>
      <c r="X415" s="685"/>
      <c r="Z415" s="215"/>
      <c r="AA415" s="750"/>
    </row>
    <row r="416" spans="1:27" ht="15.6" x14ac:dyDescent="0.3">
      <c r="A416" s="407"/>
      <c r="C416" s="749"/>
      <c r="G416" s="708"/>
      <c r="I416" s="719"/>
      <c r="K416" s="214"/>
      <c r="L416" s="457"/>
      <c r="M416" s="215"/>
      <c r="N416" s="752"/>
      <c r="O416" s="215"/>
      <c r="P416" s="752"/>
      <c r="Q416" s="215"/>
      <c r="R416" s="700"/>
      <c r="S416" s="750"/>
      <c r="U416" s="475"/>
      <c r="V416" s="843"/>
      <c r="W416" s="685"/>
      <c r="X416" s="685"/>
      <c r="Z416" s="215"/>
      <c r="AA416" s="750"/>
    </row>
    <row r="417" spans="1:27" ht="15.6" x14ac:dyDescent="0.3">
      <c r="A417" s="407"/>
      <c r="C417" s="749"/>
      <c r="G417" s="708"/>
      <c r="I417" s="719"/>
      <c r="K417" s="214"/>
      <c r="L417" s="457"/>
      <c r="M417" s="215"/>
      <c r="N417" s="752"/>
      <c r="O417" s="215"/>
      <c r="P417" s="752"/>
      <c r="Q417" s="215"/>
      <c r="R417" s="700"/>
      <c r="S417" s="750"/>
      <c r="U417" s="475"/>
      <c r="V417" s="843"/>
      <c r="W417" s="685"/>
      <c r="X417" s="685"/>
      <c r="Z417" s="215"/>
      <c r="AA417" s="750"/>
    </row>
    <row r="418" spans="1:27" ht="15.6" x14ac:dyDescent="0.3">
      <c r="A418" s="407"/>
      <c r="C418" s="433"/>
      <c r="G418" s="424"/>
      <c r="I418" s="456"/>
      <c r="K418" s="217"/>
      <c r="L418" s="416"/>
      <c r="M418" s="460"/>
      <c r="N418" s="460"/>
      <c r="O418" s="460"/>
      <c r="P418" s="460"/>
      <c r="Q418" s="460"/>
      <c r="R418" s="416"/>
      <c r="S418" s="438"/>
      <c r="U418" s="475"/>
      <c r="V418" s="842"/>
      <c r="Z418" s="460"/>
      <c r="AA418" s="438"/>
    </row>
    <row r="419" spans="1:27" ht="15.6" x14ac:dyDescent="0.3">
      <c r="A419" s="407"/>
      <c r="C419" s="433"/>
      <c r="G419" s="424"/>
      <c r="I419" s="456"/>
      <c r="K419" s="217"/>
      <c r="L419" s="416"/>
      <c r="M419" s="460"/>
      <c r="N419" s="460"/>
      <c r="O419" s="460"/>
      <c r="P419" s="460"/>
      <c r="Q419" s="460"/>
      <c r="R419" s="416"/>
      <c r="S419" s="438"/>
      <c r="U419" s="475"/>
      <c r="V419" s="842"/>
      <c r="Z419" s="460"/>
      <c r="AA419" s="438"/>
    </row>
    <row r="420" spans="1:27" ht="15.6" x14ac:dyDescent="0.3">
      <c r="A420" s="407"/>
      <c r="C420" s="463" t="s">
        <v>439</v>
      </c>
      <c r="G420" s="424"/>
      <c r="I420" s="456"/>
      <c r="K420" s="217"/>
      <c r="L420" s="416"/>
      <c r="M420" s="460"/>
      <c r="N420" s="460"/>
      <c r="O420" s="460"/>
      <c r="P420" s="460"/>
      <c r="Q420" s="460"/>
      <c r="R420" s="416"/>
      <c r="S420" s="438"/>
      <c r="U420" s="475"/>
      <c r="V420" s="842"/>
      <c r="Z420" s="460"/>
      <c r="AA420" s="438"/>
    </row>
    <row r="421" spans="1:27" ht="15.6" x14ac:dyDescent="0.3">
      <c r="A421" s="407"/>
      <c r="C421" s="416"/>
      <c r="G421" s="424"/>
      <c r="I421" s="456"/>
      <c r="K421" s="217"/>
      <c r="L421" s="416"/>
      <c r="M421" s="460"/>
      <c r="N421" s="460"/>
      <c r="O421" s="460"/>
      <c r="P421" s="460"/>
      <c r="Q421" s="460"/>
      <c r="R421" s="416"/>
      <c r="S421" s="438"/>
      <c r="U421" s="475"/>
      <c r="V421" s="842"/>
      <c r="Z421" s="460"/>
      <c r="AA421" s="438"/>
    </row>
    <row r="422" spans="1:27" ht="15.6" x14ac:dyDescent="0.3">
      <c r="A422" s="438">
        <v>391.1</v>
      </c>
      <c r="C422" s="444" t="s">
        <v>429</v>
      </c>
      <c r="G422" s="424"/>
      <c r="I422" s="456"/>
      <c r="K422" s="217"/>
      <c r="L422" s="416"/>
      <c r="M422" s="462">
        <v>-1913643.62</v>
      </c>
      <c r="N422" s="462"/>
      <c r="O422" s="462"/>
      <c r="P422" s="462"/>
      <c r="Q422" s="462">
        <f t="shared" ref="Q422:Q427" si="89">-M422/5</f>
        <v>382728.72400000005</v>
      </c>
      <c r="R422" s="416" t="s">
        <v>723</v>
      </c>
      <c r="S422" s="438"/>
      <c r="U422" s="475"/>
      <c r="V422" s="842"/>
      <c r="Z422" s="462">
        <v>382728.72400000005</v>
      </c>
      <c r="AA422" s="438"/>
    </row>
    <row r="423" spans="1:27" ht="15.6" x14ac:dyDescent="0.3">
      <c r="A423" s="438">
        <v>391.2</v>
      </c>
      <c r="C423" s="444" t="s">
        <v>620</v>
      </c>
      <c r="G423" s="424"/>
      <c r="I423" s="456"/>
      <c r="K423" s="217"/>
      <c r="L423" s="416"/>
      <c r="M423" s="462">
        <v>20333.170000005499</v>
      </c>
      <c r="N423" s="462"/>
      <c r="O423" s="462"/>
      <c r="P423" s="462"/>
      <c r="Q423" s="462">
        <f t="shared" si="89"/>
        <v>-4066.6340000010996</v>
      </c>
      <c r="R423" s="416" t="s">
        <v>723</v>
      </c>
      <c r="S423" s="438"/>
      <c r="U423" s="475"/>
      <c r="V423" s="842"/>
      <c r="Z423" s="462">
        <v>-4066.6340000010996</v>
      </c>
      <c r="AA423" s="438"/>
    </row>
    <row r="424" spans="1:27" ht="15.6" x14ac:dyDescent="0.3">
      <c r="A424" s="438">
        <v>393</v>
      </c>
      <c r="C424" s="461" t="s">
        <v>455</v>
      </c>
      <c r="G424" s="424"/>
      <c r="I424" s="456"/>
      <c r="K424" s="217"/>
      <c r="L424" s="416"/>
      <c r="M424" s="462">
        <v>-384428.92</v>
      </c>
      <c r="N424" s="462"/>
      <c r="O424" s="462"/>
      <c r="P424" s="462"/>
      <c r="Q424" s="462">
        <f t="shared" si="89"/>
        <v>76885.784</v>
      </c>
      <c r="R424" s="416" t="s">
        <v>723</v>
      </c>
      <c r="S424" s="438"/>
      <c r="U424" s="475"/>
      <c r="V424" s="842"/>
      <c r="Z424" s="462">
        <v>76885.784</v>
      </c>
      <c r="AA424" s="438"/>
    </row>
    <row r="425" spans="1:27" ht="15.6" x14ac:dyDescent="0.3">
      <c r="A425" s="438">
        <v>394</v>
      </c>
      <c r="C425" s="461" t="s">
        <v>456</v>
      </c>
      <c r="G425" s="424"/>
      <c r="I425" s="456"/>
      <c r="K425" s="217"/>
      <c r="L425" s="416"/>
      <c r="M425" s="221">
        <v>-798799.42000000097</v>
      </c>
      <c r="N425" s="462"/>
      <c r="O425" s="462"/>
      <c r="P425" s="462"/>
      <c r="Q425" s="462">
        <f t="shared" si="89"/>
        <v>159759.88400000019</v>
      </c>
      <c r="R425" s="416" t="s">
        <v>723</v>
      </c>
      <c r="S425" s="438"/>
      <c r="U425" s="475"/>
      <c r="V425" s="842"/>
      <c r="Z425" s="462">
        <v>159759.88400000019</v>
      </c>
      <c r="AA425" s="438"/>
    </row>
    <row r="426" spans="1:27" ht="15.6" x14ac:dyDescent="0.3">
      <c r="A426" s="438">
        <v>395</v>
      </c>
      <c r="C426" s="461" t="s">
        <v>457</v>
      </c>
      <c r="G426" s="424"/>
      <c r="I426" s="456"/>
      <c r="K426" s="217"/>
      <c r="L426" s="416"/>
      <c r="M426" s="221">
        <v>-3153918</v>
      </c>
      <c r="N426" s="462"/>
      <c r="O426" s="462"/>
      <c r="P426" s="462"/>
      <c r="Q426" s="462">
        <f t="shared" si="89"/>
        <v>630783.6</v>
      </c>
      <c r="R426" s="416" t="s">
        <v>723</v>
      </c>
      <c r="S426" s="438"/>
      <c r="U426" s="475"/>
      <c r="V426" s="842"/>
      <c r="Z426" s="462">
        <v>630783.6</v>
      </c>
      <c r="AA426" s="438"/>
    </row>
    <row r="427" spans="1:27" ht="15.6" x14ac:dyDescent="0.3">
      <c r="A427" s="438">
        <v>397</v>
      </c>
      <c r="C427" s="444" t="s">
        <v>460</v>
      </c>
      <c r="G427" s="424"/>
      <c r="I427" s="456"/>
      <c r="K427" s="217"/>
      <c r="L427" s="416"/>
      <c r="M427" s="221">
        <v>-7646068.8699999703</v>
      </c>
      <c r="N427" s="462"/>
      <c r="O427" s="462"/>
      <c r="P427" s="462"/>
      <c r="Q427" s="462">
        <f t="shared" si="89"/>
        <v>1529213.7739999942</v>
      </c>
      <c r="R427" s="416" t="s">
        <v>723</v>
      </c>
      <c r="S427" s="438"/>
      <c r="U427" s="475"/>
      <c r="V427" s="842"/>
      <c r="Z427" s="462">
        <v>1529213.7739999942</v>
      </c>
      <c r="AA427" s="438"/>
    </row>
    <row r="428" spans="1:27" ht="15.6" x14ac:dyDescent="0.3">
      <c r="A428" s="438">
        <v>398</v>
      </c>
      <c r="C428" s="480" t="s">
        <v>459</v>
      </c>
      <c r="G428" s="424"/>
      <c r="I428" s="456"/>
      <c r="K428" s="217"/>
      <c r="L428" s="416"/>
      <c r="M428" s="482">
        <v>-63957.3</v>
      </c>
      <c r="N428" s="462"/>
      <c r="O428" s="462"/>
      <c r="P428" s="462"/>
      <c r="Q428" s="482">
        <f>-M428/5+12880</f>
        <v>25671.46</v>
      </c>
      <c r="R428" s="416" t="s">
        <v>723</v>
      </c>
      <c r="S428" s="438"/>
      <c r="U428" s="475"/>
      <c r="V428" s="842"/>
      <c r="Z428" s="482">
        <v>12791.460000000001</v>
      </c>
      <c r="AA428" s="438"/>
    </row>
    <row r="429" spans="1:27" ht="15.6" x14ac:dyDescent="0.3">
      <c r="A429" s="407"/>
      <c r="C429" s="433"/>
      <c r="G429" s="424"/>
      <c r="I429" s="456"/>
      <c r="K429" s="217"/>
      <c r="L429" s="416"/>
      <c r="M429" s="460"/>
      <c r="N429" s="460"/>
      <c r="O429" s="460"/>
      <c r="P429" s="460"/>
      <c r="Q429" s="460"/>
      <c r="R429" s="416"/>
      <c r="S429" s="438"/>
      <c r="U429" s="475"/>
      <c r="V429" s="842"/>
      <c r="Z429" s="460"/>
      <c r="AA429" s="438"/>
    </row>
    <row r="430" spans="1:27" ht="15.6" x14ac:dyDescent="0.3">
      <c r="A430" s="407"/>
      <c r="C430" s="433" t="s">
        <v>628</v>
      </c>
      <c r="G430" s="424"/>
      <c r="I430" s="456"/>
      <c r="K430" s="217"/>
      <c r="L430" s="416"/>
      <c r="M430" s="222">
        <f>SUBTOTAL(9,M422:M428)</f>
        <v>-13940482.959999967</v>
      </c>
      <c r="N430" s="460"/>
      <c r="O430" s="460"/>
      <c r="P430" s="460"/>
      <c r="Q430" s="222">
        <f>SUBTOTAL(9,Q422:Q428)</f>
        <v>2800976.5919999932</v>
      </c>
      <c r="R430" s="416"/>
      <c r="S430" s="438"/>
      <c r="U430" s="475"/>
      <c r="V430" s="842"/>
      <c r="Z430" s="222">
        <v>2788096.5919999932</v>
      </c>
      <c r="AA430" s="438"/>
    </row>
    <row r="431" spans="1:27" ht="15.6" x14ac:dyDescent="0.3">
      <c r="A431" s="407"/>
      <c r="C431" s="433"/>
      <c r="G431" s="424"/>
      <c r="I431" s="456"/>
      <c r="K431" s="217"/>
      <c r="L431" s="416"/>
      <c r="M431" s="460"/>
      <c r="N431" s="460"/>
      <c r="O431" s="460"/>
      <c r="P431" s="460"/>
      <c r="Q431" s="460"/>
      <c r="R431" s="416"/>
      <c r="S431" s="438"/>
      <c r="U431" s="475"/>
      <c r="V431" s="842"/>
      <c r="Z431" s="460"/>
      <c r="AA431" s="438"/>
    </row>
    <row r="432" spans="1:27" ht="15.6" x14ac:dyDescent="0.3">
      <c r="A432" s="407"/>
      <c r="C432" s="433"/>
      <c r="G432" s="424"/>
      <c r="I432" s="456"/>
      <c r="K432" s="217"/>
      <c r="L432" s="416"/>
      <c r="M432" s="460"/>
      <c r="N432" s="460"/>
      <c r="O432" s="460"/>
      <c r="P432" s="460"/>
      <c r="Q432" s="460"/>
      <c r="R432" s="416"/>
      <c r="S432" s="438"/>
      <c r="U432" s="475"/>
      <c r="V432" s="842"/>
      <c r="Z432" s="460"/>
      <c r="AA432" s="438"/>
    </row>
    <row r="433" spans="1:27" ht="16.2" thickBot="1" x14ac:dyDescent="0.35">
      <c r="A433" s="407"/>
      <c r="C433" s="433" t="s">
        <v>629</v>
      </c>
      <c r="G433" s="424"/>
      <c r="I433" s="456"/>
      <c r="K433" s="223">
        <f>+SUBTOTAL(9,K23:K432)</f>
        <v>9059147131.2200031</v>
      </c>
      <c r="L433" s="416"/>
      <c r="M433" s="483">
        <f>+SUBTOTAL(9,M23:M432)</f>
        <v>3523472467.4799991</v>
      </c>
      <c r="N433" s="460"/>
      <c r="O433" s="483">
        <f>+SUBTOTAL(9,O23:O432)</f>
        <v>7013172866.2299995</v>
      </c>
      <c r="P433" s="460"/>
      <c r="Q433" s="483">
        <f>+SUBTOTAL(9,Q23:Q432)</f>
        <v>314298073.42537552</v>
      </c>
      <c r="R433" s="416"/>
      <c r="S433" s="438"/>
      <c r="U433" s="475"/>
      <c r="V433" s="842"/>
      <c r="Z433" s="483">
        <v>321836007.59199995</v>
      </c>
      <c r="AA433" s="438"/>
    </row>
    <row r="434" spans="1:27" ht="16.2" thickTop="1" x14ac:dyDescent="0.3">
      <c r="A434" s="407"/>
      <c r="C434" s="433"/>
      <c r="G434" s="424"/>
      <c r="I434" s="456"/>
      <c r="K434" s="217"/>
      <c r="L434" s="416"/>
      <c r="M434" s="460"/>
      <c r="N434" s="460"/>
      <c r="O434" s="460"/>
      <c r="P434" s="460"/>
      <c r="Q434" s="460"/>
      <c r="R434" s="416"/>
      <c r="S434" s="438"/>
      <c r="U434" s="475"/>
      <c r="V434" s="842"/>
      <c r="Z434" s="460"/>
      <c r="AA434" s="438"/>
    </row>
    <row r="435" spans="1:27" ht="15.6" x14ac:dyDescent="0.3">
      <c r="A435" s="407"/>
      <c r="C435" s="749"/>
      <c r="G435" s="708"/>
      <c r="I435" s="719"/>
      <c r="K435" s="217"/>
      <c r="L435" s="700"/>
      <c r="M435" s="721"/>
      <c r="N435" s="721"/>
      <c r="O435" s="721"/>
      <c r="P435" s="721"/>
      <c r="Q435" s="721"/>
      <c r="R435" s="700"/>
      <c r="S435" s="438"/>
      <c r="U435" s="475"/>
      <c r="V435" s="842"/>
      <c r="Z435" s="721"/>
      <c r="AA435" s="438"/>
    </row>
    <row r="436" spans="1:27" ht="15.6" x14ac:dyDescent="0.3">
      <c r="A436" s="407"/>
      <c r="C436" s="749"/>
      <c r="G436" s="708"/>
      <c r="I436" s="719"/>
      <c r="K436" s="217"/>
      <c r="L436" s="700"/>
      <c r="M436" s="721"/>
      <c r="N436" s="721"/>
      <c r="O436" s="721"/>
      <c r="P436" s="721"/>
      <c r="Q436" s="721"/>
      <c r="R436" s="700"/>
      <c r="S436" s="438"/>
      <c r="U436" s="475"/>
      <c r="V436" s="842"/>
      <c r="Z436" s="721"/>
      <c r="AA436" s="438"/>
    </row>
    <row r="437" spans="1:27" ht="15.6" x14ac:dyDescent="0.3">
      <c r="A437" s="407"/>
      <c r="C437" s="749"/>
      <c r="G437" s="708"/>
      <c r="I437" s="719"/>
      <c r="K437" s="217"/>
      <c r="L437" s="700"/>
      <c r="M437" s="721"/>
      <c r="N437" s="721"/>
      <c r="O437" s="721"/>
      <c r="P437" s="721"/>
      <c r="Q437" s="721"/>
      <c r="R437" s="700"/>
      <c r="S437" s="438"/>
      <c r="U437" s="475"/>
      <c r="V437" s="842"/>
      <c r="Z437" s="721"/>
      <c r="AA437" s="438"/>
    </row>
    <row r="438" spans="1:27" ht="15.6" x14ac:dyDescent="0.3">
      <c r="A438" s="407"/>
      <c r="C438" s="749"/>
      <c r="G438" s="708"/>
      <c r="I438" s="719"/>
      <c r="K438" s="217"/>
      <c r="L438" s="700"/>
      <c r="M438" s="721"/>
      <c r="N438" s="721"/>
      <c r="O438" s="721"/>
      <c r="P438" s="721"/>
      <c r="Q438" s="721"/>
      <c r="R438" s="700"/>
      <c r="S438" s="438"/>
      <c r="U438" s="475"/>
      <c r="V438" s="842"/>
      <c r="Z438" s="721"/>
      <c r="AA438" s="438"/>
    </row>
    <row r="439" spans="1:27" ht="15.6" x14ac:dyDescent="0.3">
      <c r="A439" s="407"/>
      <c r="C439" s="749"/>
      <c r="G439" s="708"/>
      <c r="I439" s="719"/>
      <c r="K439" s="217"/>
      <c r="L439" s="700"/>
      <c r="M439" s="721"/>
      <c r="N439" s="721"/>
      <c r="O439" s="721"/>
      <c r="P439" s="721"/>
      <c r="Q439" s="721"/>
      <c r="R439" s="700"/>
      <c r="S439" s="438"/>
      <c r="U439" s="475"/>
      <c r="V439" s="842"/>
      <c r="Z439" s="721"/>
      <c r="AA439" s="438"/>
    </row>
    <row r="440" spans="1:27" ht="15.6" x14ac:dyDescent="0.3">
      <c r="A440" s="407"/>
      <c r="C440" s="749"/>
      <c r="G440" s="708"/>
      <c r="I440" s="719"/>
      <c r="K440" s="217"/>
      <c r="L440" s="700"/>
      <c r="M440" s="721"/>
      <c r="N440" s="721"/>
      <c r="O440" s="721"/>
      <c r="P440" s="721"/>
      <c r="Q440" s="721"/>
      <c r="R440" s="700"/>
      <c r="S440" s="438"/>
      <c r="U440" s="475"/>
      <c r="V440" s="842"/>
      <c r="Z440" s="721"/>
      <c r="AA440" s="438"/>
    </row>
    <row r="441" spans="1:27" ht="15.6" x14ac:dyDescent="0.3">
      <c r="A441" s="407"/>
      <c r="C441" s="749"/>
      <c r="G441" s="708"/>
      <c r="I441" s="719"/>
      <c r="K441" s="217"/>
      <c r="L441" s="700"/>
      <c r="M441" s="721"/>
      <c r="N441" s="721"/>
      <c r="O441" s="721"/>
      <c r="P441" s="721"/>
      <c r="Q441" s="721"/>
      <c r="R441" s="700"/>
      <c r="S441" s="438"/>
      <c r="U441" s="475"/>
      <c r="V441" s="842"/>
      <c r="Z441" s="721"/>
      <c r="AA441" s="438"/>
    </row>
    <row r="442" spans="1:27" ht="15.6" x14ac:dyDescent="0.3">
      <c r="A442" s="407"/>
      <c r="C442" s="749"/>
      <c r="G442" s="708"/>
      <c r="I442" s="719"/>
      <c r="K442" s="217"/>
      <c r="L442" s="700"/>
      <c r="M442" s="721"/>
      <c r="N442" s="721"/>
      <c r="O442" s="721"/>
      <c r="P442" s="721"/>
      <c r="Q442" s="721"/>
      <c r="R442" s="700"/>
      <c r="S442" s="438"/>
      <c r="U442" s="475"/>
      <c r="V442" s="842"/>
      <c r="Z442" s="721"/>
      <c r="AA442" s="438"/>
    </row>
    <row r="443" spans="1:27" ht="15.6" x14ac:dyDescent="0.3">
      <c r="A443" s="407"/>
      <c r="C443" s="749"/>
      <c r="G443" s="708"/>
      <c r="I443" s="719"/>
      <c r="K443" s="217"/>
      <c r="L443" s="700"/>
      <c r="M443" s="721"/>
      <c r="N443" s="721"/>
      <c r="O443" s="721"/>
      <c r="P443" s="721"/>
      <c r="Q443" s="721"/>
      <c r="R443" s="700"/>
      <c r="S443" s="438"/>
      <c r="U443" s="475"/>
      <c r="V443" s="842"/>
      <c r="Z443" s="721"/>
      <c r="AA443" s="438"/>
    </row>
    <row r="444" spans="1:27" ht="15.6" x14ac:dyDescent="0.3">
      <c r="A444" s="407"/>
      <c r="C444" s="416"/>
      <c r="G444" s="424"/>
      <c r="I444" s="456"/>
      <c r="K444" s="217"/>
      <c r="L444" s="416"/>
      <c r="M444" s="460"/>
      <c r="N444" s="460"/>
      <c r="O444" s="460"/>
      <c r="P444" s="460"/>
      <c r="Q444" s="460"/>
      <c r="R444" s="416"/>
      <c r="S444" s="438"/>
      <c r="U444" s="475"/>
      <c r="V444" s="842"/>
      <c r="Z444" s="460"/>
      <c r="AA444" s="438"/>
    </row>
    <row r="445" spans="1:27" ht="15.6" x14ac:dyDescent="0.3">
      <c r="A445" s="407"/>
      <c r="C445" s="463" t="s">
        <v>442</v>
      </c>
      <c r="G445" s="424"/>
      <c r="I445" s="456"/>
      <c r="K445" s="217"/>
      <c r="L445" s="416"/>
      <c r="M445" s="460"/>
      <c r="N445" s="460"/>
      <c r="O445" s="460"/>
      <c r="P445" s="460"/>
      <c r="Q445" s="460"/>
      <c r="R445" s="416"/>
      <c r="S445" s="438"/>
      <c r="U445" s="475"/>
      <c r="V445" s="842"/>
      <c r="Z445" s="460"/>
      <c r="AA445" s="438"/>
    </row>
    <row r="446" spans="1:27" ht="15.6" x14ac:dyDescent="0.3">
      <c r="A446" s="407"/>
      <c r="C446" s="416"/>
      <c r="G446" s="424"/>
      <c r="I446" s="456"/>
      <c r="K446" s="217"/>
      <c r="L446" s="416"/>
      <c r="M446" s="460"/>
      <c r="N446" s="460"/>
      <c r="O446" s="460"/>
      <c r="P446" s="460"/>
      <c r="Q446" s="460"/>
      <c r="R446" s="416"/>
      <c r="S446" s="438"/>
      <c r="U446" s="475"/>
      <c r="V446" s="842"/>
      <c r="Z446" s="460"/>
      <c r="AA446" s="438"/>
    </row>
    <row r="447" spans="1:27" ht="15.6" x14ac:dyDescent="0.3">
      <c r="A447" s="438">
        <v>301</v>
      </c>
      <c r="C447" s="444" t="s">
        <v>715</v>
      </c>
      <c r="G447" s="424"/>
      <c r="I447" s="456"/>
      <c r="K447" s="216">
        <v>114201.76000000001</v>
      </c>
      <c r="L447" s="444"/>
      <c r="M447" s="224"/>
      <c r="N447" s="460"/>
      <c r="O447" s="460"/>
      <c r="P447" s="460"/>
      <c r="Q447" s="460"/>
      <c r="R447" s="416"/>
      <c r="S447" s="438"/>
      <c r="U447" s="475"/>
      <c r="V447" s="842"/>
      <c r="Z447" s="460"/>
      <c r="AA447" s="438"/>
    </row>
    <row r="448" spans="1:27" ht="15.6" x14ac:dyDescent="0.3">
      <c r="A448" s="438">
        <v>302</v>
      </c>
      <c r="C448" s="444" t="s">
        <v>443</v>
      </c>
      <c r="G448" s="424"/>
      <c r="I448" s="456"/>
      <c r="K448" s="216">
        <v>55290806.07</v>
      </c>
      <c r="L448" s="444"/>
      <c r="M448" s="224">
        <v>10926342.67</v>
      </c>
      <c r="N448" s="460"/>
      <c r="O448" s="460"/>
      <c r="P448" s="460"/>
      <c r="Q448" s="460"/>
      <c r="R448" s="416"/>
      <c r="S448" s="438"/>
      <c r="U448" s="475"/>
      <c r="V448" s="842"/>
      <c r="Z448" s="460"/>
      <c r="AA448" s="438"/>
    </row>
    <row r="449" spans="1:27" ht="15.6" x14ac:dyDescent="0.3">
      <c r="A449" s="438">
        <v>303</v>
      </c>
      <c r="C449" s="444" t="s">
        <v>716</v>
      </c>
      <c r="G449" s="424"/>
      <c r="I449" s="456"/>
      <c r="K449" s="216">
        <v>64531940.289999999</v>
      </c>
      <c r="L449" s="444"/>
      <c r="M449" s="224">
        <v>23833178.779999997</v>
      </c>
      <c r="N449" s="460"/>
      <c r="O449" s="460"/>
      <c r="P449" s="460"/>
      <c r="Q449" s="460"/>
      <c r="R449" s="416"/>
      <c r="S449" s="438"/>
      <c r="U449" s="475"/>
      <c r="V449" s="842"/>
      <c r="Z449" s="460"/>
      <c r="AA449" s="438"/>
    </row>
    <row r="450" spans="1:27" ht="15.6" x14ac:dyDescent="0.3">
      <c r="A450" s="438">
        <v>310</v>
      </c>
      <c r="C450" s="444" t="s">
        <v>445</v>
      </c>
      <c r="G450" s="424"/>
      <c r="I450" s="456"/>
      <c r="K450" s="216">
        <v>3795192.79</v>
      </c>
      <c r="L450" s="444"/>
      <c r="M450" s="224"/>
      <c r="N450" s="460"/>
      <c r="O450" s="460"/>
      <c r="P450" s="460"/>
      <c r="Q450" s="460"/>
      <c r="R450" s="416"/>
      <c r="S450" s="438"/>
      <c r="U450" s="475"/>
      <c r="V450" s="842"/>
      <c r="Z450" s="460"/>
      <c r="AA450" s="438"/>
    </row>
    <row r="451" spans="1:27" ht="15.6" x14ac:dyDescent="0.3">
      <c r="A451" s="438">
        <v>317</v>
      </c>
      <c r="C451" s="444" t="s">
        <v>449</v>
      </c>
      <c r="G451" s="424"/>
      <c r="I451" s="456"/>
      <c r="K451" s="216">
        <v>252964</v>
      </c>
      <c r="L451" s="444"/>
      <c r="M451" s="224">
        <v>71227.11</v>
      </c>
      <c r="N451" s="460"/>
      <c r="O451" s="460"/>
      <c r="P451" s="460"/>
      <c r="Q451" s="460"/>
      <c r="R451" s="416"/>
      <c r="S451" s="438"/>
      <c r="U451" s="475"/>
      <c r="V451" s="842"/>
      <c r="Z451" s="460"/>
      <c r="AA451" s="438"/>
    </row>
    <row r="452" spans="1:27" ht="15.6" x14ac:dyDescent="0.3">
      <c r="A452" s="438">
        <v>317.10000000000002</v>
      </c>
      <c r="C452" s="444" t="s">
        <v>449</v>
      </c>
      <c r="G452" s="424"/>
      <c r="I452" s="456"/>
      <c r="K452" s="216">
        <v>35282326.100000001</v>
      </c>
      <c r="L452" s="444"/>
      <c r="M452" s="224">
        <v>2724423.6</v>
      </c>
      <c r="N452" s="460"/>
      <c r="O452" s="460"/>
      <c r="P452" s="460"/>
      <c r="Q452" s="460"/>
      <c r="R452" s="416"/>
      <c r="S452" s="438"/>
      <c r="U452" s="475"/>
      <c r="V452" s="842"/>
      <c r="Z452" s="460"/>
      <c r="AA452" s="438"/>
    </row>
    <row r="453" spans="1:27" ht="15.6" x14ac:dyDescent="0.3">
      <c r="A453" s="438">
        <v>330</v>
      </c>
      <c r="C453" s="444" t="s">
        <v>445</v>
      </c>
      <c r="G453" s="424"/>
      <c r="I453" s="456"/>
      <c r="K453" s="216">
        <v>6106994.79</v>
      </c>
      <c r="L453" s="444"/>
      <c r="M453" s="224"/>
      <c r="N453" s="460"/>
      <c r="O453" s="460"/>
      <c r="P453" s="460"/>
      <c r="Q453" s="460"/>
      <c r="R453" s="416"/>
      <c r="S453" s="438"/>
      <c r="U453" s="475"/>
      <c r="V453" s="842"/>
      <c r="Z453" s="460"/>
      <c r="AA453" s="438"/>
    </row>
    <row r="454" spans="1:27" ht="15.6" x14ac:dyDescent="0.3">
      <c r="A454" s="438">
        <v>337</v>
      </c>
      <c r="C454" s="444" t="s">
        <v>449</v>
      </c>
      <c r="G454" s="424"/>
      <c r="I454" s="456"/>
      <c r="K454" s="216">
        <v>0</v>
      </c>
      <c r="L454" s="444"/>
      <c r="M454" s="224"/>
      <c r="N454" s="460"/>
      <c r="O454" s="460"/>
      <c r="P454" s="460"/>
      <c r="Q454" s="460"/>
      <c r="R454" s="416"/>
      <c r="S454" s="438"/>
      <c r="U454" s="475"/>
      <c r="V454" s="842"/>
      <c r="Z454" s="460"/>
      <c r="AA454" s="438"/>
    </row>
    <row r="455" spans="1:27" ht="15.6" x14ac:dyDescent="0.3">
      <c r="A455" s="438">
        <v>340</v>
      </c>
      <c r="C455" s="444" t="s">
        <v>445</v>
      </c>
      <c r="G455" s="424"/>
      <c r="I455" s="456"/>
      <c r="K455" s="216">
        <v>15794832.1</v>
      </c>
      <c r="L455" s="444"/>
      <c r="M455" s="224"/>
      <c r="N455" s="460"/>
      <c r="O455" s="460"/>
      <c r="P455" s="460"/>
      <c r="Q455" s="460"/>
      <c r="R455" s="416"/>
      <c r="S455" s="438"/>
      <c r="U455" s="475"/>
      <c r="V455" s="842"/>
      <c r="Z455" s="460"/>
      <c r="AA455" s="438"/>
    </row>
    <row r="456" spans="1:27" ht="15.6" x14ac:dyDescent="0.3">
      <c r="A456" s="438">
        <v>347</v>
      </c>
      <c r="C456" s="444" t="s">
        <v>449</v>
      </c>
      <c r="G456" s="424"/>
      <c r="I456" s="456"/>
      <c r="K456" s="216">
        <v>35764902.990000002</v>
      </c>
      <c r="L456" s="444"/>
      <c r="M456" s="224">
        <v>3237153.8900000006</v>
      </c>
      <c r="N456" s="460"/>
      <c r="O456" s="460"/>
      <c r="P456" s="460"/>
      <c r="Q456" s="460"/>
      <c r="R456" s="416"/>
      <c r="S456" s="438"/>
      <c r="U456" s="475"/>
      <c r="V456" s="842"/>
      <c r="Z456" s="460"/>
      <c r="AA456" s="438"/>
    </row>
    <row r="457" spans="1:27" ht="15.6" x14ac:dyDescent="0.3">
      <c r="A457" s="438">
        <v>350</v>
      </c>
      <c r="C457" s="444" t="s">
        <v>445</v>
      </c>
      <c r="G457" s="424"/>
      <c r="I457" s="456"/>
      <c r="K457" s="216">
        <v>3261662.87</v>
      </c>
      <c r="L457" s="444"/>
      <c r="M457" s="224"/>
      <c r="N457" s="460"/>
      <c r="O457" s="460"/>
      <c r="P457" s="460"/>
      <c r="Q457" s="460"/>
      <c r="R457" s="416"/>
      <c r="S457" s="438"/>
      <c r="U457" s="475"/>
      <c r="V457" s="842"/>
      <c r="Z457" s="460"/>
      <c r="AA457" s="438"/>
    </row>
    <row r="458" spans="1:27" ht="15.6" x14ac:dyDescent="0.3">
      <c r="A458" s="438">
        <v>350.7</v>
      </c>
      <c r="C458" s="444" t="s">
        <v>445</v>
      </c>
      <c r="G458" s="424"/>
      <c r="I458" s="456"/>
      <c r="K458" s="216">
        <v>11102366.640000001</v>
      </c>
      <c r="L458" s="444"/>
      <c r="M458" s="224"/>
      <c r="N458" s="460"/>
      <c r="O458" s="460"/>
      <c r="P458" s="460"/>
      <c r="Q458" s="460"/>
      <c r="R458" s="416"/>
      <c r="S458" s="438"/>
      <c r="U458" s="475"/>
      <c r="V458" s="842"/>
      <c r="Z458" s="460"/>
      <c r="AA458" s="438"/>
    </row>
    <row r="459" spans="1:27" ht="15.6" x14ac:dyDescent="0.3">
      <c r="A459" s="438">
        <v>350.9</v>
      </c>
      <c r="C459" s="444" t="s">
        <v>445</v>
      </c>
      <c r="G459" s="424"/>
      <c r="I459" s="456"/>
      <c r="K459" s="216">
        <v>1908.0900000000001</v>
      </c>
      <c r="L459" s="444"/>
      <c r="M459" s="224"/>
      <c r="N459" s="460"/>
      <c r="O459" s="460"/>
      <c r="P459" s="460"/>
      <c r="Q459" s="460"/>
      <c r="R459" s="416"/>
      <c r="S459" s="438"/>
      <c r="U459" s="475"/>
      <c r="V459" s="842"/>
      <c r="Z459" s="460"/>
      <c r="AA459" s="438"/>
    </row>
    <row r="460" spans="1:27" ht="15.6" x14ac:dyDescent="0.3">
      <c r="A460" s="438">
        <v>359.9</v>
      </c>
      <c r="C460" s="444" t="s">
        <v>449</v>
      </c>
      <c r="G460" s="424"/>
      <c r="I460" s="456"/>
      <c r="K460" s="216">
        <v>5387661.8399999999</v>
      </c>
      <c r="L460" s="444"/>
      <c r="M460" s="224">
        <v>84805.78</v>
      </c>
      <c r="N460" s="460"/>
      <c r="O460" s="460"/>
      <c r="P460" s="460"/>
      <c r="Q460" s="460"/>
      <c r="R460" s="416"/>
      <c r="S460" s="438"/>
      <c r="U460" s="475"/>
      <c r="V460" s="842"/>
      <c r="Z460" s="460"/>
      <c r="AA460" s="438"/>
    </row>
    <row r="461" spans="1:27" ht="15.6" x14ac:dyDescent="0.3">
      <c r="A461" s="438">
        <v>360</v>
      </c>
      <c r="C461" s="444" t="s">
        <v>445</v>
      </c>
      <c r="G461" s="424"/>
      <c r="I461" s="456"/>
      <c r="K461" s="216">
        <v>31113740.940000001</v>
      </c>
      <c r="L461" s="444"/>
      <c r="M461" s="224">
        <v>9.25</v>
      </c>
      <c r="N461" s="460"/>
      <c r="O461" s="460"/>
      <c r="P461" s="460"/>
      <c r="Q461" s="460"/>
      <c r="R461" s="416"/>
      <c r="S461" s="438"/>
      <c r="U461" s="475"/>
      <c r="V461" s="842"/>
      <c r="Z461" s="460"/>
      <c r="AA461" s="438"/>
    </row>
    <row r="462" spans="1:27" ht="15.6" x14ac:dyDescent="0.3">
      <c r="A462" s="438">
        <v>374</v>
      </c>
      <c r="C462" s="444" t="s">
        <v>449</v>
      </c>
      <c r="G462" s="424"/>
      <c r="I462" s="456"/>
      <c r="K462" s="216">
        <v>2696909.52</v>
      </c>
      <c r="L462" s="444"/>
      <c r="M462" s="224">
        <v>315002.32</v>
      </c>
      <c r="N462" s="460"/>
      <c r="O462" s="460"/>
      <c r="P462" s="460"/>
      <c r="Q462" s="460"/>
      <c r="R462" s="416"/>
      <c r="S462" s="438"/>
      <c r="U462" s="475"/>
      <c r="V462" s="842"/>
      <c r="Z462" s="460"/>
      <c r="AA462" s="438"/>
    </row>
    <row r="463" spans="1:27" ht="15.6" x14ac:dyDescent="0.3">
      <c r="A463" s="438">
        <v>389</v>
      </c>
      <c r="C463" s="444" t="s">
        <v>445</v>
      </c>
      <c r="G463" s="424"/>
      <c r="I463" s="456"/>
      <c r="K463" s="209">
        <v>5316207.63</v>
      </c>
      <c r="L463" s="440"/>
      <c r="M463" s="225"/>
      <c r="N463" s="460"/>
      <c r="O463" s="460"/>
      <c r="P463" s="460"/>
      <c r="Q463" s="460"/>
      <c r="R463" s="416"/>
      <c r="S463" s="438"/>
      <c r="U463" s="475"/>
      <c r="V463" s="842"/>
      <c r="Z463" s="460"/>
      <c r="AA463" s="438"/>
    </row>
    <row r="464" spans="1:27" x14ac:dyDescent="0.25">
      <c r="A464" s="438">
        <v>390.1</v>
      </c>
      <c r="C464" s="461" t="s">
        <v>717</v>
      </c>
      <c r="E464" s="447"/>
      <c r="G464" s="448"/>
      <c r="H464" s="448"/>
      <c r="I464" s="449"/>
      <c r="J464" s="440"/>
      <c r="K464" s="212">
        <v>184775.85</v>
      </c>
      <c r="L464" s="210"/>
      <c r="M464" s="213">
        <v>170844.11000000002</v>
      </c>
      <c r="N464" s="211"/>
      <c r="O464" s="211"/>
      <c r="P464" s="211"/>
      <c r="Q464" s="211"/>
      <c r="R464" s="444"/>
      <c r="S464" s="450"/>
      <c r="T464" s="444"/>
      <c r="U464" s="451"/>
      <c r="V464" s="842"/>
      <c r="Z464" s="211"/>
      <c r="AA464" s="450"/>
    </row>
    <row r="465" spans="1:27" ht="15.6" x14ac:dyDescent="0.3">
      <c r="A465" s="407"/>
      <c r="C465" s="416"/>
      <c r="G465" s="424"/>
      <c r="I465" s="456"/>
      <c r="K465" s="217"/>
      <c r="L465" s="416"/>
      <c r="M465" s="460"/>
      <c r="N465" s="460"/>
      <c r="O465" s="460"/>
      <c r="P465" s="460"/>
      <c r="Q465" s="460"/>
      <c r="R465" s="416"/>
      <c r="S465" s="438"/>
      <c r="U465" s="475"/>
      <c r="V465" s="842"/>
      <c r="Z465" s="460"/>
      <c r="AA465" s="438"/>
    </row>
    <row r="466" spans="1:27" ht="15.6" x14ac:dyDescent="0.3">
      <c r="A466" s="407"/>
      <c r="C466" s="433" t="s">
        <v>718</v>
      </c>
      <c r="G466" s="424"/>
      <c r="I466" s="456"/>
      <c r="K466" s="226">
        <f>SUBTOTAL(9,K447:K464)</f>
        <v>275999394.27000004</v>
      </c>
      <c r="L466" s="484"/>
      <c r="M466" s="222">
        <f>SUBTOTAL(9,M447:M464)</f>
        <v>41362987.509999998</v>
      </c>
      <c r="N466" s="460"/>
      <c r="O466" s="460"/>
      <c r="P466" s="460"/>
      <c r="Q466" s="460"/>
      <c r="R466" s="416"/>
      <c r="S466" s="438"/>
      <c r="U466" s="475"/>
      <c r="V466" s="842"/>
      <c r="Z466" s="460"/>
      <c r="AA466" s="438"/>
    </row>
    <row r="467" spans="1:27" ht="15.6" x14ac:dyDescent="0.3">
      <c r="A467" s="407"/>
      <c r="C467" s="416"/>
      <c r="G467" s="424"/>
      <c r="I467" s="456"/>
      <c r="K467" s="217"/>
      <c r="L467" s="416"/>
      <c r="M467" s="460"/>
      <c r="N467" s="460"/>
      <c r="O467" s="460"/>
      <c r="P467" s="460"/>
      <c r="Q467" s="460"/>
      <c r="R467" s="416"/>
      <c r="S467" s="438"/>
      <c r="U467" s="475"/>
      <c r="V467" s="842"/>
      <c r="Z467" s="460"/>
      <c r="AA467" s="438"/>
    </row>
    <row r="468" spans="1:27" ht="15.6" x14ac:dyDescent="0.3">
      <c r="A468" s="407"/>
      <c r="C468" s="416"/>
      <c r="G468" s="424"/>
      <c r="I468" s="456"/>
      <c r="K468" s="217"/>
      <c r="L468" s="416"/>
      <c r="M468" s="460"/>
      <c r="N468" s="460"/>
      <c r="O468" s="460"/>
      <c r="P468" s="460"/>
      <c r="Q468" s="460"/>
      <c r="R468" s="416"/>
      <c r="S468" s="438"/>
      <c r="U468" s="475"/>
      <c r="V468" s="842"/>
      <c r="Z468" s="460"/>
      <c r="AA468" s="438"/>
    </row>
    <row r="469" spans="1:27" ht="16.2" thickBot="1" x14ac:dyDescent="0.35">
      <c r="A469" s="407"/>
      <c r="C469" s="433" t="s">
        <v>719</v>
      </c>
      <c r="G469" s="424"/>
      <c r="I469" s="456"/>
      <c r="K469" s="223">
        <f>+SUBTOTAL(9,K23:K468)</f>
        <v>9335146525.4900074</v>
      </c>
      <c r="L469" s="416"/>
      <c r="M469" s="483">
        <f>+SUBTOTAL(9,M23:M468)</f>
        <v>3564835454.9899998</v>
      </c>
      <c r="N469" s="460"/>
      <c r="O469" s="483">
        <f>+SUBTOTAL(9,O23:O468)</f>
        <v>7013172866.2299995</v>
      </c>
      <c r="P469" s="460"/>
      <c r="Q469" s="483">
        <f>+SUBTOTAL(9,Q23:Q468)</f>
        <v>314298073.42537552</v>
      </c>
      <c r="R469" s="416"/>
      <c r="S469" s="438"/>
      <c r="U469" s="475"/>
      <c r="V469" s="842"/>
      <c r="Z469" s="483">
        <v>321836007.59199995</v>
      </c>
      <c r="AA469" s="438"/>
    </row>
    <row r="470" spans="1:27" ht="16.2" thickTop="1" x14ac:dyDescent="0.3">
      <c r="A470" s="407"/>
      <c r="C470" s="433"/>
      <c r="G470" s="424"/>
      <c r="I470" s="456"/>
      <c r="K470" s="216"/>
      <c r="L470" s="416"/>
      <c r="M470" s="436"/>
      <c r="N470" s="460"/>
      <c r="O470" s="460"/>
      <c r="P470" s="460"/>
      <c r="Q470" s="460"/>
      <c r="R470" s="416"/>
      <c r="S470" s="438"/>
      <c r="U470" s="475"/>
      <c r="V470" s="842"/>
      <c r="Z470" s="460"/>
      <c r="AA470" s="438"/>
    </row>
    <row r="471" spans="1:27" ht="15.6" x14ac:dyDescent="0.3">
      <c r="A471" s="407"/>
      <c r="C471" s="749"/>
      <c r="G471" s="708"/>
      <c r="I471" s="719"/>
      <c r="K471" s="216"/>
      <c r="L471" s="700"/>
      <c r="M471" s="436"/>
      <c r="N471" s="721"/>
      <c r="O471" s="721"/>
      <c r="P471" s="721"/>
      <c r="Q471" s="721"/>
      <c r="R471" s="700"/>
      <c r="S471" s="438"/>
      <c r="U471" s="475"/>
      <c r="V471" s="842"/>
      <c r="Z471" s="721"/>
      <c r="AA471" s="438"/>
    </row>
    <row r="472" spans="1:27" ht="15.6" x14ac:dyDescent="0.3">
      <c r="A472" s="407"/>
      <c r="C472" s="749"/>
      <c r="G472" s="708"/>
      <c r="I472" s="719"/>
      <c r="K472" s="216"/>
      <c r="L472" s="700"/>
      <c r="M472" s="436"/>
      <c r="N472" s="721"/>
      <c r="O472" s="721"/>
      <c r="P472" s="721"/>
      <c r="Q472" s="721"/>
      <c r="R472" s="700"/>
      <c r="S472" s="438"/>
      <c r="U472" s="475"/>
      <c r="V472" s="842"/>
      <c r="Z472" s="721"/>
      <c r="AA472" s="438"/>
    </row>
    <row r="473" spans="1:27" ht="15.6" x14ac:dyDescent="0.3">
      <c r="A473" s="407"/>
      <c r="C473" s="749"/>
      <c r="G473" s="708"/>
      <c r="I473" s="719"/>
      <c r="K473" s="216"/>
      <c r="L473" s="700"/>
      <c r="M473" s="436"/>
      <c r="N473" s="721"/>
      <c r="O473" s="721"/>
      <c r="P473" s="721"/>
      <c r="Q473" s="721"/>
      <c r="R473" s="700"/>
      <c r="S473" s="438"/>
      <c r="U473" s="475"/>
      <c r="V473" s="842"/>
      <c r="Z473" s="721"/>
      <c r="AA473" s="438"/>
    </row>
    <row r="474" spans="1:27" x14ac:dyDescent="0.25">
      <c r="A474" s="407"/>
      <c r="G474" s="424"/>
      <c r="I474" s="456"/>
      <c r="K474" s="216"/>
      <c r="N474" s="436"/>
      <c r="O474" s="436"/>
      <c r="P474" s="436"/>
      <c r="Q474" s="436" t="s">
        <v>534</v>
      </c>
      <c r="S474" s="438"/>
      <c r="U474" s="437"/>
      <c r="V474" s="842"/>
      <c r="Z474" s="436" t="s">
        <v>534</v>
      </c>
      <c r="AA474" s="438"/>
    </row>
    <row r="475" spans="1:27" x14ac:dyDescent="0.25">
      <c r="B475" s="408" t="s">
        <v>720</v>
      </c>
      <c r="H475" s="435"/>
      <c r="I475" s="408"/>
      <c r="K475" s="485"/>
    </row>
    <row r="476" spans="1:27" x14ac:dyDescent="0.25">
      <c r="B476" s="486" t="s">
        <v>727</v>
      </c>
      <c r="H476" s="435"/>
      <c r="I476" s="408"/>
    </row>
    <row r="477" spans="1:27" x14ac:dyDescent="0.25">
      <c r="B477" s="444" t="s">
        <v>725</v>
      </c>
      <c r="H477" s="435"/>
      <c r="I477" s="408"/>
    </row>
    <row r="478" spans="1:27" x14ac:dyDescent="0.25">
      <c r="B478" s="444"/>
      <c r="C478" s="434"/>
      <c r="D478" s="487"/>
      <c r="E478" s="487"/>
      <c r="F478" s="487"/>
      <c r="G478" s="487"/>
      <c r="H478" s="435"/>
      <c r="I478" s="408"/>
    </row>
    <row r="479" spans="1:27" x14ac:dyDescent="0.25">
      <c r="B479" s="488" t="s">
        <v>826</v>
      </c>
      <c r="I479" s="456"/>
    </row>
    <row r="481" spans="2:9" ht="15.6" x14ac:dyDescent="0.3">
      <c r="C481" s="486"/>
      <c r="D481" s="486"/>
      <c r="E481" s="489" t="s">
        <v>680</v>
      </c>
      <c r="F481" s="486"/>
      <c r="G481" s="489" t="s">
        <v>827</v>
      </c>
      <c r="H481" s="486"/>
      <c r="I481" s="489" t="s">
        <v>135</v>
      </c>
    </row>
    <row r="482" spans="2:9" x14ac:dyDescent="0.25">
      <c r="C482" s="486"/>
      <c r="D482" s="486"/>
      <c r="E482" s="490"/>
      <c r="F482" s="486"/>
      <c r="G482" s="486"/>
      <c r="H482" s="486"/>
      <c r="I482" s="486"/>
    </row>
    <row r="483" spans="2:9" x14ac:dyDescent="0.25">
      <c r="B483" s="486"/>
      <c r="C483" s="491" t="s">
        <v>828</v>
      </c>
      <c r="D483" s="486"/>
      <c r="E483" s="490" t="s">
        <v>829</v>
      </c>
      <c r="F483" s="486"/>
      <c r="G483" s="490">
        <v>0</v>
      </c>
      <c r="H483" s="486"/>
      <c r="I483" s="490">
        <v>5.56</v>
      </c>
    </row>
    <row r="484" spans="2:9" x14ac:dyDescent="0.25">
      <c r="B484" s="486"/>
      <c r="C484" s="491" t="s">
        <v>105</v>
      </c>
      <c r="D484" s="486"/>
      <c r="E484" s="490" t="s">
        <v>830</v>
      </c>
      <c r="F484" s="486"/>
      <c r="G484" s="490">
        <v>0</v>
      </c>
      <c r="H484" s="486"/>
      <c r="I484" s="490">
        <v>6.67</v>
      </c>
    </row>
    <row r="485" spans="2:9" x14ac:dyDescent="0.25">
      <c r="B485" s="492"/>
      <c r="C485" s="493" t="s">
        <v>104</v>
      </c>
      <c r="D485" s="492"/>
      <c r="E485" s="494" t="s">
        <v>831</v>
      </c>
      <c r="F485" s="492"/>
      <c r="G485" s="495">
        <v>0</v>
      </c>
      <c r="H485" s="492"/>
      <c r="I485" s="496">
        <v>10</v>
      </c>
    </row>
    <row r="486" spans="2:9" x14ac:dyDescent="0.25">
      <c r="C486" s="492"/>
      <c r="D486" s="492"/>
      <c r="E486" s="494"/>
      <c r="F486" s="492"/>
      <c r="G486" s="492"/>
      <c r="H486" s="492"/>
      <c r="I486" s="492"/>
    </row>
    <row r="487" spans="2:9" x14ac:dyDescent="0.25">
      <c r="B487" s="497"/>
      <c r="C487" s="434"/>
      <c r="D487" s="487"/>
      <c r="E487" s="487"/>
      <c r="F487" s="487"/>
      <c r="G487" s="487"/>
      <c r="H487" s="435"/>
      <c r="I487" s="408"/>
    </row>
    <row r="488" spans="2:9" x14ac:dyDescent="0.25">
      <c r="B488" s="497"/>
      <c r="C488" s="434"/>
      <c r="D488" s="487"/>
      <c r="E488" s="487"/>
      <c r="F488" s="487"/>
      <c r="G488" s="487"/>
      <c r="H488" s="435"/>
      <c r="I488" s="408"/>
    </row>
    <row r="489" spans="2:9" x14ac:dyDescent="0.25">
      <c r="B489" s="497"/>
      <c r="C489" s="434"/>
      <c r="D489" s="487"/>
      <c r="E489" s="487"/>
      <c r="F489" s="487"/>
      <c r="G489" s="487"/>
      <c r="H489" s="435"/>
      <c r="I489" s="408"/>
    </row>
    <row r="490" spans="2:9" x14ac:dyDescent="0.25">
      <c r="B490" s="497"/>
      <c r="C490" s="434"/>
      <c r="D490" s="487"/>
      <c r="E490" s="487"/>
      <c r="F490" s="487"/>
      <c r="G490" s="487"/>
      <c r="H490" s="435"/>
      <c r="I490" s="408"/>
    </row>
    <row r="491" spans="2:9" x14ac:dyDescent="0.25">
      <c r="B491" s="497"/>
      <c r="C491" s="434"/>
      <c r="D491" s="487"/>
      <c r="E491" s="487"/>
      <c r="F491" s="487"/>
      <c r="G491" s="487"/>
      <c r="H491" s="435"/>
      <c r="I491" s="408"/>
    </row>
  </sheetData>
  <autoFilter ref="A12:AC464"/>
  <pageMargins left="0.45" right="0.45" top="0.4" bottom="0.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J5" sqref="J5"/>
    </sheetView>
  </sheetViews>
  <sheetFormatPr defaultColWidth="9.109375" defaultRowHeight="13.2" x14ac:dyDescent="0.25"/>
  <cols>
    <col min="1" max="1" width="11.109375" style="856" customWidth="1"/>
    <col min="2" max="2" width="9.5546875" style="856" customWidth="1"/>
    <col min="3" max="3" width="9" style="856" customWidth="1"/>
    <col min="4" max="4" width="8.33203125" style="856" customWidth="1"/>
    <col min="5" max="5" width="10.109375" style="856" customWidth="1"/>
    <col min="6" max="6" width="7.88671875" style="856" customWidth="1"/>
    <col min="7" max="7" width="12.5546875" style="856" customWidth="1"/>
    <col min="8" max="8" width="15.109375" style="856" customWidth="1"/>
    <col min="9" max="9" width="4" style="856" customWidth="1"/>
    <col min="10" max="10" width="14.109375" style="856" customWidth="1"/>
    <col min="11" max="11" width="12.33203125" style="856" customWidth="1"/>
    <col min="12" max="12" width="16.5546875" style="856" customWidth="1"/>
    <col min="13" max="13" width="7.33203125" style="856" customWidth="1"/>
    <col min="14" max="14" width="14.5546875" style="856" customWidth="1"/>
    <col min="15" max="16384" width="9.109375" style="856"/>
  </cols>
  <sheetData>
    <row r="1" spans="1:15" ht="52.8" x14ac:dyDescent="0.25">
      <c r="B1" s="857" t="s">
        <v>1016</v>
      </c>
      <c r="C1" s="857" t="s">
        <v>1017</v>
      </c>
      <c r="D1" s="857" t="s">
        <v>1018</v>
      </c>
      <c r="E1" s="857" t="s">
        <v>1019</v>
      </c>
      <c r="F1" s="857" t="s">
        <v>1020</v>
      </c>
      <c r="G1" s="857" t="s">
        <v>1021</v>
      </c>
      <c r="H1" s="857" t="s">
        <v>1022</v>
      </c>
      <c r="J1" s="857" t="s">
        <v>1023</v>
      </c>
      <c r="K1" s="857" t="s">
        <v>1024</v>
      </c>
      <c r="L1" s="857" t="s">
        <v>1025</v>
      </c>
      <c r="M1" s="857" t="s">
        <v>1026</v>
      </c>
    </row>
    <row r="2" spans="1:15" x14ac:dyDescent="0.25">
      <c r="A2" s="856" t="s">
        <v>1027</v>
      </c>
      <c r="B2" s="856">
        <v>1975</v>
      </c>
      <c r="C2" s="856">
        <v>47</v>
      </c>
      <c r="D2" s="856">
        <f>C2-E2</f>
        <v>42.5</v>
      </c>
      <c r="E2" s="856">
        <v>4.5</v>
      </c>
    </row>
    <row r="3" spans="1:15" x14ac:dyDescent="0.25">
      <c r="A3" s="856">
        <v>311</v>
      </c>
      <c r="F3" s="858">
        <f>Electric!F10</f>
        <v>1.7399999999999999E-2</v>
      </c>
      <c r="G3" s="859">
        <f>'Elec Study Rpt'!K24</f>
        <v>9209467.8399999999</v>
      </c>
      <c r="H3" s="859">
        <f>'Elec Study Rpt'!M24</f>
        <v>5369107.8200000003</v>
      </c>
      <c r="J3" s="859">
        <f>G3-H3</f>
        <v>3840360.0199999996</v>
      </c>
      <c r="K3" s="860">
        <f>$O$6*G3/$C$2</f>
        <v>532662.70825186267</v>
      </c>
      <c r="L3" s="859">
        <f>K3*$E$2</f>
        <v>2396982.1871333821</v>
      </c>
      <c r="M3" s="861">
        <f>L3/$L$30</f>
        <v>2.879257882442501E-2</v>
      </c>
    </row>
    <row r="4" spans="1:15" x14ac:dyDescent="0.25">
      <c r="A4" s="856">
        <v>312</v>
      </c>
      <c r="F4" s="858">
        <f>Electric!F25</f>
        <v>1.6899999999999998E-2</v>
      </c>
      <c r="G4" s="859">
        <f>'Elec Study Rpt'!K39</f>
        <v>88145747.640000001</v>
      </c>
      <c r="H4" s="859">
        <f>'Elec Study Rpt'!M39</f>
        <v>42279305.32</v>
      </c>
      <c r="J4" s="859">
        <f>G4-H4</f>
        <v>45866442.32</v>
      </c>
      <c r="K4" s="860">
        <f t="shared" ref="K4:K7" si="0">$O$6*G4/$C$2</f>
        <v>5098226.4637353504</v>
      </c>
      <c r="L4" s="859">
        <f t="shared" ref="L4:L7" si="1">K4*$E$2</f>
        <v>22942019.086809076</v>
      </c>
      <c r="M4" s="861">
        <f t="shared" ref="M4:M7" si="2">L4/$L$30</f>
        <v>0.27557980885055949</v>
      </c>
    </row>
    <row r="5" spans="1:15" x14ac:dyDescent="0.25">
      <c r="A5" s="856">
        <v>314</v>
      </c>
      <c r="F5" s="858">
        <f>Electric!F41</f>
        <v>2.3599999999999999E-2</v>
      </c>
      <c r="G5" s="859">
        <f>'Elec Study Rpt'!K55</f>
        <v>28781740.460000001</v>
      </c>
      <c r="H5" s="859">
        <f>'Elec Study Rpt'!M55</f>
        <v>9901631.0199999996</v>
      </c>
      <c r="J5" s="859">
        <f t="shared" ref="J5:J7" si="3">G5-H5</f>
        <v>18880109.440000001</v>
      </c>
      <c r="K5" s="860">
        <f t="shared" si="0"/>
        <v>1664695.5163943344</v>
      </c>
      <c r="L5" s="859">
        <f t="shared" si="1"/>
        <v>7491129.8237745045</v>
      </c>
      <c r="M5" s="861">
        <f t="shared" si="2"/>
        <v>8.998354142672077E-2</v>
      </c>
      <c r="O5" s="856" t="s">
        <v>1028</v>
      </c>
    </row>
    <row r="6" spans="1:15" x14ac:dyDescent="0.25">
      <c r="A6" s="856">
        <v>315</v>
      </c>
      <c r="F6" s="858">
        <f>Electric!F56</f>
        <v>9.300000000000001E-3</v>
      </c>
      <c r="G6" s="859">
        <f>'Elec Study Rpt'!K70</f>
        <v>7465362.6200000001</v>
      </c>
      <c r="H6" s="859">
        <f>'Elec Study Rpt'!M70</f>
        <v>4686399.93</v>
      </c>
      <c r="J6" s="859">
        <f t="shared" si="3"/>
        <v>2778962.6900000004</v>
      </c>
      <c r="K6" s="860">
        <f t="shared" si="0"/>
        <v>431786.10755118524</v>
      </c>
      <c r="L6" s="859">
        <f t="shared" si="1"/>
        <v>1943037.4839803337</v>
      </c>
      <c r="M6" s="861">
        <f t="shared" si="2"/>
        <v>2.3339789597361365E-2</v>
      </c>
      <c r="O6" s="856">
        <v>2.7184141063070966</v>
      </c>
    </row>
    <row r="7" spans="1:15" x14ac:dyDescent="0.25">
      <c r="A7" s="862">
        <v>316</v>
      </c>
      <c r="B7" s="862"/>
      <c r="C7" s="862"/>
      <c r="D7" s="862"/>
      <c r="E7" s="862"/>
      <c r="F7" s="863">
        <f>Electric!F72</f>
        <v>2.3100000000000002E-2</v>
      </c>
      <c r="G7" s="864">
        <f>'Elec Study Rpt'!K86</f>
        <v>946611.59</v>
      </c>
      <c r="H7" s="864">
        <f>'Elec Study Rpt'!M86</f>
        <v>373568.68</v>
      </c>
      <c r="I7" s="862"/>
      <c r="J7" s="864">
        <f t="shared" si="3"/>
        <v>573042.90999999992</v>
      </c>
      <c r="K7" s="860">
        <f t="shared" si="0"/>
        <v>54750.687222335953</v>
      </c>
      <c r="L7" s="864">
        <f t="shared" si="1"/>
        <v>246378.09250051179</v>
      </c>
      <c r="M7" s="865">
        <f t="shared" si="2"/>
        <v>2.9594966066127542E-3</v>
      </c>
    </row>
    <row r="8" spans="1:15" x14ac:dyDescent="0.25">
      <c r="E8" s="856" t="s">
        <v>1029</v>
      </c>
      <c r="G8" s="859">
        <f>SUM(G3:G7)</f>
        <v>134548930.15000001</v>
      </c>
      <c r="H8" s="859">
        <f>SUM(H3:H7)</f>
        <v>62610012.769999996</v>
      </c>
      <c r="J8" s="859">
        <f>SUM(J3:J7)</f>
        <v>71938917.379999995</v>
      </c>
      <c r="K8" s="860">
        <f>SUM(K3:K7)</f>
        <v>7782121.483155068</v>
      </c>
      <c r="L8" s="859">
        <f>SUM(L3:L7)</f>
        <v>35019546.674197815</v>
      </c>
      <c r="N8" s="866"/>
    </row>
    <row r="9" spans="1:15" x14ac:dyDescent="0.25">
      <c r="G9" s="859"/>
      <c r="H9" s="859"/>
      <c r="J9" s="859"/>
      <c r="K9" s="860"/>
      <c r="L9" s="859"/>
    </row>
    <row r="10" spans="1:15" x14ac:dyDescent="0.25">
      <c r="G10" s="859"/>
      <c r="H10" s="859"/>
      <c r="J10" s="859"/>
      <c r="K10" s="860"/>
      <c r="L10" s="859"/>
    </row>
    <row r="11" spans="1:15" x14ac:dyDescent="0.25">
      <c r="A11" s="856" t="s">
        <v>1030</v>
      </c>
      <c r="B11" s="856">
        <v>1976</v>
      </c>
      <c r="C11" s="856">
        <v>46</v>
      </c>
      <c r="D11" s="856">
        <f>C11-E11</f>
        <v>41.5</v>
      </c>
      <c r="E11" s="856">
        <v>4.5</v>
      </c>
      <c r="G11" s="859"/>
      <c r="H11" s="859"/>
      <c r="J11" s="859"/>
      <c r="K11" s="860"/>
      <c r="L11" s="859"/>
    </row>
    <row r="12" spans="1:15" x14ac:dyDescent="0.25">
      <c r="A12" s="856">
        <v>311</v>
      </c>
      <c r="F12" s="858">
        <f>Electric!F11</f>
        <v>1.3200000000000002E-2</v>
      </c>
      <c r="G12" s="859">
        <f>'Elec Study Rpt'!K25</f>
        <v>4336957.28</v>
      </c>
      <c r="H12" s="859">
        <f>'Elec Study Rpt'!M25</f>
        <v>1063478.6000000001</v>
      </c>
      <c r="J12" s="859">
        <f>G12-H12</f>
        <v>3273478.68</v>
      </c>
      <c r="K12" s="860">
        <f>$O$6*G12/$C$11</f>
        <v>256296.64887833167</v>
      </c>
      <c r="L12" s="859">
        <f>K12*$E$11</f>
        <v>1153334.9199524925</v>
      </c>
      <c r="M12" s="861">
        <f>L12/$L$30</f>
        <v>1.3853872912342252E-2</v>
      </c>
    </row>
    <row r="13" spans="1:15" x14ac:dyDescent="0.25">
      <c r="A13" s="856">
        <v>312</v>
      </c>
      <c r="F13" s="858">
        <f>Electric!F26</f>
        <v>1.78E-2</v>
      </c>
      <c r="G13" s="859">
        <f>'Elec Study Rpt'!K40</f>
        <v>88368523.219999999</v>
      </c>
      <c r="H13" s="859">
        <f>'Elec Study Rpt'!M40</f>
        <v>36998691.5</v>
      </c>
      <c r="J13" s="859">
        <f t="shared" ref="J13:J16" si="4">G13-H13</f>
        <v>51369831.719999999</v>
      </c>
      <c r="K13" s="860">
        <f t="shared" ref="K13:K16" si="5">$O$6*G13/$C$11</f>
        <v>5222222.6103211781</v>
      </c>
      <c r="L13" s="859">
        <f t="shared" ref="L13:L16" si="6">K13*$E$11</f>
        <v>23500001.746445302</v>
      </c>
      <c r="M13" s="861">
        <f t="shared" ref="M13:M16" si="7">L13/$L$30</f>
        <v>0.28228230326060422</v>
      </c>
    </row>
    <row r="14" spans="1:15" x14ac:dyDescent="0.25">
      <c r="A14" s="856">
        <v>314</v>
      </c>
      <c r="F14" s="858">
        <f>Electric!F42</f>
        <v>2.29E-2</v>
      </c>
      <c r="G14" s="859">
        <f>'Elec Study Rpt'!K56</f>
        <v>34145118.659999996</v>
      </c>
      <c r="H14" s="859">
        <f>'Elec Study Rpt'!M56</f>
        <v>12039662.810000001</v>
      </c>
      <c r="J14" s="859">
        <f t="shared" si="4"/>
        <v>22105455.849999994</v>
      </c>
      <c r="K14" s="860">
        <f t="shared" si="5"/>
        <v>2017838.5266711663</v>
      </c>
      <c r="L14" s="859">
        <f t="shared" si="6"/>
        <v>9080273.370020248</v>
      </c>
      <c r="M14" s="861">
        <f t="shared" si="7"/>
        <v>0.10907235279303601</v>
      </c>
    </row>
    <row r="15" spans="1:15" x14ac:dyDescent="0.25">
      <c r="A15" s="856">
        <v>315</v>
      </c>
      <c r="F15" s="858">
        <f>Electric!F57</f>
        <v>1.3600000000000001E-2</v>
      </c>
      <c r="G15" s="859">
        <f>'Elec Study Rpt'!K71</f>
        <v>4167725.42</v>
      </c>
      <c r="H15" s="859">
        <f>'Elec Study Rpt'!M71</f>
        <v>1460587.68</v>
      </c>
      <c r="J15" s="859">
        <f t="shared" si="4"/>
        <v>2707137.74</v>
      </c>
      <c r="K15" s="860">
        <f t="shared" si="5"/>
        <v>246295.72984657975</v>
      </c>
      <c r="L15" s="859">
        <f t="shared" si="6"/>
        <v>1108330.7843096089</v>
      </c>
      <c r="M15" s="861">
        <f t="shared" si="7"/>
        <v>1.3313282694409716E-2</v>
      </c>
    </row>
    <row r="16" spans="1:15" x14ac:dyDescent="0.25">
      <c r="A16" s="862">
        <v>316</v>
      </c>
      <c r="B16" s="862"/>
      <c r="C16" s="862"/>
      <c r="D16" s="862"/>
      <c r="E16" s="862"/>
      <c r="F16" s="863">
        <f>Electric!F73</f>
        <v>2.3799999999999998E-2</v>
      </c>
      <c r="G16" s="864">
        <f>'Elec Study Rpt'!K87</f>
        <v>1075704.3200000001</v>
      </c>
      <c r="H16" s="864">
        <f>'Elec Study Rpt'!M87</f>
        <v>483996.02</v>
      </c>
      <c r="I16" s="862"/>
      <c r="J16" s="864">
        <f t="shared" si="4"/>
        <v>591708.30000000005</v>
      </c>
      <c r="K16" s="860">
        <f t="shared" si="5"/>
        <v>63569.778210945289</v>
      </c>
      <c r="L16" s="864">
        <f t="shared" si="6"/>
        <v>286064.00194925378</v>
      </c>
      <c r="M16" s="865">
        <f t="shared" si="7"/>
        <v>3.4362042276186639E-3</v>
      </c>
    </row>
    <row r="17" spans="1:14" x14ac:dyDescent="0.25">
      <c r="E17" s="856" t="s">
        <v>1029</v>
      </c>
      <c r="G17" s="859">
        <f>SUM(G12:G16)</f>
        <v>132094028.89999999</v>
      </c>
      <c r="H17" s="859">
        <f>SUM(H12:H16)</f>
        <v>52046416.610000007</v>
      </c>
      <c r="J17" s="859">
        <f>SUM(J12:J16)</f>
        <v>80047612.289999992</v>
      </c>
      <c r="K17" s="860">
        <f>SUM(K12:K16)</f>
        <v>7806223.2939282013</v>
      </c>
      <c r="L17" s="859">
        <f>SUM(L12:L16)</f>
        <v>35128004.822676904</v>
      </c>
    </row>
    <row r="18" spans="1:14" x14ac:dyDescent="0.25">
      <c r="G18" s="859"/>
      <c r="H18" s="859"/>
      <c r="J18" s="859"/>
      <c r="K18" s="860"/>
      <c r="L18" s="859"/>
    </row>
    <row r="19" spans="1:14" x14ac:dyDescent="0.25">
      <c r="G19" s="859"/>
      <c r="H19" s="859"/>
      <c r="J19" s="859"/>
      <c r="K19" s="860"/>
      <c r="L19" s="859"/>
    </row>
    <row r="20" spans="1:14" x14ac:dyDescent="0.25">
      <c r="A20" s="856" t="s">
        <v>1031</v>
      </c>
      <c r="B20" s="856">
        <v>1976</v>
      </c>
      <c r="C20" s="856">
        <v>46</v>
      </c>
      <c r="D20" s="856">
        <f>C20-E20</f>
        <v>41.5</v>
      </c>
      <c r="E20" s="856">
        <v>4.5</v>
      </c>
      <c r="G20" s="859"/>
      <c r="H20" s="859"/>
      <c r="J20" s="859"/>
      <c r="K20" s="860"/>
      <c r="L20" s="859"/>
    </row>
    <row r="21" spans="1:14" x14ac:dyDescent="0.25">
      <c r="A21" s="856">
        <v>311</v>
      </c>
      <c r="F21" s="858">
        <f>Electric!F14</f>
        <v>1.23E-2</v>
      </c>
      <c r="G21" s="859">
        <f>'Elec Study Rpt'!K28</f>
        <v>30934199.879999999</v>
      </c>
      <c r="H21" s="859">
        <f>'Elec Study Rpt'!M28</f>
        <v>26913190.699999999</v>
      </c>
      <c r="J21" s="859">
        <f>G21-H21</f>
        <v>4021009.1799999997</v>
      </c>
      <c r="K21" s="860">
        <f>$O$6*G21/$C$20</f>
        <v>1828086.2026329411</v>
      </c>
      <c r="L21" s="859">
        <f>K21*$E$20</f>
        <v>8226387.9118482349</v>
      </c>
      <c r="M21" s="861">
        <f>L21/$L$30</f>
        <v>9.8815470412591408E-2</v>
      </c>
    </row>
    <row r="22" spans="1:14" x14ac:dyDescent="0.25">
      <c r="A22" s="856">
        <v>312</v>
      </c>
      <c r="F22" s="858">
        <f>Electric!F29</f>
        <v>1.2700000000000001E-2</v>
      </c>
      <c r="G22" s="859">
        <f>'Elec Study Rpt'!K43</f>
        <v>6043572.0999999996</v>
      </c>
      <c r="H22" s="859">
        <f>'Elec Study Rpt'!M43</f>
        <v>5184006.7300000004</v>
      </c>
      <c r="J22" s="859">
        <f t="shared" ref="J22:J25" si="8">G22-H22</f>
        <v>859565.36999999918</v>
      </c>
      <c r="K22" s="860">
        <f t="shared" ref="K22:K25" si="9">$O$6*G22/$C$20</f>
        <v>357150.68802443484</v>
      </c>
      <c r="L22" s="859">
        <f t="shared" ref="L22:L25" si="10">K22*$E$20</f>
        <v>1607178.0961099567</v>
      </c>
      <c r="M22" s="861">
        <f t="shared" ref="M22:M25" si="11">L22/$L$30</f>
        <v>1.9305442595915396E-2</v>
      </c>
    </row>
    <row r="23" spans="1:14" x14ac:dyDescent="0.25">
      <c r="A23" s="856">
        <v>314</v>
      </c>
      <c r="F23" s="858">
        <f>Electric!F45</f>
        <v>1.24E-2</v>
      </c>
      <c r="G23" s="859">
        <f>'Elec Study Rpt'!K59</f>
        <v>3813725.5</v>
      </c>
      <c r="H23" s="859">
        <f>'Elec Study Rpt'!M59</f>
        <v>3575881.91</v>
      </c>
      <c r="J23" s="859">
        <f t="shared" si="8"/>
        <v>237843.58999999985</v>
      </c>
      <c r="K23" s="860">
        <f t="shared" si="9"/>
        <v>225375.76514745835</v>
      </c>
      <c r="L23" s="859">
        <f t="shared" si="10"/>
        <v>1014190.9431635626</v>
      </c>
      <c r="M23" s="861">
        <f t="shared" si="11"/>
        <v>1.2182473791754505E-2</v>
      </c>
    </row>
    <row r="24" spans="1:14" x14ac:dyDescent="0.25">
      <c r="A24" s="856">
        <v>315</v>
      </c>
      <c r="F24" s="858">
        <f>Electric!F60</f>
        <v>1.1399999999999999E-2</v>
      </c>
      <c r="G24" s="859">
        <f>'Elec Study Rpt'!K74</f>
        <v>2272860.64</v>
      </c>
      <c r="H24" s="859">
        <f>'Elec Study Rpt'!M74</f>
        <v>1998202.47</v>
      </c>
      <c r="J24" s="859">
        <f t="shared" si="8"/>
        <v>274658.17000000016</v>
      </c>
      <c r="K24" s="860">
        <f t="shared" si="9"/>
        <v>134316.87881404729</v>
      </c>
      <c r="L24" s="859">
        <f t="shared" si="10"/>
        <v>604425.95466321276</v>
      </c>
      <c r="M24" s="861">
        <f t="shared" si="11"/>
        <v>7.2603718277863393E-3</v>
      </c>
    </row>
    <row r="25" spans="1:14" x14ac:dyDescent="0.25">
      <c r="A25" s="862">
        <v>316</v>
      </c>
      <c r="B25" s="862"/>
      <c r="C25" s="862"/>
      <c r="D25" s="862"/>
      <c r="E25" s="862"/>
      <c r="F25" s="863">
        <f>Electric!F76</f>
        <v>1.3999999999999999E-2</v>
      </c>
      <c r="G25" s="864">
        <f>'Elec Study Rpt'!K90</f>
        <v>6205596.7199999997</v>
      </c>
      <c r="H25" s="864">
        <f>'Elec Study Rpt'!M90</f>
        <v>5331195.47</v>
      </c>
      <c r="I25" s="862"/>
      <c r="J25" s="864">
        <f t="shared" si="8"/>
        <v>874401.25</v>
      </c>
      <c r="K25" s="860">
        <f t="shared" si="9"/>
        <v>366725.68829784892</v>
      </c>
      <c r="L25" s="864">
        <f t="shared" si="10"/>
        <v>1650265.5973403202</v>
      </c>
      <c r="M25" s="865">
        <f t="shared" si="11"/>
        <v>1.9823010178262105E-2</v>
      </c>
    </row>
    <row r="26" spans="1:14" x14ac:dyDescent="0.25">
      <c r="E26" s="856" t="s">
        <v>1029</v>
      </c>
      <c r="G26" s="859">
        <f>SUM(G21:G25)</f>
        <v>49269954.839999996</v>
      </c>
      <c r="H26" s="859">
        <f>SUM(H21:H25)</f>
        <v>43002477.280000001</v>
      </c>
      <c r="J26" s="859">
        <f>SUM(J21:J25)</f>
        <v>6267477.5599999987</v>
      </c>
      <c r="K26" s="860">
        <f>SUM(K21:K25)</f>
        <v>2911655.2229167307</v>
      </c>
      <c r="L26" s="859">
        <f>SUM(L21:L25)</f>
        <v>13102448.503125288</v>
      </c>
    </row>
    <row r="28" spans="1:14" x14ac:dyDescent="0.25">
      <c r="K28" s="859"/>
      <c r="L28" s="859"/>
    </row>
    <row r="29" spans="1:14" ht="26.4" x14ac:dyDescent="0.25">
      <c r="G29" s="867" t="s">
        <v>1021</v>
      </c>
      <c r="H29" s="868" t="s">
        <v>1022</v>
      </c>
      <c r="I29" s="857"/>
      <c r="J29" s="868" t="s">
        <v>1032</v>
      </c>
      <c r="K29" s="868" t="s">
        <v>1033</v>
      </c>
      <c r="L29" s="867" t="s">
        <v>1034</v>
      </c>
    </row>
    <row r="30" spans="1:14" x14ac:dyDescent="0.25">
      <c r="E30" s="869" t="s">
        <v>762</v>
      </c>
      <c r="G30" s="859">
        <f>G8+G17+G26</f>
        <v>315912913.88999999</v>
      </c>
      <c r="H30" s="859">
        <f>H8+H17+H26</f>
        <v>157658906.66</v>
      </c>
      <c r="J30" s="859">
        <f>J8+J17+J26</f>
        <v>158254007.22999999</v>
      </c>
      <c r="K30" s="859">
        <f>SUM(K26,K17,K8)</f>
        <v>18500000</v>
      </c>
      <c r="L30" s="859">
        <f>L8+L17+L26</f>
        <v>83250000</v>
      </c>
      <c r="N30" s="859"/>
    </row>
    <row r="32" spans="1:14" x14ac:dyDescent="0.25">
      <c r="J32" s="859"/>
    </row>
    <row r="33" spans="1:12" x14ac:dyDescent="0.25">
      <c r="L33" s="870"/>
    </row>
    <row r="34" spans="1:12" ht="26.4" x14ac:dyDescent="0.25">
      <c r="A34" s="859"/>
      <c r="B34" s="859"/>
      <c r="C34" s="859"/>
      <c r="L34" s="857" t="s">
        <v>1035</v>
      </c>
    </row>
    <row r="35" spans="1:12" x14ac:dyDescent="0.25">
      <c r="L35" s="859">
        <f>L30/4.5</f>
        <v>18500000</v>
      </c>
    </row>
    <row r="44" spans="1:12" x14ac:dyDescent="0.25">
      <c r="F44" s="859"/>
      <c r="G44" s="859"/>
    </row>
    <row r="45" spans="1:12" x14ac:dyDescent="0.25">
      <c r="B45" s="859"/>
      <c r="C45" s="859"/>
      <c r="F45" s="859"/>
      <c r="G45" s="859"/>
    </row>
    <row r="46" spans="1:12" x14ac:dyDescent="0.25">
      <c r="B46" s="859"/>
      <c r="C46" s="859"/>
      <c r="F46" s="859"/>
      <c r="G46" s="859"/>
    </row>
    <row r="47" spans="1:12" x14ac:dyDescent="0.25">
      <c r="B47" s="859"/>
      <c r="C47" s="859"/>
      <c r="F47" s="859"/>
      <c r="G47" s="859"/>
    </row>
    <row r="48" spans="1:12" x14ac:dyDescent="0.25">
      <c r="B48" s="859"/>
      <c r="C48" s="859"/>
      <c r="F48" s="859"/>
      <c r="G48" s="859"/>
    </row>
    <row r="49" spans="2:8" x14ac:dyDescent="0.25">
      <c r="B49" s="859"/>
      <c r="C49" s="859"/>
      <c r="F49" s="859"/>
      <c r="G49" s="859"/>
    </row>
    <row r="54" spans="2:8" x14ac:dyDescent="0.25">
      <c r="B54" s="859"/>
      <c r="C54" s="859"/>
      <c r="F54" s="859"/>
      <c r="G54" s="859"/>
    </row>
    <row r="55" spans="2:8" x14ac:dyDescent="0.25">
      <c r="B55" s="859"/>
      <c r="C55" s="859"/>
      <c r="F55" s="859"/>
      <c r="G55" s="859"/>
    </row>
    <row r="56" spans="2:8" x14ac:dyDescent="0.25">
      <c r="B56" s="859"/>
      <c r="C56" s="859"/>
      <c r="F56" s="859"/>
      <c r="G56" s="859"/>
    </row>
    <row r="57" spans="2:8" x14ac:dyDescent="0.25">
      <c r="B57" s="859"/>
      <c r="C57" s="859"/>
      <c r="F57" s="859"/>
      <c r="G57" s="859"/>
    </row>
    <row r="58" spans="2:8" x14ac:dyDescent="0.25">
      <c r="B58" s="859"/>
      <c r="C58" s="859"/>
      <c r="F58" s="859"/>
      <c r="G58" s="859"/>
    </row>
    <row r="59" spans="2:8" x14ac:dyDescent="0.25">
      <c r="B59" s="859"/>
      <c r="C59" s="859"/>
    </row>
    <row r="60" spans="2:8" x14ac:dyDescent="0.25">
      <c r="B60" s="859"/>
      <c r="C60" s="859"/>
      <c r="E60" s="871"/>
      <c r="F60" s="859"/>
      <c r="G60" s="859"/>
      <c r="H60" s="859"/>
    </row>
    <row r="61" spans="2:8" x14ac:dyDescent="0.25">
      <c r="B61" s="859"/>
      <c r="C61" s="859"/>
      <c r="E61" s="871"/>
      <c r="F61" s="859"/>
      <c r="G61" s="859"/>
      <c r="H61" s="859"/>
    </row>
    <row r="62" spans="2:8" x14ac:dyDescent="0.25">
      <c r="B62" s="859"/>
      <c r="C62" s="859"/>
      <c r="E62" s="871"/>
      <c r="H62" s="859"/>
    </row>
    <row r="63" spans="2:8" x14ac:dyDescent="0.25">
      <c r="B63" s="859"/>
      <c r="C63" s="859"/>
      <c r="F63" s="859"/>
      <c r="G63" s="859"/>
    </row>
    <row r="64" spans="2:8" x14ac:dyDescent="0.25">
      <c r="B64" s="859"/>
      <c r="C64" s="859"/>
      <c r="F64" s="859"/>
      <c r="G64" s="859"/>
    </row>
    <row r="65" spans="2:7" x14ac:dyDescent="0.25">
      <c r="B65" s="859"/>
      <c r="C65" s="859"/>
      <c r="F65" s="859"/>
      <c r="G65" s="859"/>
    </row>
    <row r="66" spans="2:7" x14ac:dyDescent="0.25">
      <c r="B66" s="859"/>
      <c r="C66" s="859"/>
      <c r="F66" s="859"/>
      <c r="G66" s="859"/>
    </row>
    <row r="67" spans="2:7" x14ac:dyDescent="0.25">
      <c r="B67" s="859"/>
      <c r="C67" s="859"/>
      <c r="F67" s="859"/>
      <c r="G67" s="859"/>
    </row>
    <row r="68" spans="2:7" x14ac:dyDescent="0.25">
      <c r="B68" s="859"/>
      <c r="C68" s="859"/>
      <c r="F68" s="859"/>
      <c r="G68" s="859"/>
    </row>
    <row r="69" spans="2:7" x14ac:dyDescent="0.25">
      <c r="B69" s="859"/>
      <c r="C69" s="859"/>
      <c r="F69" s="859"/>
      <c r="G69" s="859"/>
    </row>
    <row r="70" spans="2:7" x14ac:dyDescent="0.25">
      <c r="B70" s="859"/>
      <c r="C70" s="859"/>
      <c r="F70" s="859"/>
      <c r="G70" s="859"/>
    </row>
    <row r="71" spans="2:7" x14ac:dyDescent="0.25">
      <c r="B71" s="859"/>
      <c r="C71" s="859"/>
      <c r="F71" s="859"/>
      <c r="G71" s="859"/>
    </row>
    <row r="72" spans="2:7" x14ac:dyDescent="0.25">
      <c r="B72" s="859"/>
      <c r="C72" s="859"/>
      <c r="F72" s="859"/>
      <c r="G72" s="859"/>
    </row>
    <row r="73" spans="2:7" x14ac:dyDescent="0.25">
      <c r="B73" s="859"/>
      <c r="C73" s="859"/>
      <c r="F73" s="859"/>
      <c r="G73" s="859"/>
    </row>
    <row r="74" spans="2:7" x14ac:dyDescent="0.25">
      <c r="B74" s="859"/>
      <c r="C74" s="859"/>
      <c r="F74" s="859"/>
      <c r="G74" s="859"/>
    </row>
    <row r="75" spans="2:7" x14ac:dyDescent="0.25">
      <c r="B75" s="859"/>
      <c r="C75" s="859"/>
      <c r="F75" s="859"/>
      <c r="G75" s="859"/>
    </row>
    <row r="76" spans="2:7" x14ac:dyDescent="0.25">
      <c r="B76" s="859"/>
      <c r="C76" s="859"/>
      <c r="F76" s="859"/>
      <c r="G76" s="859"/>
    </row>
    <row r="77" spans="2:7" x14ac:dyDescent="0.25">
      <c r="B77" s="859"/>
      <c r="C77" s="859"/>
      <c r="F77" s="859"/>
      <c r="G77" s="859"/>
    </row>
    <row r="78" spans="2:7" x14ac:dyDescent="0.25">
      <c r="B78" s="859"/>
      <c r="C78" s="859"/>
      <c r="F78" s="859"/>
      <c r="G78" s="859"/>
    </row>
    <row r="79" spans="2:7" x14ac:dyDescent="0.25">
      <c r="B79" s="859"/>
      <c r="C79" s="859"/>
      <c r="F79" s="859"/>
      <c r="G79" s="859"/>
    </row>
    <row r="80" spans="2:7" x14ac:dyDescent="0.25">
      <c r="B80" s="859"/>
      <c r="C80" s="859"/>
      <c r="F80" s="859"/>
      <c r="G80" s="859"/>
    </row>
    <row r="81" spans="1:7" x14ac:dyDescent="0.25">
      <c r="B81" s="859"/>
      <c r="C81" s="859"/>
      <c r="F81" s="859"/>
      <c r="G81" s="859"/>
    </row>
    <row r="82" spans="1:7" x14ac:dyDescent="0.25">
      <c r="B82" s="859"/>
      <c r="C82" s="859"/>
      <c r="F82" s="859"/>
      <c r="G82" s="859"/>
    </row>
    <row r="83" spans="1:7" x14ac:dyDescent="0.25">
      <c r="B83" s="859"/>
      <c r="C83" s="859"/>
      <c r="F83" s="859"/>
      <c r="G83" s="859"/>
    </row>
    <row r="84" spans="1:7" x14ac:dyDescent="0.25">
      <c r="B84" s="859"/>
      <c r="C84" s="859"/>
      <c r="F84" s="859"/>
      <c r="G84" s="859"/>
    </row>
    <row r="85" spans="1:7" x14ac:dyDescent="0.25">
      <c r="B85" s="859"/>
      <c r="C85" s="859"/>
      <c r="F85" s="859"/>
      <c r="G85" s="859"/>
    </row>
    <row r="86" spans="1:7" x14ac:dyDescent="0.25">
      <c r="C86" s="859"/>
    </row>
    <row r="87" spans="1:7" x14ac:dyDescent="0.25">
      <c r="B87" s="859"/>
      <c r="C87" s="859"/>
    </row>
    <row r="88" spans="1:7" x14ac:dyDescent="0.25">
      <c r="C88" s="859"/>
    </row>
    <row r="89" spans="1:7" x14ac:dyDescent="0.25">
      <c r="B89" s="859"/>
      <c r="C89" s="859"/>
    </row>
    <row r="94" spans="1:7" x14ac:dyDescent="0.25">
      <c r="A94" s="8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70" zoomScaleNormal="70" workbookViewId="0">
      <selection activeCell="U34" sqref="U34"/>
    </sheetView>
  </sheetViews>
  <sheetFormatPr defaultColWidth="9.109375" defaultRowHeight="15" x14ac:dyDescent="0.25"/>
  <cols>
    <col min="1" max="1" width="8.33203125" style="873" bestFit="1" customWidth="1"/>
    <col min="2" max="2" width="2.6640625" style="873" customWidth="1"/>
    <col min="3" max="3" width="21" style="873" customWidth="1"/>
    <col min="4" max="4" width="2.6640625" style="873" customWidth="1"/>
    <col min="5" max="5" width="16.44140625" style="873" bestFit="1" customWidth="1"/>
    <col min="6" max="6" width="2.6640625" style="873" customWidth="1"/>
    <col min="7" max="7" width="13.44140625" style="873" bestFit="1" customWidth="1"/>
    <col min="8" max="8" width="2.6640625" style="873" customWidth="1"/>
    <col min="9" max="9" width="9.109375" style="873"/>
    <col min="10" max="10" width="2.6640625" style="873" customWidth="1"/>
    <col min="11" max="11" width="25.5546875" style="873" bestFit="1" customWidth="1"/>
    <col min="12" max="12" width="2.6640625" style="873" customWidth="1"/>
    <col min="13" max="13" width="18.88671875" style="873" bestFit="1" customWidth="1"/>
    <col min="14" max="14" width="2.6640625" style="873" customWidth="1"/>
    <col min="15" max="15" width="14.33203125" style="873" bestFit="1" customWidth="1"/>
    <col min="16" max="16" width="2.6640625" style="873" customWidth="1"/>
    <col min="17" max="17" width="13.33203125" style="873" bestFit="1" customWidth="1"/>
    <col min="18" max="18" width="2.6640625" style="873" customWidth="1"/>
    <col min="19" max="19" width="9.109375" style="873"/>
    <col min="20" max="20" width="2.6640625" style="873" customWidth="1"/>
    <col min="21" max="21" width="15" style="873" bestFit="1" customWidth="1"/>
    <col min="22" max="22" width="14.88671875" style="873" bestFit="1" customWidth="1"/>
    <col min="23" max="23" width="16.109375" style="873" bestFit="1" customWidth="1"/>
    <col min="24" max="16384" width="9.109375" style="873"/>
  </cols>
  <sheetData>
    <row r="1" spans="1:23" ht="15.6" x14ac:dyDescent="0.3">
      <c r="A1" s="872" t="s">
        <v>659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  <c r="S1" s="872"/>
      <c r="T1" s="872"/>
      <c r="U1" s="872"/>
    </row>
    <row r="2" spans="1:23" ht="15.6" x14ac:dyDescent="0.3">
      <c r="A2" s="872" t="s">
        <v>122</v>
      </c>
      <c r="B2" s="872"/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2"/>
      <c r="N2" s="872"/>
      <c r="O2" s="872"/>
      <c r="P2" s="872"/>
      <c r="Q2" s="872"/>
      <c r="R2" s="872"/>
      <c r="S2" s="872"/>
      <c r="T2" s="872"/>
      <c r="U2" s="872"/>
    </row>
    <row r="3" spans="1:23" ht="15.6" x14ac:dyDescent="0.3">
      <c r="A3" s="872"/>
      <c r="B3" s="872"/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</row>
    <row r="4" spans="1:23" ht="15.6" x14ac:dyDescent="0.3">
      <c r="A4" s="872" t="s">
        <v>1036</v>
      </c>
      <c r="B4" s="872"/>
      <c r="C4" s="872"/>
      <c r="D4" s="872"/>
      <c r="E4" s="872"/>
      <c r="F4" s="872"/>
      <c r="G4" s="872"/>
      <c r="H4" s="872"/>
      <c r="I4" s="872"/>
      <c r="J4" s="872"/>
      <c r="K4" s="872"/>
      <c r="L4" s="872"/>
      <c r="M4" s="872"/>
      <c r="N4" s="872"/>
      <c r="O4" s="872"/>
      <c r="P4" s="872"/>
      <c r="Q4" s="872"/>
      <c r="R4" s="872"/>
      <c r="S4" s="872"/>
      <c r="T4" s="872"/>
      <c r="U4" s="872"/>
    </row>
    <row r="5" spans="1:23" ht="15.6" x14ac:dyDescent="0.3">
      <c r="A5" s="872" t="s">
        <v>842</v>
      </c>
      <c r="B5" s="872"/>
      <c r="C5" s="872"/>
      <c r="D5" s="872"/>
      <c r="E5" s="872"/>
      <c r="F5" s="872"/>
      <c r="G5" s="872"/>
      <c r="H5" s="872"/>
      <c r="I5" s="872"/>
      <c r="J5" s="872"/>
      <c r="K5" s="872"/>
      <c r="L5" s="872"/>
      <c r="M5" s="872"/>
      <c r="N5" s="872"/>
      <c r="O5" s="872"/>
      <c r="P5" s="872"/>
      <c r="Q5" s="872"/>
      <c r="R5" s="872"/>
      <c r="S5" s="872"/>
      <c r="T5" s="872"/>
      <c r="U5" s="872"/>
    </row>
    <row r="6" spans="1:23" ht="15.6" x14ac:dyDescent="0.3">
      <c r="A6" s="872"/>
      <c r="B6" s="872"/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872"/>
      <c r="Q6" s="872"/>
      <c r="R6" s="872"/>
      <c r="S6" s="872"/>
      <c r="T6" s="872"/>
      <c r="U6" s="872"/>
    </row>
    <row r="7" spans="1:23" ht="15.6" x14ac:dyDescent="0.3">
      <c r="A7" s="872" t="s">
        <v>1037</v>
      </c>
      <c r="B7" s="874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4"/>
      <c r="P7" s="874"/>
      <c r="Q7" s="874"/>
      <c r="R7" s="874"/>
      <c r="S7" s="874"/>
      <c r="T7" s="874"/>
      <c r="U7" s="874"/>
    </row>
    <row r="8" spans="1:23" ht="15.6" x14ac:dyDescent="0.3">
      <c r="A8" s="875"/>
      <c r="B8" s="876"/>
      <c r="C8" s="876"/>
      <c r="D8" s="876"/>
      <c r="E8" s="877"/>
      <c r="F8" s="876"/>
      <c r="G8" s="876"/>
      <c r="H8" s="876"/>
      <c r="I8" s="878"/>
      <c r="J8" s="876"/>
      <c r="K8" s="876"/>
      <c r="L8" s="876"/>
      <c r="M8" s="879"/>
      <c r="N8" s="879"/>
      <c r="O8" s="879"/>
      <c r="P8" s="879"/>
      <c r="Q8" s="880"/>
      <c r="R8" s="881"/>
      <c r="S8" s="881"/>
      <c r="T8" s="881"/>
      <c r="U8" s="881"/>
    </row>
    <row r="9" spans="1:23" ht="15.6" x14ac:dyDescent="0.3">
      <c r="A9" s="882"/>
      <c r="B9" s="883"/>
      <c r="C9" s="884"/>
      <c r="D9" s="885"/>
      <c r="E9" s="886" t="s">
        <v>661</v>
      </c>
      <c r="F9" s="885"/>
      <c r="G9" s="885"/>
      <c r="H9" s="885"/>
      <c r="I9" s="887" t="s">
        <v>662</v>
      </c>
      <c r="J9" s="885"/>
      <c r="K9" s="885" t="s">
        <v>663</v>
      </c>
      <c r="L9" s="885"/>
      <c r="M9" s="888" t="s">
        <v>664</v>
      </c>
      <c r="N9" s="888"/>
      <c r="O9" s="888"/>
      <c r="P9" s="888"/>
      <c r="Q9" s="889" t="s">
        <v>665</v>
      </c>
      <c r="R9" s="890"/>
      <c r="S9" s="890"/>
      <c r="T9" s="891"/>
      <c r="U9" s="885" t="s">
        <v>666</v>
      </c>
    </row>
    <row r="10" spans="1:23" ht="15.6" x14ac:dyDescent="0.3">
      <c r="A10" s="882"/>
      <c r="B10" s="883"/>
      <c r="C10" s="885"/>
      <c r="D10" s="885"/>
      <c r="E10" s="886" t="s">
        <v>667</v>
      </c>
      <c r="F10" s="885"/>
      <c r="G10" s="885" t="s">
        <v>668</v>
      </c>
      <c r="H10" s="885"/>
      <c r="I10" s="887" t="s">
        <v>669</v>
      </c>
      <c r="J10" s="885"/>
      <c r="K10" s="885" t="s">
        <v>670</v>
      </c>
      <c r="L10" s="885"/>
      <c r="M10" s="888" t="s">
        <v>164</v>
      </c>
      <c r="N10" s="888"/>
      <c r="O10" s="888" t="s">
        <v>671</v>
      </c>
      <c r="P10" s="888"/>
      <c r="Q10" s="892" t="s">
        <v>672</v>
      </c>
      <c r="R10" s="893"/>
      <c r="S10" s="894" t="s">
        <v>673</v>
      </c>
      <c r="T10" s="891"/>
      <c r="U10" s="885" t="s">
        <v>674</v>
      </c>
    </row>
    <row r="11" spans="1:23" ht="15.6" x14ac:dyDescent="0.3">
      <c r="A11" s="895" t="s">
        <v>802</v>
      </c>
      <c r="B11" s="883"/>
      <c r="C11" s="896" t="s">
        <v>129</v>
      </c>
      <c r="D11" s="885"/>
      <c r="E11" s="896" t="s">
        <v>675</v>
      </c>
      <c r="F11" s="885"/>
      <c r="G11" s="896" t="s">
        <v>676</v>
      </c>
      <c r="H11" s="885"/>
      <c r="I11" s="897" t="s">
        <v>677</v>
      </c>
      <c r="J11" s="885"/>
      <c r="K11" s="898" t="s">
        <v>843</v>
      </c>
      <c r="L11" s="885"/>
      <c r="M11" s="899" t="s">
        <v>678</v>
      </c>
      <c r="N11" s="888"/>
      <c r="O11" s="899" t="s">
        <v>679</v>
      </c>
      <c r="P11" s="888"/>
      <c r="Q11" s="899" t="s">
        <v>633</v>
      </c>
      <c r="R11" s="885"/>
      <c r="S11" s="900" t="s">
        <v>135</v>
      </c>
      <c r="T11" s="891"/>
      <c r="U11" s="896" t="s">
        <v>680</v>
      </c>
    </row>
    <row r="12" spans="1:23" x14ac:dyDescent="0.25">
      <c r="A12" s="901">
        <v>311</v>
      </c>
      <c r="B12" s="902"/>
      <c r="C12" s="903" t="s">
        <v>464</v>
      </c>
      <c r="D12" s="902"/>
      <c r="E12" s="904">
        <v>46752</v>
      </c>
      <c r="F12" s="902"/>
      <c r="G12" s="905" t="s">
        <v>684</v>
      </c>
      <c r="H12" s="905" t="s">
        <v>685</v>
      </c>
      <c r="I12" s="906">
        <v>-10</v>
      </c>
      <c r="J12" s="902"/>
      <c r="K12" s="907">
        <v>29664979.16</v>
      </c>
      <c r="L12" s="908"/>
      <c r="M12" s="909">
        <v>21454594.690000001</v>
      </c>
      <c r="N12" s="909"/>
      <c r="O12" s="909">
        <v>11176882</v>
      </c>
      <c r="P12" s="909"/>
      <c r="Q12" s="909">
        <v>1012631</v>
      </c>
      <c r="R12" s="910"/>
      <c r="S12" s="911">
        <v>3.41</v>
      </c>
      <c r="T12" s="910"/>
      <c r="U12" s="912">
        <v>11</v>
      </c>
      <c r="V12" s="909"/>
      <c r="W12" s="913"/>
    </row>
    <row r="13" spans="1:23" x14ac:dyDescent="0.25">
      <c r="A13" s="901">
        <v>311</v>
      </c>
      <c r="B13" s="902"/>
      <c r="C13" s="903" t="s">
        <v>465</v>
      </c>
      <c r="D13" s="902"/>
      <c r="E13" s="904">
        <v>46752</v>
      </c>
      <c r="F13" s="902"/>
      <c r="G13" s="905" t="s">
        <v>684</v>
      </c>
      <c r="H13" s="905" t="s">
        <v>685</v>
      </c>
      <c r="I13" s="906">
        <v>-10</v>
      </c>
      <c r="J13" s="902"/>
      <c r="K13" s="907">
        <v>27862834.57</v>
      </c>
      <c r="L13" s="908"/>
      <c r="M13" s="909">
        <v>19334080.890000001</v>
      </c>
      <c r="N13" s="909"/>
      <c r="O13" s="909">
        <v>11315037</v>
      </c>
      <c r="P13" s="909"/>
      <c r="Q13" s="909">
        <v>1024406</v>
      </c>
      <c r="R13" s="910"/>
      <c r="S13" s="911">
        <v>3.68</v>
      </c>
      <c r="T13" s="910"/>
      <c r="U13" s="912">
        <v>11</v>
      </c>
      <c r="V13" s="909"/>
      <c r="W13" s="913"/>
    </row>
    <row r="14" spans="1:23" x14ac:dyDescent="0.25">
      <c r="A14" s="901">
        <v>311</v>
      </c>
      <c r="B14" s="902"/>
      <c r="C14" s="903" t="s">
        <v>467</v>
      </c>
      <c r="D14" s="902"/>
      <c r="E14" s="904">
        <v>46752</v>
      </c>
      <c r="F14" s="902"/>
      <c r="G14" s="905" t="s">
        <v>684</v>
      </c>
      <c r="H14" s="905" t="s">
        <v>685</v>
      </c>
      <c r="I14" s="906">
        <v>-10</v>
      </c>
      <c r="J14" s="902"/>
      <c r="K14" s="907">
        <v>70065640.599999994</v>
      </c>
      <c r="L14" s="908"/>
      <c r="M14" s="909">
        <v>52568883.729999997</v>
      </c>
      <c r="N14" s="909"/>
      <c r="O14" s="909">
        <v>24503321</v>
      </c>
      <c r="P14" s="909"/>
      <c r="Q14" s="909">
        <v>2222796</v>
      </c>
      <c r="R14" s="910"/>
      <c r="S14" s="911">
        <v>3.17</v>
      </c>
      <c r="T14" s="910"/>
      <c r="U14" s="912">
        <v>11</v>
      </c>
      <c r="V14" s="909"/>
      <c r="W14" s="913"/>
    </row>
    <row r="15" spans="1:23" x14ac:dyDescent="0.25">
      <c r="A15" s="901">
        <v>312</v>
      </c>
      <c r="B15" s="902"/>
      <c r="C15" s="903" t="s">
        <v>475</v>
      </c>
      <c r="D15" s="902"/>
      <c r="E15" s="904">
        <v>46752</v>
      </c>
      <c r="F15" s="902"/>
      <c r="G15" s="905" t="s">
        <v>844</v>
      </c>
      <c r="H15" s="905" t="s">
        <v>685</v>
      </c>
      <c r="I15" s="906">
        <v>-10</v>
      </c>
      <c r="J15" s="902"/>
      <c r="K15" s="907">
        <v>137645881.58000001</v>
      </c>
      <c r="L15" s="908"/>
      <c r="M15" s="909">
        <v>88664394.599999994</v>
      </c>
      <c r="N15" s="909"/>
      <c r="O15" s="909">
        <v>62746075</v>
      </c>
      <c r="P15" s="909"/>
      <c r="Q15" s="909">
        <v>5786628</v>
      </c>
      <c r="R15" s="910"/>
      <c r="S15" s="911">
        <v>4.2</v>
      </c>
      <c r="T15" s="910"/>
      <c r="U15" s="912">
        <v>10.8</v>
      </c>
      <c r="V15" s="909"/>
      <c r="W15" s="913"/>
    </row>
    <row r="16" spans="1:23" x14ac:dyDescent="0.25">
      <c r="A16" s="901">
        <v>312</v>
      </c>
      <c r="B16" s="902"/>
      <c r="C16" s="903" t="s">
        <v>476</v>
      </c>
      <c r="D16" s="902"/>
      <c r="E16" s="904">
        <v>46752</v>
      </c>
      <c r="F16" s="902"/>
      <c r="G16" s="905" t="s">
        <v>844</v>
      </c>
      <c r="H16" s="905" t="s">
        <v>685</v>
      </c>
      <c r="I16" s="906">
        <v>-10</v>
      </c>
      <c r="J16" s="902"/>
      <c r="K16" s="907">
        <v>126930413.23</v>
      </c>
      <c r="L16" s="908"/>
      <c r="M16" s="909">
        <v>74762985.319999993</v>
      </c>
      <c r="N16" s="909"/>
      <c r="O16" s="909">
        <v>64860469</v>
      </c>
      <c r="P16" s="909"/>
      <c r="Q16" s="909">
        <v>5968231</v>
      </c>
      <c r="R16" s="910"/>
      <c r="S16" s="911">
        <v>4.7</v>
      </c>
      <c r="T16" s="910"/>
      <c r="U16" s="912">
        <v>10.9</v>
      </c>
      <c r="V16" s="909"/>
      <c r="W16" s="913"/>
    </row>
    <row r="17" spans="1:22" x14ac:dyDescent="0.25">
      <c r="A17" s="901">
        <v>312</v>
      </c>
      <c r="B17" s="902"/>
      <c r="C17" s="902" t="s">
        <v>478</v>
      </c>
      <c r="D17" s="902"/>
      <c r="E17" s="904">
        <v>46752</v>
      </c>
      <c r="F17" s="902"/>
      <c r="G17" s="905" t="s">
        <v>844</v>
      </c>
      <c r="H17" s="905" t="s">
        <v>685</v>
      </c>
      <c r="I17" s="906">
        <v>-10</v>
      </c>
      <c r="J17" s="902"/>
      <c r="K17" s="907">
        <v>15254041.73</v>
      </c>
      <c r="L17" s="908"/>
      <c r="M17" s="909">
        <v>10094597.470000001</v>
      </c>
      <c r="N17" s="909"/>
      <c r="O17" s="909">
        <v>6684848</v>
      </c>
      <c r="P17" s="909"/>
      <c r="Q17" s="909">
        <v>622947</v>
      </c>
      <c r="R17" s="910"/>
      <c r="S17" s="911">
        <v>4.08</v>
      </c>
      <c r="T17" s="910"/>
      <c r="U17" s="912">
        <v>10.7</v>
      </c>
      <c r="V17" s="909"/>
    </row>
    <row r="18" spans="1:22" x14ac:dyDescent="0.25">
      <c r="A18" s="901">
        <v>314</v>
      </c>
      <c r="B18" s="902"/>
      <c r="C18" s="903" t="s">
        <v>484</v>
      </c>
      <c r="D18" s="902"/>
      <c r="E18" s="904">
        <v>46752</v>
      </c>
      <c r="F18" s="902"/>
      <c r="G18" s="905" t="s">
        <v>686</v>
      </c>
      <c r="H18" s="905" t="s">
        <v>685</v>
      </c>
      <c r="I18" s="906">
        <v>-9</v>
      </c>
      <c r="J18" s="902"/>
      <c r="K18" s="907">
        <v>42228337.039999999</v>
      </c>
      <c r="L18" s="908"/>
      <c r="M18" s="909">
        <v>15440101.08</v>
      </c>
      <c r="N18" s="909"/>
      <c r="O18" s="909">
        <v>30588786</v>
      </c>
      <c r="P18" s="909"/>
      <c r="Q18" s="909">
        <v>2943524</v>
      </c>
      <c r="R18" s="910"/>
      <c r="S18" s="911">
        <v>6.97</v>
      </c>
      <c r="T18" s="910"/>
      <c r="U18" s="912">
        <v>10.4</v>
      </c>
      <c r="V18" s="909"/>
    </row>
    <row r="19" spans="1:22" x14ac:dyDescent="0.25">
      <c r="A19" s="901">
        <v>314</v>
      </c>
      <c r="B19" s="902"/>
      <c r="C19" s="903" t="s">
        <v>485</v>
      </c>
      <c r="D19" s="902"/>
      <c r="E19" s="904">
        <v>46752</v>
      </c>
      <c r="F19" s="902"/>
      <c r="G19" s="905" t="s">
        <v>686</v>
      </c>
      <c r="H19" s="905" t="s">
        <v>685</v>
      </c>
      <c r="I19" s="906">
        <v>-9</v>
      </c>
      <c r="J19" s="902"/>
      <c r="K19" s="907">
        <v>39133170.240000002</v>
      </c>
      <c r="L19" s="908"/>
      <c r="M19" s="909">
        <v>15579408.57</v>
      </c>
      <c r="N19" s="909"/>
      <c r="O19" s="909">
        <v>27075747</v>
      </c>
      <c r="P19" s="909"/>
      <c r="Q19" s="909">
        <v>2582499</v>
      </c>
      <c r="R19" s="910"/>
      <c r="S19" s="911">
        <v>6.6</v>
      </c>
      <c r="T19" s="910"/>
      <c r="U19" s="912">
        <v>10.5</v>
      </c>
      <c r="V19" s="909"/>
    </row>
    <row r="20" spans="1:22" x14ac:dyDescent="0.25">
      <c r="A20" s="901">
        <v>315</v>
      </c>
      <c r="B20" s="902"/>
      <c r="C20" s="903" t="s">
        <v>490</v>
      </c>
      <c r="D20" s="902"/>
      <c r="E20" s="904">
        <v>46752</v>
      </c>
      <c r="F20" s="902"/>
      <c r="G20" s="905" t="s">
        <v>687</v>
      </c>
      <c r="H20" s="905" t="s">
        <v>685</v>
      </c>
      <c r="I20" s="906">
        <v>-9</v>
      </c>
      <c r="J20" s="902"/>
      <c r="K20" s="907">
        <v>6769581.5</v>
      </c>
      <c r="L20" s="908"/>
      <c r="M20" s="909">
        <v>4484209.88</v>
      </c>
      <c r="N20" s="909"/>
      <c r="O20" s="909">
        <v>2894634</v>
      </c>
      <c r="P20" s="909"/>
      <c r="Q20" s="909">
        <v>271489</v>
      </c>
      <c r="R20" s="910"/>
      <c r="S20" s="911">
        <v>4.01</v>
      </c>
      <c r="T20" s="910"/>
      <c r="U20" s="912">
        <v>10.7</v>
      </c>
      <c r="V20" s="909"/>
    </row>
    <row r="21" spans="1:22" x14ac:dyDescent="0.25">
      <c r="A21" s="901">
        <v>315</v>
      </c>
      <c r="B21" s="902"/>
      <c r="C21" s="903" t="s">
        <v>491</v>
      </c>
      <c r="D21" s="902"/>
      <c r="E21" s="904">
        <v>46752</v>
      </c>
      <c r="F21" s="902"/>
      <c r="G21" s="905" t="s">
        <v>687</v>
      </c>
      <c r="H21" s="905" t="s">
        <v>685</v>
      </c>
      <c r="I21" s="906">
        <v>-9</v>
      </c>
      <c r="J21" s="902"/>
      <c r="K21" s="907">
        <v>6474413.5999999996</v>
      </c>
      <c r="L21" s="908"/>
      <c r="M21" s="909">
        <v>3767316.75</v>
      </c>
      <c r="N21" s="909"/>
      <c r="O21" s="909">
        <v>3289794</v>
      </c>
      <c r="P21" s="909"/>
      <c r="Q21" s="909">
        <v>304686</v>
      </c>
      <c r="R21" s="910"/>
      <c r="S21" s="911">
        <v>4.71</v>
      </c>
      <c r="T21" s="910"/>
      <c r="U21" s="912">
        <v>10.8</v>
      </c>
      <c r="V21" s="909"/>
    </row>
    <row r="22" spans="1:22" x14ac:dyDescent="0.25">
      <c r="A22" s="901">
        <v>315</v>
      </c>
      <c r="B22" s="902"/>
      <c r="C22" s="903" t="s">
        <v>493</v>
      </c>
      <c r="D22" s="902"/>
      <c r="E22" s="904">
        <v>46752</v>
      </c>
      <c r="F22" s="902"/>
      <c r="G22" s="905" t="s">
        <v>687</v>
      </c>
      <c r="H22" s="905" t="s">
        <v>685</v>
      </c>
      <c r="I22" s="906">
        <v>-9</v>
      </c>
      <c r="J22" s="902"/>
      <c r="K22" s="907">
        <v>7639006.2400000002</v>
      </c>
      <c r="L22" s="908"/>
      <c r="M22" s="909">
        <v>5452900.6699999999</v>
      </c>
      <c r="N22" s="909"/>
      <c r="O22" s="909">
        <v>2873616</v>
      </c>
      <c r="P22" s="909"/>
      <c r="Q22" s="909">
        <v>271079</v>
      </c>
      <c r="R22" s="910"/>
      <c r="S22" s="911">
        <v>3.55</v>
      </c>
      <c r="T22" s="910"/>
      <c r="U22" s="912">
        <v>10.6</v>
      </c>
      <c r="V22" s="909"/>
    </row>
    <row r="23" spans="1:22" x14ac:dyDescent="0.25">
      <c r="A23" s="901">
        <v>316</v>
      </c>
      <c r="B23" s="902"/>
      <c r="C23" s="903" t="s">
        <v>498</v>
      </c>
      <c r="D23" s="902"/>
      <c r="E23" s="904">
        <v>46752</v>
      </c>
      <c r="F23" s="902"/>
      <c r="G23" s="905" t="s">
        <v>688</v>
      </c>
      <c r="H23" s="905" t="s">
        <v>685</v>
      </c>
      <c r="I23" s="906">
        <v>-9</v>
      </c>
      <c r="J23" s="902"/>
      <c r="K23" s="907">
        <v>1043990.99</v>
      </c>
      <c r="L23" s="908"/>
      <c r="M23" s="909">
        <v>378123.11</v>
      </c>
      <c r="N23" s="909"/>
      <c r="O23" s="909">
        <v>759827</v>
      </c>
      <c r="P23" s="909"/>
      <c r="Q23" s="909">
        <v>70639</v>
      </c>
      <c r="R23" s="910"/>
      <c r="S23" s="911">
        <v>6.77</v>
      </c>
      <c r="T23" s="910"/>
      <c r="U23" s="912">
        <v>10.8</v>
      </c>
      <c r="V23" s="909"/>
    </row>
    <row r="24" spans="1:22" x14ac:dyDescent="0.25">
      <c r="A24" s="901">
        <v>316</v>
      </c>
      <c r="B24" s="902"/>
      <c r="C24" s="903" t="s">
        <v>499</v>
      </c>
      <c r="D24" s="902"/>
      <c r="E24" s="904">
        <v>46752</v>
      </c>
      <c r="F24" s="902"/>
      <c r="G24" s="905" t="s">
        <v>688</v>
      </c>
      <c r="H24" s="905" t="s">
        <v>685</v>
      </c>
      <c r="I24" s="906">
        <v>-9</v>
      </c>
      <c r="J24" s="902"/>
      <c r="K24" s="907">
        <v>1165681.21</v>
      </c>
      <c r="L24" s="908"/>
      <c r="M24" s="909">
        <v>420604.1</v>
      </c>
      <c r="N24" s="909"/>
      <c r="O24" s="909">
        <v>849988</v>
      </c>
      <c r="P24" s="909"/>
      <c r="Q24" s="909">
        <v>79228</v>
      </c>
      <c r="R24" s="910"/>
      <c r="S24" s="911">
        <v>6.8</v>
      </c>
      <c r="T24" s="910"/>
      <c r="U24" s="912">
        <v>10.7</v>
      </c>
      <c r="V24" s="909"/>
    </row>
    <row r="25" spans="1:22" x14ac:dyDescent="0.25">
      <c r="A25" s="901">
        <v>316</v>
      </c>
      <c r="B25" s="902"/>
      <c r="C25" s="903" t="s">
        <v>502</v>
      </c>
      <c r="D25" s="902"/>
      <c r="E25" s="904">
        <v>46752</v>
      </c>
      <c r="F25" s="902"/>
      <c r="G25" s="905" t="s">
        <v>688</v>
      </c>
      <c r="H25" s="905" t="s">
        <v>685</v>
      </c>
      <c r="I25" s="906">
        <v>-9</v>
      </c>
      <c r="J25" s="902"/>
      <c r="K25" s="907">
        <v>4444375.42</v>
      </c>
      <c r="L25" s="908"/>
      <c r="M25" s="909">
        <v>2910937.53</v>
      </c>
      <c r="N25" s="909"/>
      <c r="O25" s="909">
        <v>1933432</v>
      </c>
      <c r="P25" s="909"/>
      <c r="Q25" s="909">
        <v>185051</v>
      </c>
      <c r="R25" s="910"/>
      <c r="S25" s="911">
        <v>4.16</v>
      </c>
      <c r="T25" s="910"/>
      <c r="U25" s="912">
        <v>10.4</v>
      </c>
      <c r="V25" s="909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="85" zoomScaleNormal="85" workbookViewId="0">
      <pane xSplit="2" ySplit="3" topLeftCell="C4" activePane="bottomRight" state="frozen"/>
      <selection pane="topRight"/>
      <selection pane="bottomLeft"/>
      <selection pane="bottomRight" activeCell="H49" sqref="H49"/>
    </sheetView>
  </sheetViews>
  <sheetFormatPr defaultColWidth="9.109375" defaultRowHeight="13.2" outlineLevelRow="1" outlineLevelCol="1" x14ac:dyDescent="0.25"/>
  <cols>
    <col min="1" max="1" width="8.88671875" style="187" customWidth="1"/>
    <col min="2" max="2" width="54.6640625" style="186" customWidth="1"/>
    <col min="3" max="3" width="18" style="41" customWidth="1"/>
    <col min="4" max="4" width="16.109375" style="41" bestFit="1" customWidth="1"/>
    <col min="5" max="5" width="19.5546875" style="41" customWidth="1"/>
    <col min="6" max="6" width="17.88671875" style="41" customWidth="1"/>
    <col min="7" max="7" width="9.6640625" style="41" hidden="1" customWidth="1" outlineLevel="1"/>
    <col min="8" max="8" width="9.6640625" style="41" customWidth="1" collapsed="1"/>
    <col min="9" max="9" width="10.33203125" style="186" customWidth="1"/>
    <col min="10" max="10" width="9.88671875" style="186" customWidth="1"/>
    <col min="11" max="11" width="18.44140625" style="186" customWidth="1"/>
    <col min="12" max="12" width="20.33203125" style="186" customWidth="1"/>
    <col min="13" max="13" width="18" style="186" customWidth="1"/>
    <col min="14" max="14" width="15.6640625" style="186" customWidth="1"/>
    <col min="15" max="15" width="4.88671875" style="186" customWidth="1"/>
    <col min="16" max="16" width="4.6640625" style="186" customWidth="1"/>
    <col min="17" max="16384" width="9.109375" style="186"/>
  </cols>
  <sheetData>
    <row r="1" spans="1:15" x14ac:dyDescent="0.25">
      <c r="E1" s="197" t="s">
        <v>634</v>
      </c>
      <c r="F1" s="197" t="s">
        <v>634</v>
      </c>
      <c r="H1" s="49" t="s">
        <v>134</v>
      </c>
      <c r="K1" s="49" t="s">
        <v>136</v>
      </c>
      <c r="L1" s="197" t="s">
        <v>634</v>
      </c>
      <c r="M1" s="197" t="s">
        <v>634</v>
      </c>
    </row>
    <row r="2" spans="1:15" x14ac:dyDescent="0.25">
      <c r="A2" s="197" t="s">
        <v>129</v>
      </c>
      <c r="B2" s="197"/>
      <c r="C2" s="49" t="s">
        <v>132</v>
      </c>
      <c r="D2" s="49" t="s">
        <v>164</v>
      </c>
      <c r="E2" s="197" t="s">
        <v>635</v>
      </c>
      <c r="F2" s="197" t="s">
        <v>635</v>
      </c>
      <c r="G2" s="49" t="s">
        <v>134</v>
      </c>
      <c r="H2" s="100" t="s">
        <v>135</v>
      </c>
      <c r="I2" s="197" t="s">
        <v>136</v>
      </c>
      <c r="J2" s="197" t="s">
        <v>760</v>
      </c>
      <c r="K2" s="49" t="s">
        <v>164</v>
      </c>
      <c r="L2" s="197" t="s">
        <v>635</v>
      </c>
      <c r="M2" s="197" t="s">
        <v>635</v>
      </c>
      <c r="N2" s="197" t="s">
        <v>630</v>
      </c>
    </row>
    <row r="3" spans="1:15" x14ac:dyDescent="0.25">
      <c r="A3" s="196" t="s">
        <v>130</v>
      </c>
      <c r="B3" s="196" t="s">
        <v>131</v>
      </c>
      <c r="C3" s="100" t="s">
        <v>133</v>
      </c>
      <c r="D3" s="100" t="s">
        <v>165</v>
      </c>
      <c r="E3" s="100" t="s">
        <v>836</v>
      </c>
      <c r="F3" s="100" t="s">
        <v>655</v>
      </c>
      <c r="G3" s="100" t="s">
        <v>135</v>
      </c>
      <c r="H3" s="403" t="s">
        <v>810</v>
      </c>
      <c r="I3" s="196" t="s">
        <v>135</v>
      </c>
      <c r="J3" s="196" t="s">
        <v>135</v>
      </c>
      <c r="K3" s="100" t="s">
        <v>632</v>
      </c>
      <c r="L3" s="100" t="s">
        <v>835</v>
      </c>
      <c r="M3" s="100" t="s">
        <v>636</v>
      </c>
      <c r="N3" s="197" t="s">
        <v>631</v>
      </c>
    </row>
    <row r="4" spans="1:15" s="193" customFormat="1" x14ac:dyDescent="0.25">
      <c r="A4" s="195"/>
      <c r="B4" s="195"/>
      <c r="C4" s="50"/>
      <c r="D4" s="50"/>
      <c r="E4" s="194">
        <f ca="1">'[1]3.04 &amp; 4.04 Lead'!$E$35</f>
        <v>0.67179999999999995</v>
      </c>
      <c r="F4" s="194">
        <f ca="1">'[1]3.04 &amp; 4.04 Lead'!$F$35</f>
        <v>0.32819999999999999</v>
      </c>
      <c r="G4" s="50"/>
      <c r="H4" s="50"/>
      <c r="I4" s="195"/>
      <c r="J4" s="195"/>
      <c r="K4" s="194"/>
      <c r="L4" s="194">
        <f ca="1">E4</f>
        <v>0.67179999999999995</v>
      </c>
      <c r="M4" s="194">
        <f ca="1">F4</f>
        <v>0.32819999999999999</v>
      </c>
      <c r="N4" s="50" t="s">
        <v>633</v>
      </c>
    </row>
    <row r="5" spans="1:15" x14ac:dyDescent="0.25">
      <c r="A5" s="925" t="s">
        <v>0</v>
      </c>
      <c r="B5" s="925"/>
      <c r="C5" s="665"/>
      <c r="D5" s="665"/>
      <c r="E5" s="665"/>
      <c r="F5" s="665"/>
      <c r="G5" s="665"/>
      <c r="H5" s="665"/>
      <c r="I5" s="665"/>
      <c r="J5" s="567"/>
      <c r="K5" s="192"/>
      <c r="L5" s="192"/>
      <c r="M5" s="192"/>
    </row>
    <row r="6" spans="1:15" x14ac:dyDescent="0.25">
      <c r="A6" s="374"/>
      <c r="B6" s="374"/>
      <c r="C6" s="374"/>
      <c r="D6" s="374"/>
      <c r="E6" s="374"/>
      <c r="F6" s="374"/>
      <c r="G6" s="374"/>
      <c r="H6" s="374"/>
      <c r="I6" s="374"/>
      <c r="J6" s="374"/>
      <c r="K6" s="192"/>
      <c r="L6" s="192"/>
      <c r="M6" s="192"/>
    </row>
    <row r="7" spans="1:15" x14ac:dyDescent="0.25">
      <c r="A7" s="235">
        <v>389.1</v>
      </c>
      <c r="B7" s="228" t="s">
        <v>728</v>
      </c>
      <c r="C7" s="42">
        <f>'Comm Study Rpt'!K17</f>
        <v>14082567.58</v>
      </c>
      <c r="D7" s="42">
        <v>281651.40000000002</v>
      </c>
      <c r="E7" s="42">
        <f ca="1">D7*$E$4</f>
        <v>189213.41052</v>
      </c>
      <c r="F7" s="42">
        <f ca="1">D7*$F$4</f>
        <v>92437.989480000004</v>
      </c>
      <c r="G7" s="42">
        <v>2</v>
      </c>
      <c r="H7" s="237">
        <f>G7*0.01</f>
        <v>0.02</v>
      </c>
      <c r="I7" s="237">
        <f>'Comm Study Rpt'!V17</f>
        <v>1.6451616417522633E-2</v>
      </c>
      <c r="J7" s="237">
        <f>I7/H7</f>
        <v>0.8225808208761316</v>
      </c>
      <c r="K7" s="236">
        <f>D7*J7</f>
        <v>231681.03981291171</v>
      </c>
      <c r="L7" s="236">
        <f ca="1">K7*L4</f>
        <v>155643.32254631407</v>
      </c>
      <c r="M7" s="236">
        <f ca="1">K7*M4</f>
        <v>76037.717266597625</v>
      </c>
      <c r="N7" s="238">
        <f ca="1">L7-E7</f>
        <v>-33570.087973685935</v>
      </c>
      <c r="O7" s="190">
        <f>D7*J7-K7</f>
        <v>0</v>
      </c>
    </row>
    <row r="8" spans="1:15" x14ac:dyDescent="0.25">
      <c r="A8" s="374"/>
      <c r="B8" s="374"/>
      <c r="C8" s="374"/>
      <c r="D8" s="101"/>
      <c r="E8" s="101"/>
      <c r="F8" s="101"/>
      <c r="G8" s="101"/>
      <c r="H8" s="101"/>
      <c r="I8" s="374"/>
      <c r="J8" s="374"/>
      <c r="K8" s="192"/>
      <c r="L8" s="192"/>
      <c r="M8" s="192"/>
    </row>
    <row r="9" spans="1:15" x14ac:dyDescent="0.25">
      <c r="A9" s="187">
        <v>390</v>
      </c>
      <c r="B9" s="228" t="s">
        <v>424</v>
      </c>
      <c r="C9" s="42"/>
      <c r="D9" s="42"/>
      <c r="E9" s="42"/>
      <c r="F9" s="42"/>
      <c r="G9" s="42"/>
      <c r="H9" s="42"/>
      <c r="I9" s="42"/>
      <c r="J9" s="42"/>
      <c r="K9" s="228"/>
    </row>
    <row r="10" spans="1:15" x14ac:dyDescent="0.25">
      <c r="B10" s="228" t="s">
        <v>425</v>
      </c>
      <c r="C10" s="42">
        <f>'Comm Study Rpt'!K20</f>
        <v>25949969.489999998</v>
      </c>
      <c r="D10" s="42">
        <v>1338163.75</v>
      </c>
      <c r="E10" s="42">
        <f ca="1">D10*$E$4</f>
        <v>898978.40724999993</v>
      </c>
      <c r="F10" s="42">
        <f ca="1">D10*$F$4</f>
        <v>439185.34275000001</v>
      </c>
      <c r="G10" s="42">
        <v>5.27</v>
      </c>
      <c r="H10" s="237">
        <f t="shared" ref="H10:H12" si="0">G10*0.01</f>
        <v>5.2699999999999997E-2</v>
      </c>
      <c r="I10" s="237">
        <f>'Comm Study Rpt'!V20</f>
        <v>2.9479687839124316E-2</v>
      </c>
      <c r="J10" s="237">
        <f t="shared" ref="J10:J12" si="1">I10/H10</f>
        <v>0.55938686601753929</v>
      </c>
      <c r="K10" s="236">
        <f t="shared" ref="K10:K12" si="2">D10*J10</f>
        <v>748551.22633077798</v>
      </c>
      <c r="L10" s="190">
        <f ca="1">K10*$L$4</f>
        <v>502876.71384901664</v>
      </c>
      <c r="M10" s="190">
        <f ca="1">K10*$M$4</f>
        <v>245674.51248176134</v>
      </c>
      <c r="N10" s="238">
        <f t="shared" ref="N10:N12" ca="1" si="3">L10-E10</f>
        <v>-396101.69340098329</v>
      </c>
      <c r="O10" s="190">
        <f>D10*J10-K10</f>
        <v>0</v>
      </c>
    </row>
    <row r="11" spans="1:15" x14ac:dyDescent="0.25">
      <c r="B11" s="228" t="s">
        <v>426</v>
      </c>
      <c r="C11" s="42">
        <f>'Comm Study Rpt'!K21</f>
        <v>18065002.23</v>
      </c>
      <c r="D11" s="42">
        <v>952025.6399999999</v>
      </c>
      <c r="E11" s="42">
        <f t="shared" ref="E11:E12" ca="1" si="4">D11*$E$4</f>
        <v>639570.82495199994</v>
      </c>
      <c r="F11" s="42">
        <f t="shared" ref="F11:F12" ca="1" si="5">D11*$F$4</f>
        <v>312454.81504799996</v>
      </c>
      <c r="G11" s="42">
        <v>5.27</v>
      </c>
      <c r="H11" s="237">
        <f t="shared" si="0"/>
        <v>5.2699999999999997E-2</v>
      </c>
      <c r="I11" s="237">
        <f>'Comm Study Rpt'!V21</f>
        <v>1.8751229348727291E-2</v>
      </c>
      <c r="J11" s="237">
        <f t="shared" si="1"/>
        <v>0.35581080358116307</v>
      </c>
      <c r="K11" s="236">
        <f t="shared" si="2"/>
        <v>338741.00799827103</v>
      </c>
      <c r="L11" s="190">
        <f t="shared" ref="L11:L12" ca="1" si="6">K11*$L$4</f>
        <v>227566.20917323846</v>
      </c>
      <c r="M11" s="190">
        <f t="shared" ref="M11:M12" ca="1" si="7">K11*$M$4</f>
        <v>111174.79882503254</v>
      </c>
      <c r="N11" s="238">
        <f t="shared" ca="1" si="3"/>
        <v>-412004.61577876145</v>
      </c>
      <c r="O11" s="190">
        <f t="shared" ref="O11:O12" si="8">D11*J11-K11</f>
        <v>0</v>
      </c>
    </row>
    <row r="12" spans="1:15" x14ac:dyDescent="0.25">
      <c r="B12" s="228" t="s">
        <v>427</v>
      </c>
      <c r="C12" s="64">
        <f>'Comm Study Rpt'!K22</f>
        <v>45026876.399999999</v>
      </c>
      <c r="D12" s="64">
        <v>1846509.1400000001</v>
      </c>
      <c r="E12" s="64">
        <f t="shared" ca="1" si="4"/>
        <v>1240484.8402519999</v>
      </c>
      <c r="F12" s="64">
        <f t="shared" ca="1" si="5"/>
        <v>606024.29974799999</v>
      </c>
      <c r="G12" s="42">
        <v>5.27</v>
      </c>
      <c r="H12" s="237">
        <f t="shared" si="0"/>
        <v>5.2699999999999997E-2</v>
      </c>
      <c r="I12" s="237">
        <f>'Comm Study Rpt'!V22</f>
        <v>1.2848748264492093E-2</v>
      </c>
      <c r="J12" s="759">
        <f t="shared" si="1"/>
        <v>0.24380926498087466</v>
      </c>
      <c r="K12" s="758">
        <f t="shared" si="2"/>
        <v>450196.036203867</v>
      </c>
      <c r="L12" s="191">
        <f t="shared" ca="1" si="6"/>
        <v>302441.69712175784</v>
      </c>
      <c r="M12" s="191">
        <f t="shared" ca="1" si="7"/>
        <v>147754.33908210916</v>
      </c>
      <c r="N12" s="322">
        <f t="shared" ca="1" si="3"/>
        <v>-938043.14313024213</v>
      </c>
      <c r="O12" s="190">
        <f t="shared" si="8"/>
        <v>0</v>
      </c>
    </row>
    <row r="13" spans="1:15" x14ac:dyDescent="0.25">
      <c r="B13" s="228"/>
      <c r="C13" s="42">
        <f>+SUBTOTAL(9,C10:C12)</f>
        <v>89041848.120000005</v>
      </c>
      <c r="D13" s="42">
        <f t="shared" ref="D13:F13" si="9">+SUBTOTAL(9,D10:D12)</f>
        <v>4136698.53</v>
      </c>
      <c r="E13" s="42">
        <f t="shared" ca="1" si="9"/>
        <v>2779034.0724539999</v>
      </c>
      <c r="F13" s="42">
        <f t="shared" ca="1" si="9"/>
        <v>1357664.4575459999</v>
      </c>
      <c r="G13" s="237"/>
      <c r="H13" s="237"/>
      <c r="I13" s="237"/>
      <c r="J13" s="664"/>
      <c r="K13" s="42">
        <f t="shared" ref="K13:L13" si="10">+SUBTOTAL(9,K10:K12)</f>
        <v>1537488.2705329161</v>
      </c>
      <c r="L13" s="42">
        <f t="shared" ca="1" si="10"/>
        <v>1032884.6201440128</v>
      </c>
      <c r="M13" s="42">
        <f t="shared" ref="M13" ca="1" si="11">+SUBTOTAL(9,M10:M12)</f>
        <v>504603.65038890304</v>
      </c>
      <c r="N13" s="42">
        <f t="shared" ref="N13" ca="1" si="12">+SUBTOTAL(9,N10:N12)</f>
        <v>-1746149.4523099868</v>
      </c>
      <c r="O13" s="190"/>
    </row>
    <row r="14" spans="1:15" x14ac:dyDescent="0.25">
      <c r="B14" s="228"/>
      <c r="C14" s="42"/>
      <c r="D14" s="42"/>
      <c r="E14" s="42"/>
      <c r="F14" s="42"/>
      <c r="G14" s="42"/>
      <c r="H14" s="42"/>
      <c r="I14" s="237"/>
      <c r="J14" s="237"/>
      <c r="K14" s="238"/>
      <c r="L14" s="190"/>
      <c r="M14" s="190"/>
      <c r="N14" s="190"/>
    </row>
    <row r="15" spans="1:15" x14ac:dyDescent="0.25">
      <c r="A15" s="187">
        <v>391.1</v>
      </c>
      <c r="B15" s="186" t="s">
        <v>429</v>
      </c>
      <c r="C15" s="41">
        <f>'Comm Study Rpt'!K26</f>
        <v>21112177.850000001</v>
      </c>
      <c r="D15" s="42">
        <v>374011.60000000003</v>
      </c>
      <c r="E15" s="41">
        <f ca="1">D15*$E$4</f>
        <v>251260.99288000001</v>
      </c>
      <c r="F15" s="41">
        <f ca="1">D15*$F$4</f>
        <v>122750.60712000002</v>
      </c>
      <c r="G15" s="102">
        <v>5</v>
      </c>
      <c r="H15" s="239">
        <f>G15*0.01</f>
        <v>0.05</v>
      </c>
      <c r="I15" s="239">
        <f>'Comm Study Rpt'!V26</f>
        <v>5.0049786786918335E-2</v>
      </c>
      <c r="J15" s="239">
        <f>I15/H15</f>
        <v>1.0009957357383665</v>
      </c>
      <c r="K15" s="190">
        <f>D15*J15</f>
        <v>374384.01671668369</v>
      </c>
      <c r="L15" s="190">
        <f ca="1">K15*$L$4</f>
        <v>251511.18243026809</v>
      </c>
      <c r="M15" s="190">
        <f ca="1">K15*$M$4</f>
        <v>122872.83428641559</v>
      </c>
      <c r="N15" s="190">
        <f ca="1">L15-E15</f>
        <v>250.18955026808544</v>
      </c>
      <c r="O15" s="190">
        <f>D15*J15-K15</f>
        <v>0</v>
      </c>
    </row>
    <row r="16" spans="1:15" x14ac:dyDescent="0.25">
      <c r="D16" s="64">
        <v>495366.96</v>
      </c>
      <c r="E16" s="48">
        <f ca="1">D16*$E$4</f>
        <v>332787.523728</v>
      </c>
      <c r="F16" s="48">
        <f ca="1">D16*$F$4</f>
        <v>162579.43627199999</v>
      </c>
      <c r="G16" s="102"/>
      <c r="H16" s="239">
        <v>0.16438356000000001</v>
      </c>
      <c r="I16" s="239">
        <f>I15</f>
        <v>5.0049786786918335E-2</v>
      </c>
      <c r="J16" s="239">
        <f>I16/H16</f>
        <v>0.30446953933178189</v>
      </c>
      <c r="K16" s="191">
        <f>D16*J16</f>
        <v>150824.15011138524</v>
      </c>
      <c r="L16" s="191">
        <f ca="1">K16*$L$4</f>
        <v>101323.66404482861</v>
      </c>
      <c r="M16" s="191">
        <f ca="1">K16*$M$4</f>
        <v>49500.486066556638</v>
      </c>
      <c r="N16" s="191">
        <f ca="1">L16-E16</f>
        <v>-231463.85968317138</v>
      </c>
      <c r="O16" s="190"/>
    </row>
    <row r="17" spans="1:15" x14ac:dyDescent="0.25">
      <c r="D17" s="42">
        <f>+SUBTOTAL(9,D15:D16)</f>
        <v>869378.56000000006</v>
      </c>
      <c r="E17" s="42">
        <f t="shared" ref="E17:F17" ca="1" si="13">+SUBTOTAL(9,E15:E16)</f>
        <v>584048.51660800003</v>
      </c>
      <c r="F17" s="42">
        <f t="shared" ca="1" si="13"/>
        <v>285330.04339200002</v>
      </c>
      <c r="G17" s="102"/>
      <c r="H17" s="239"/>
      <c r="I17" s="239"/>
      <c r="J17" s="239"/>
      <c r="K17" s="42">
        <f t="shared" ref="K17" si="14">+SUBTOTAL(9,K15:K16)</f>
        <v>525208.1668280689</v>
      </c>
      <c r="L17" s="42">
        <f t="shared" ref="L17" ca="1" si="15">+SUBTOTAL(9,L15:L16)</f>
        <v>352834.84647509671</v>
      </c>
      <c r="M17" s="42">
        <f t="shared" ref="M17:N17" ca="1" si="16">+SUBTOTAL(9,M15:M16)</f>
        <v>172373.32035297222</v>
      </c>
      <c r="N17" s="42">
        <f t="shared" ca="1" si="16"/>
        <v>-231213.67013290329</v>
      </c>
      <c r="O17" s="190"/>
    </row>
    <row r="18" spans="1:15" x14ac:dyDescent="0.25">
      <c r="D18" s="42"/>
      <c r="G18" s="102"/>
      <c r="H18" s="239"/>
      <c r="I18" s="239"/>
      <c r="J18" s="239"/>
      <c r="K18" s="190"/>
      <c r="L18" s="190"/>
      <c r="M18" s="190"/>
      <c r="N18" s="190"/>
      <c r="O18" s="190"/>
    </row>
    <row r="19" spans="1:15" x14ac:dyDescent="0.25">
      <c r="G19" s="102"/>
      <c r="H19" s="102"/>
      <c r="I19" s="239"/>
      <c r="J19" s="239"/>
      <c r="K19" s="190"/>
      <c r="L19" s="190"/>
      <c r="M19" s="190"/>
      <c r="N19" s="190"/>
    </row>
    <row r="20" spans="1:15" x14ac:dyDescent="0.25">
      <c r="A20" s="187">
        <v>391.2</v>
      </c>
      <c r="B20" s="228" t="s">
        <v>430</v>
      </c>
      <c r="C20" s="42">
        <f>'Comm Study Rpt'!K28</f>
        <v>63265264.670000002</v>
      </c>
      <c r="D20" s="42">
        <v>11802785.689999999</v>
      </c>
      <c r="E20" s="41">
        <f ca="1">D20*$E$4</f>
        <v>7929111.426541999</v>
      </c>
      <c r="F20" s="41">
        <f ca="1">D20*$F$4</f>
        <v>3873674.2634579996</v>
      </c>
      <c r="G20" s="102">
        <v>20</v>
      </c>
      <c r="H20" s="239">
        <f>G20*0.01</f>
        <v>0.2</v>
      </c>
      <c r="I20" s="239">
        <f>'Comm Study Rpt'!V28</f>
        <v>0.20002679299626488</v>
      </c>
      <c r="J20" s="239">
        <f>I20/H20</f>
        <v>1.0001339649813243</v>
      </c>
      <c r="K20" s="238">
        <f>D20*J20</f>
        <v>11804366.849964535</v>
      </c>
      <c r="L20" s="238">
        <f ca="1">K20*$L$4</f>
        <v>7930173.6498061735</v>
      </c>
      <c r="M20" s="238">
        <f ca="1">K20*$M$4</f>
        <v>3874193.2001583604</v>
      </c>
      <c r="N20" s="238">
        <f ca="1">L20-E20</f>
        <v>1062.2232641745359</v>
      </c>
      <c r="O20" s="190">
        <f>D20*J20-K20</f>
        <v>0</v>
      </c>
    </row>
    <row r="21" spans="1:15" x14ac:dyDescent="0.25">
      <c r="B21" s="240"/>
      <c r="G21" s="102"/>
      <c r="H21" s="102"/>
      <c r="I21" s="41"/>
      <c r="J21" s="41"/>
      <c r="K21" s="190"/>
      <c r="L21" s="190"/>
      <c r="M21" s="190"/>
      <c r="N21" s="190"/>
    </row>
    <row r="22" spans="1:15" x14ac:dyDescent="0.25">
      <c r="A22" s="187">
        <v>392</v>
      </c>
      <c r="B22" s="186" t="s">
        <v>431</v>
      </c>
      <c r="C22" s="41">
        <f>'Comm Study Rpt'!K30</f>
        <v>4200662.92</v>
      </c>
      <c r="D22" s="42">
        <v>374440.27</v>
      </c>
      <c r="E22" s="41">
        <f ca="1">D22*$E$4</f>
        <v>251548.973386</v>
      </c>
      <c r="F22" s="41">
        <f ca="1">D22*$F$4</f>
        <v>122891.29661400001</v>
      </c>
      <c r="G22" s="41">
        <v>9</v>
      </c>
      <c r="H22" s="239">
        <f>G22*0.01</f>
        <v>0.09</v>
      </c>
      <c r="I22" s="239">
        <f>'Comm Study Rpt'!V30</f>
        <v>1.4324167672087338E-2</v>
      </c>
      <c r="J22" s="239">
        <f>I22/H22</f>
        <v>0.15915741857874821</v>
      </c>
      <c r="K22" s="190">
        <f>D22*J22</f>
        <v>59594.946785129498</v>
      </c>
      <c r="L22" s="190">
        <f ca="1">K22*$L$4</f>
        <v>40035.885250249994</v>
      </c>
      <c r="M22" s="190">
        <f ca="1">K22*$M$4</f>
        <v>19559.0615348795</v>
      </c>
      <c r="N22" s="190">
        <f ca="1">L22-E22</f>
        <v>-211513.08813575</v>
      </c>
      <c r="O22" s="190">
        <f>D22*J22-K22</f>
        <v>0</v>
      </c>
    </row>
    <row r="23" spans="1:15" x14ac:dyDescent="0.25">
      <c r="D23" s="64">
        <v>-353.22</v>
      </c>
      <c r="E23" s="64">
        <f ca="1">D23*$E$4</f>
        <v>-237.29319599999999</v>
      </c>
      <c r="F23" s="64">
        <f ca="1">D23*$F$4</f>
        <v>-115.926804</v>
      </c>
      <c r="H23" s="239">
        <v>0.6</v>
      </c>
      <c r="I23" s="239">
        <f>I22</f>
        <v>1.4324167672087338E-2</v>
      </c>
      <c r="J23" s="239">
        <f>I23/H23</f>
        <v>2.3873612786812229E-2</v>
      </c>
      <c r="K23" s="191">
        <f>D23*J23</f>
        <v>-8.432637508557816</v>
      </c>
      <c r="L23" s="191">
        <f ca="1">K23*$L$4</f>
        <v>-5.6650458782491402</v>
      </c>
      <c r="M23" s="191">
        <f ca="1">K23*$M$4</f>
        <v>-2.7675916303086749</v>
      </c>
      <c r="N23" s="191">
        <f ca="1">L23-E23</f>
        <v>231.62815012175085</v>
      </c>
      <c r="O23" s="190"/>
    </row>
    <row r="24" spans="1:15" x14ac:dyDescent="0.25">
      <c r="D24" s="42">
        <f>+SUBTOTAL(9,D22:D23)</f>
        <v>374087.05000000005</v>
      </c>
      <c r="E24" s="42">
        <f ca="1">+SUBTOTAL(9,E22:E23)</f>
        <v>251311.68018999998</v>
      </c>
      <c r="F24" s="42">
        <f ca="1">+SUBTOTAL(9,F22:F23)</f>
        <v>122775.36981</v>
      </c>
      <c r="H24" s="239"/>
      <c r="I24" s="239"/>
      <c r="J24" s="239"/>
      <c r="K24" s="42">
        <f>+SUBTOTAL(9,K22:K23)</f>
        <v>59586.514147620939</v>
      </c>
      <c r="L24" s="42">
        <f t="shared" ref="L24:N24" ca="1" si="17">+SUBTOTAL(9,L22:L23)</f>
        <v>40030.220204371748</v>
      </c>
      <c r="M24" s="42">
        <f t="shared" ca="1" si="17"/>
        <v>19556.293943249191</v>
      </c>
      <c r="N24" s="42">
        <f t="shared" ca="1" si="17"/>
        <v>-211281.45998562826</v>
      </c>
      <c r="O24" s="190"/>
    </row>
    <row r="25" spans="1:15" x14ac:dyDescent="0.25">
      <c r="I25" s="41"/>
      <c r="J25" s="41"/>
      <c r="K25" s="190"/>
      <c r="L25" s="190"/>
      <c r="M25" s="190"/>
      <c r="N25" s="190"/>
    </row>
    <row r="26" spans="1:15" x14ac:dyDescent="0.25">
      <c r="A26" s="187">
        <v>393</v>
      </c>
      <c r="B26" s="186" t="s">
        <v>432</v>
      </c>
      <c r="C26" s="41">
        <f>'Comm Study Rpt'!K31</f>
        <v>92575.77</v>
      </c>
      <c r="D26" s="42">
        <v>2683.68</v>
      </c>
      <c r="E26" s="41">
        <f ca="1">D26*$E$4</f>
        <v>1802.8962239999998</v>
      </c>
      <c r="F26" s="41">
        <f ca="1">D26*$F$4</f>
        <v>880.78377599999988</v>
      </c>
      <c r="G26" s="41">
        <v>5</v>
      </c>
      <c r="H26" s="239">
        <f>G26*0.01</f>
        <v>0.05</v>
      </c>
      <c r="I26" s="239">
        <f>'Comm Study Rpt'!V31</f>
        <v>5.0002284615078003E-2</v>
      </c>
      <c r="J26" s="239">
        <f>I26/H26</f>
        <v>1.0000456923015599</v>
      </c>
      <c r="K26" s="190">
        <f>D26*J26</f>
        <v>2683.80262351585</v>
      </c>
      <c r="L26" s="190">
        <f ca="1">K26*$L$4</f>
        <v>1802.9786024779478</v>
      </c>
      <c r="M26" s="190">
        <f ca="1">K26*$M$4</f>
        <v>880.82402103790196</v>
      </c>
      <c r="N26" s="190">
        <f ca="1">L26-E26</f>
        <v>8.2378477947941064E-2</v>
      </c>
      <c r="O26" s="190">
        <f>D26*J26-K26</f>
        <v>0</v>
      </c>
    </row>
    <row r="27" spans="1:15" x14ac:dyDescent="0.25">
      <c r="D27" s="64">
        <v>1803.24</v>
      </c>
      <c r="E27" s="48">
        <f ca="1">D27*$E$4</f>
        <v>1211.4166319999999</v>
      </c>
      <c r="F27" s="48">
        <f ca="1">D27*$F$4</f>
        <v>591.82336799999996</v>
      </c>
      <c r="H27" s="239">
        <v>0.16438356000000001</v>
      </c>
      <c r="I27" s="239">
        <f>I26</f>
        <v>5.0002284615078003E-2</v>
      </c>
      <c r="J27" s="239">
        <f>I27/H27</f>
        <v>0.3041805677835302</v>
      </c>
      <c r="K27" s="191">
        <f>D27*J27</f>
        <v>548.51056704997302</v>
      </c>
      <c r="L27" s="191">
        <f ca="1">K27*$L$4</f>
        <v>368.48939894417185</v>
      </c>
      <c r="M27" s="191">
        <f ca="1">K27*$M$4</f>
        <v>180.02116810580114</v>
      </c>
      <c r="N27" s="191">
        <f ca="1">L27-E27</f>
        <v>-842.92723305582808</v>
      </c>
      <c r="O27" s="190"/>
    </row>
    <row r="28" spans="1:15" x14ac:dyDescent="0.25">
      <c r="D28" s="42">
        <f>+SUBTOTAL(9,D26:D27)</f>
        <v>4486.92</v>
      </c>
      <c r="E28" s="42">
        <f ca="1">+SUBTOTAL(9,E26:E27)</f>
        <v>3014.3128559999996</v>
      </c>
      <c r="F28" s="42">
        <f ca="1">+SUBTOTAL(9,F26:F27)</f>
        <v>1472.6071439999998</v>
      </c>
      <c r="H28" s="239"/>
      <c r="I28" s="239"/>
      <c r="J28" s="239"/>
      <c r="K28" s="42">
        <f t="shared" ref="K28:N28" si="18">+SUBTOTAL(9,K26:K27)</f>
        <v>3232.3131905658229</v>
      </c>
      <c r="L28" s="42">
        <f t="shared" ca="1" si="18"/>
        <v>2171.4680014221194</v>
      </c>
      <c r="M28" s="42">
        <f t="shared" ca="1" si="18"/>
        <v>1060.845189143703</v>
      </c>
      <c r="N28" s="42">
        <f t="shared" ca="1" si="18"/>
        <v>-842.84485457788014</v>
      </c>
      <c r="O28" s="190"/>
    </row>
    <row r="29" spans="1:15" x14ac:dyDescent="0.25">
      <c r="I29" s="41"/>
      <c r="J29" s="41"/>
      <c r="K29" s="190"/>
      <c r="L29" s="190"/>
      <c r="M29" s="190"/>
      <c r="N29" s="190"/>
    </row>
    <row r="30" spans="1:15" x14ac:dyDescent="0.25">
      <c r="A30" s="187">
        <v>394</v>
      </c>
      <c r="B30" s="186" t="s">
        <v>433</v>
      </c>
      <c r="C30" s="41">
        <f>'Comm Study Rpt'!K32</f>
        <v>1586280.5</v>
      </c>
      <c r="D30" s="42">
        <v>38814.78</v>
      </c>
      <c r="E30" s="41">
        <f ca="1">D30*$E$4</f>
        <v>26075.769203999997</v>
      </c>
      <c r="F30" s="41">
        <f ca="1">D30*$F$4</f>
        <v>12739.010795999999</v>
      </c>
      <c r="G30" s="41">
        <v>5</v>
      </c>
      <c r="H30" s="239">
        <f>G30*0.01</f>
        <v>0.05</v>
      </c>
      <c r="I30" s="239">
        <f>'Comm Study Rpt'!V32</f>
        <v>4.9956486258262649E-2</v>
      </c>
      <c r="J30" s="239">
        <f>I30/H30</f>
        <v>0.99912972516525289</v>
      </c>
      <c r="K30" s="190">
        <f>D30*J30</f>
        <v>38781.000473749751</v>
      </c>
      <c r="L30" s="190">
        <f ca="1">K30*$L$4</f>
        <v>26053.076118265082</v>
      </c>
      <c r="M30" s="190">
        <f ca="1">K30*$M$4</f>
        <v>12727.924355484667</v>
      </c>
      <c r="N30" s="190">
        <f ca="1">L30-E30</f>
        <v>-22.693085734914348</v>
      </c>
      <c r="O30" s="190">
        <f>D30*J30-K30</f>
        <v>0</v>
      </c>
    </row>
    <row r="31" spans="1:15" x14ac:dyDescent="0.25">
      <c r="D31" s="64">
        <v>21582</v>
      </c>
      <c r="E31" s="48">
        <f ca="1">D31*$E$4</f>
        <v>14498.7876</v>
      </c>
      <c r="F31" s="48">
        <f ca="1">D31*$F$4</f>
        <v>7083.2123999999994</v>
      </c>
      <c r="H31" s="239">
        <v>0.16438356000000001</v>
      </c>
      <c r="I31" s="239">
        <f>I30</f>
        <v>4.9956486258262649E-2</v>
      </c>
      <c r="J31" s="239">
        <f>I31/H31</f>
        <v>0.30390196111011736</v>
      </c>
      <c r="K31" s="191">
        <f>D31*J31</f>
        <v>6558.8121246785531</v>
      </c>
      <c r="L31" s="191">
        <f ca="1">K31*$L$4</f>
        <v>4406.2099853590516</v>
      </c>
      <c r="M31" s="191">
        <f ca="1">K31*$M$4</f>
        <v>2152.602139319501</v>
      </c>
      <c r="N31" s="191">
        <f ca="1">L31-E31</f>
        <v>-10092.577614640948</v>
      </c>
      <c r="O31" s="190"/>
    </row>
    <row r="32" spans="1:15" x14ac:dyDescent="0.25">
      <c r="D32" s="42">
        <f>+SUBTOTAL(9,D30:D31)</f>
        <v>60396.78</v>
      </c>
      <c r="E32" s="42">
        <f t="shared" ref="E32:F32" ca="1" si="19">+SUBTOTAL(9,E30:E31)</f>
        <v>40574.556803999993</v>
      </c>
      <c r="F32" s="42">
        <f t="shared" ca="1" si="19"/>
        <v>19822.223195999999</v>
      </c>
      <c r="H32" s="239"/>
      <c r="I32" s="239"/>
      <c r="J32" s="239"/>
      <c r="K32" s="42">
        <f t="shared" ref="K32" si="20">+SUBTOTAL(9,K30:K31)</f>
        <v>45339.812598428303</v>
      </c>
      <c r="L32" s="42">
        <f t="shared" ref="L32" ca="1" si="21">+SUBTOTAL(9,L30:L31)</f>
        <v>30459.286103624134</v>
      </c>
      <c r="M32" s="42">
        <f t="shared" ref="M32" ca="1" si="22">+SUBTOTAL(9,M30:M31)</f>
        <v>14880.526494804168</v>
      </c>
      <c r="N32" s="42">
        <f t="shared" ref="N32" ca="1" si="23">+SUBTOTAL(9,N30:N31)</f>
        <v>-10115.270700375862</v>
      </c>
      <c r="O32" s="190"/>
    </row>
    <row r="33" spans="1:15" x14ac:dyDescent="0.25">
      <c r="I33" s="41"/>
      <c r="J33" s="41"/>
      <c r="K33" s="190"/>
      <c r="L33" s="190"/>
      <c r="M33" s="190"/>
      <c r="N33" s="190"/>
    </row>
    <row r="34" spans="1:15" x14ac:dyDescent="0.25">
      <c r="A34" s="187">
        <v>396</v>
      </c>
      <c r="B34" s="186" t="s">
        <v>434</v>
      </c>
      <c r="C34" s="41">
        <f>'Comm Study Rpt'!K33</f>
        <v>405180.32</v>
      </c>
      <c r="D34" s="42">
        <v>24310.800000000003</v>
      </c>
      <c r="E34" s="41">
        <f ca="1">D34*$E$4</f>
        <v>16331.995440000001</v>
      </c>
      <c r="F34" s="41">
        <f ca="1">D34*$F$4</f>
        <v>7978.8045600000005</v>
      </c>
      <c r="G34" s="41">
        <v>6</v>
      </c>
      <c r="H34" s="239">
        <f>G34*0.01</f>
        <v>0.06</v>
      </c>
      <c r="I34" s="239">
        <f>'Comm Study Rpt'!V33</f>
        <v>2.8397233113395044E-2</v>
      </c>
      <c r="J34" s="239">
        <f>I34/H34</f>
        <v>0.47328721855658407</v>
      </c>
      <c r="K34" s="190">
        <f>D34*J34</f>
        <v>11505.990912885405</v>
      </c>
      <c r="L34" s="190">
        <f ca="1">K34*$L$4</f>
        <v>7729.7246952764144</v>
      </c>
      <c r="M34" s="190">
        <f ca="1">K34*$M$4</f>
        <v>3776.2662176089898</v>
      </c>
      <c r="N34" s="190">
        <f ca="1">L34-E34</f>
        <v>-8602.2707447235862</v>
      </c>
      <c r="O34" s="190">
        <f>D34*J34-K34</f>
        <v>0</v>
      </c>
    </row>
    <row r="35" spans="1:15" x14ac:dyDescent="0.25">
      <c r="I35" s="41"/>
      <c r="J35" s="41"/>
      <c r="K35" s="190"/>
      <c r="L35" s="190"/>
      <c r="M35" s="190"/>
      <c r="N35" s="190"/>
    </row>
    <row r="36" spans="1:15" x14ac:dyDescent="0.25">
      <c r="A36" s="187">
        <v>397</v>
      </c>
      <c r="B36" s="186" t="s">
        <v>435</v>
      </c>
      <c r="E36" s="41">
        <f ca="1">D36*$E$4</f>
        <v>0</v>
      </c>
      <c r="F36" s="41">
        <f ca="1">D36*$F$4</f>
        <v>0</v>
      </c>
      <c r="I36" s="41"/>
      <c r="J36" s="41"/>
      <c r="K36" s="190"/>
      <c r="L36" s="190"/>
      <c r="M36" s="190"/>
      <c r="N36" s="190">
        <f ca="1">L36-E36</f>
        <v>0</v>
      </c>
    </row>
    <row r="37" spans="1:15" x14ac:dyDescent="0.25">
      <c r="B37" s="186" t="s">
        <v>436</v>
      </c>
      <c r="C37" s="41">
        <f>'Comm Study Rpt'!K36</f>
        <v>21530076.079999998</v>
      </c>
      <c r="D37" s="41">
        <v>3356202.05</v>
      </c>
      <c r="E37" s="41">
        <f ca="1">D37*$E$4</f>
        <v>2254696.5371899996</v>
      </c>
      <c r="F37" s="41">
        <f ca="1">D37*$F$4</f>
        <v>1101505.51281</v>
      </c>
      <c r="G37" s="41">
        <v>6.67</v>
      </c>
      <c r="H37" s="239">
        <f>G37*0.01</f>
        <v>6.6699999999999995E-2</v>
      </c>
      <c r="I37" s="239">
        <f>'Comm Study Rpt'!V37</f>
        <v>6.6653075706855955E-2</v>
      </c>
      <c r="J37" s="239">
        <f>I37/H37</f>
        <v>0.99929648735915977</v>
      </c>
      <c r="K37" s="190">
        <f t="shared" ref="K37:K38" si="24">D37*J37</f>
        <v>3353840.9194326107</v>
      </c>
      <c r="L37" s="190">
        <f ca="1">K37*$L$4</f>
        <v>2253110.3296748279</v>
      </c>
      <c r="M37" s="190">
        <f ca="1">K37*$M$4</f>
        <v>1100730.5897577829</v>
      </c>
      <c r="N37" s="190">
        <f ca="1">L37-E37</f>
        <v>-1586.207515171729</v>
      </c>
    </row>
    <row r="38" spans="1:15" x14ac:dyDescent="0.25">
      <c r="B38" s="186" t="s">
        <v>437</v>
      </c>
      <c r="C38" s="48">
        <f>'Comm Study Rpt'!K37</f>
        <v>63796965.93</v>
      </c>
      <c r="D38" s="64">
        <v>2058324.03</v>
      </c>
      <c r="E38" s="48">
        <f ca="1">D38*$E$4</f>
        <v>1382782.083354</v>
      </c>
      <c r="F38" s="48">
        <f ca="1">D38*$F$4</f>
        <v>675541.94664600003</v>
      </c>
      <c r="H38" s="239">
        <v>0.27906976</v>
      </c>
      <c r="I38" s="239">
        <f>'Comm Study Rpt'!V37</f>
        <v>6.6653075706855955E-2</v>
      </c>
      <c r="J38" s="239">
        <f>I38/H38</f>
        <v>0.23884019431863901</v>
      </c>
      <c r="K38" s="191">
        <f t="shared" si="24"/>
        <v>491610.51129592414</v>
      </c>
      <c r="L38" s="191">
        <f ca="1">K38*$L$4</f>
        <v>330263.94148860179</v>
      </c>
      <c r="M38" s="191">
        <f ca="1">K38*$M$4</f>
        <v>161346.56980732229</v>
      </c>
      <c r="N38" s="191">
        <f ca="1">L38-E38</f>
        <v>-1052518.1418653983</v>
      </c>
      <c r="O38" s="190">
        <f>D38*J38-K38</f>
        <v>0</v>
      </c>
    </row>
    <row r="39" spans="1:15" x14ac:dyDescent="0.25">
      <c r="C39" s="41">
        <f>+SUBTOTAL(9,C37:C38)</f>
        <v>85327042.00999999</v>
      </c>
      <c r="D39" s="41">
        <f>+SUBTOTAL(9,D37:D38)</f>
        <v>5414526.0800000001</v>
      </c>
      <c r="E39" s="41">
        <f ca="1">+SUBTOTAL(9,E37:E38)</f>
        <v>3637478.6205439996</v>
      </c>
      <c r="F39" s="41">
        <f ca="1">+SUBTOTAL(9,F37:F38)</f>
        <v>1777047.459456</v>
      </c>
      <c r="I39" s="41"/>
      <c r="J39" s="41"/>
      <c r="K39" s="41">
        <f t="shared" ref="K39:N39" si="25">+SUBTOTAL(9,K37:K38)</f>
        <v>3845451.4307285347</v>
      </c>
      <c r="L39" s="41">
        <f t="shared" ca="1" si="25"/>
        <v>2583374.2711634296</v>
      </c>
      <c r="M39" s="41">
        <f t="shared" ca="1" si="25"/>
        <v>1262077.1595651051</v>
      </c>
      <c r="N39" s="41">
        <f t="shared" ca="1" si="25"/>
        <v>-1054104.34938057</v>
      </c>
    </row>
    <row r="40" spans="1:15" x14ac:dyDescent="0.25">
      <c r="I40" s="41"/>
      <c r="J40" s="41"/>
      <c r="K40" s="190"/>
      <c r="L40" s="190"/>
      <c r="M40" s="190"/>
      <c r="N40" s="190"/>
    </row>
    <row r="41" spans="1:15" x14ac:dyDescent="0.25">
      <c r="A41" s="187">
        <v>398</v>
      </c>
      <c r="B41" s="186" t="s">
        <v>438</v>
      </c>
      <c r="C41" s="47">
        <f>'Comm Study Rpt'!K41</f>
        <v>1051805.58</v>
      </c>
      <c r="D41" s="54">
        <v>39622.04</v>
      </c>
      <c r="E41" s="47">
        <f ca="1">D41*$E$4</f>
        <v>26618.086471999999</v>
      </c>
      <c r="F41" s="47">
        <f ca="1">D41*$F$4</f>
        <v>13003.953528</v>
      </c>
      <c r="G41" s="41">
        <v>6.67</v>
      </c>
      <c r="H41" s="239">
        <f>G41*0.01</f>
        <v>6.6699999999999995E-2</v>
      </c>
      <c r="I41" s="239">
        <f>'Comm Study Rpt'!V41</f>
        <v>6.6719554767906822E-2</v>
      </c>
      <c r="J41" s="239">
        <f>I41/H41</f>
        <v>1.0002931749311368</v>
      </c>
      <c r="K41" s="663">
        <f>D41*J41</f>
        <v>39633.656188848501</v>
      </c>
      <c r="L41" s="47">
        <f ca="1">K41*$L$4</f>
        <v>26625.89022766842</v>
      </c>
      <c r="M41" s="663">
        <f ca="1">K41*$M$4</f>
        <v>13007.765961180077</v>
      </c>
      <c r="N41" s="663">
        <f ca="1">L41-E41</f>
        <v>7.8037556684212177</v>
      </c>
      <c r="O41" s="190">
        <f>D41*J41-K41</f>
        <v>0</v>
      </c>
    </row>
    <row r="42" spans="1:15" x14ac:dyDescent="0.25">
      <c r="C42" s="48"/>
      <c r="D42" s="64">
        <v>27739.68</v>
      </c>
      <c r="E42" s="48">
        <f ca="1">D42*$E$4</f>
        <v>18635.517024000001</v>
      </c>
      <c r="F42" s="48">
        <f ca="1">D42*$F$4</f>
        <v>9104.1629759999996</v>
      </c>
      <c r="G42" s="47"/>
      <c r="H42" s="664">
        <v>0.27906975000000001</v>
      </c>
      <c r="I42" s="664">
        <f>I41</f>
        <v>6.6719554767906822E-2</v>
      </c>
      <c r="J42" s="239">
        <f>I42/H42</f>
        <v>0.23907841952740067</v>
      </c>
      <c r="K42" s="191">
        <f>D42*J42</f>
        <v>6631.9588525958461</v>
      </c>
      <c r="L42" s="48">
        <f ca="1">K42*$L$4</f>
        <v>4455.3499571738894</v>
      </c>
      <c r="M42" s="191">
        <f ca="1">K42*$M$4</f>
        <v>2176.6088954219567</v>
      </c>
      <c r="N42" s="191">
        <f ca="1">L42-E42</f>
        <v>-14180.16706682611</v>
      </c>
      <c r="O42" s="190"/>
    </row>
    <row r="43" spans="1:15" x14ac:dyDescent="0.25">
      <c r="C43" s="41">
        <f>+SUBTOTAL(9,C41:C42)</f>
        <v>1051805.58</v>
      </c>
      <c r="D43" s="41">
        <f>+SUBTOTAL(9,D41:D42)</f>
        <v>67361.72</v>
      </c>
      <c r="E43" s="41">
        <f t="shared" ref="E43:F43" ca="1" si="26">+SUBTOTAL(9,E41:E42)</f>
        <v>45253.603495999996</v>
      </c>
      <c r="F43" s="41">
        <f t="shared" ca="1" si="26"/>
        <v>22108.116503999998</v>
      </c>
      <c r="G43" s="47"/>
      <c r="H43" s="664"/>
      <c r="I43" s="664"/>
      <c r="J43" s="664"/>
      <c r="K43" s="41">
        <f t="shared" ref="K43" si="27">+SUBTOTAL(9,K41:K42)</f>
        <v>46265.615041444347</v>
      </c>
      <c r="L43" s="41">
        <f t="shared" ref="L43" ca="1" si="28">+SUBTOTAL(9,L41:L42)</f>
        <v>31081.240184842311</v>
      </c>
      <c r="M43" s="41">
        <f t="shared" ref="M43" ca="1" si="29">+SUBTOTAL(9,M41:M42)</f>
        <v>15184.374856602033</v>
      </c>
      <c r="N43" s="41">
        <f t="shared" ref="N43" ca="1" si="30">+SUBTOTAL(9,N41:N42)</f>
        <v>-14172.363311157689</v>
      </c>
      <c r="O43" s="190"/>
    </row>
    <row r="44" spans="1:15" x14ac:dyDescent="0.25">
      <c r="C44" s="47"/>
      <c r="D44" s="54"/>
      <c r="E44" s="47"/>
      <c r="F44" s="47"/>
      <c r="G44" s="47"/>
      <c r="H44" s="664"/>
      <c r="I44" s="664"/>
      <c r="J44" s="664"/>
      <c r="K44" s="663"/>
      <c r="L44" s="47"/>
      <c r="M44" s="663"/>
      <c r="N44" s="663"/>
      <c r="O44" s="190"/>
    </row>
    <row r="45" spans="1:15" x14ac:dyDescent="0.25">
      <c r="C45" s="185">
        <f>SUBTOTAL(9,C7:C44)</f>
        <v>280165405.31999993</v>
      </c>
      <c r="D45" s="185">
        <f>SUBTOTAL(9,D7:D44)</f>
        <v>23035683.530000001</v>
      </c>
      <c r="E45" s="185">
        <f ca="1">SUBTOTAL(9,E7:E44)</f>
        <v>15475372.195454</v>
      </c>
      <c r="F45" s="185">
        <f ca="1">SUBTOTAL(9,F7:F44)</f>
        <v>7560311.3345460007</v>
      </c>
      <c r="G45" s="47"/>
      <c r="H45" s="664">
        <f>D45/C45</f>
        <v>8.2221727210356518E-2</v>
      </c>
      <c r="I45" s="664">
        <f>K45/C45</f>
        <v>6.4640835948581332E-2</v>
      </c>
      <c r="J45" s="664">
        <f>I45/H45</f>
        <v>0.78617706221621764</v>
      </c>
      <c r="K45" s="185">
        <f>SUBTOTAL(9,K7:K44)</f>
        <v>18110126.003757913</v>
      </c>
      <c r="L45" s="185">
        <f t="shared" ref="L45:N45" ca="1" si="31">SUBTOTAL(9,L7:L44)</f>
        <v>12166382.649324561</v>
      </c>
      <c r="M45" s="185">
        <f t="shared" ca="1" si="31"/>
        <v>5943743.3544333484</v>
      </c>
      <c r="N45" s="185">
        <f t="shared" ca="1" si="31"/>
        <v>-3308989.5461294344</v>
      </c>
      <c r="O45" s="190">
        <f>D45*J45-K45</f>
        <v>0</v>
      </c>
    </row>
    <row r="46" spans="1:15" x14ac:dyDescent="0.25">
      <c r="A46" s="20" t="s">
        <v>945</v>
      </c>
      <c r="B46" s="208" t="s">
        <v>957</v>
      </c>
      <c r="D46" s="41">
        <f>-D24</f>
        <v>-374087.05000000005</v>
      </c>
      <c r="E46" s="41">
        <f ca="1">D46*$E$4</f>
        <v>-251311.68019000001</v>
      </c>
      <c r="F46" s="41">
        <f ca="1">D46*$F$4</f>
        <v>-122775.36981000002</v>
      </c>
      <c r="I46" s="41"/>
      <c r="J46" s="41"/>
      <c r="K46" s="190">
        <f>-K24</f>
        <v>-59586.514147620939</v>
      </c>
      <c r="L46" s="41">
        <f ca="1">K46*$L$4</f>
        <v>-40030.220204371741</v>
      </c>
      <c r="M46" s="41">
        <f ca="1">K46*$M$4</f>
        <v>-19556.293943249191</v>
      </c>
      <c r="N46" s="190">
        <f ca="1">L46-E46</f>
        <v>211281.45998562826</v>
      </c>
    </row>
    <row r="47" spans="1:15" outlineLevel="1" x14ac:dyDescent="0.25">
      <c r="A47" s="20" t="s">
        <v>946</v>
      </c>
      <c r="B47" s="208" t="s">
        <v>958</v>
      </c>
      <c r="D47" s="41">
        <f>-D34</f>
        <v>-24310.800000000003</v>
      </c>
      <c r="E47" s="41">
        <f ca="1">D47*$E$4</f>
        <v>-16331.995440000001</v>
      </c>
      <c r="F47" s="41">
        <f ca="1">D47*$F$4</f>
        <v>-7978.8045600000005</v>
      </c>
      <c r="I47" s="41"/>
      <c r="J47" s="41"/>
      <c r="K47" s="190">
        <f>-K34</f>
        <v>-11505.990912885405</v>
      </c>
      <c r="L47" s="41">
        <f ca="1">K47*$L$4</f>
        <v>-7729.7246952764144</v>
      </c>
      <c r="M47" s="41">
        <f ca="1">K47*$M$4</f>
        <v>-3776.2662176089898</v>
      </c>
      <c r="N47" s="41">
        <f ca="1">L47-E47</f>
        <v>8602.2707447235862</v>
      </c>
    </row>
    <row r="48" spans="1:15" outlineLevel="1" x14ac:dyDescent="0.25">
      <c r="A48" s="227"/>
      <c r="B48" s="228"/>
      <c r="C48" s="47"/>
      <c r="D48" s="54"/>
      <c r="E48" s="48"/>
      <c r="F48" s="48"/>
      <c r="I48" s="41"/>
      <c r="J48" s="41"/>
      <c r="K48" s="47"/>
      <c r="L48" s="47"/>
      <c r="M48" s="47"/>
      <c r="N48" s="47"/>
    </row>
    <row r="49" spans="1:16" outlineLevel="1" x14ac:dyDescent="0.25">
      <c r="B49" s="375" t="s">
        <v>959</v>
      </c>
      <c r="C49" s="188">
        <f>SUM(C45:C48)</f>
        <v>280165405.31999993</v>
      </c>
      <c r="D49" s="188">
        <f t="shared" ref="D49:F49" si="32">SUM(D45:D48)</f>
        <v>22637285.68</v>
      </c>
      <c r="E49" s="188">
        <f t="shared" ca="1" si="32"/>
        <v>15207728.519823998</v>
      </c>
      <c r="F49" s="188">
        <f t="shared" ca="1" si="32"/>
        <v>7429557.1601760006</v>
      </c>
      <c r="G49" s="57"/>
      <c r="H49" s="385">
        <f>D49/C49</f>
        <v>8.0799717774377236E-2</v>
      </c>
      <c r="I49" s="385">
        <f>K49/C49</f>
        <v>6.4387084044489881E-2</v>
      </c>
      <c r="J49" s="385">
        <f>I49/H49</f>
        <v>0.79687263542531783</v>
      </c>
      <c r="K49" s="188">
        <f>SUM(K45:K48)</f>
        <v>18039033.498697408</v>
      </c>
      <c r="L49" s="188">
        <f t="shared" ref="L49" ca="1" si="33">SUM(L45:L48)</f>
        <v>12118622.704424912</v>
      </c>
      <c r="M49" s="188">
        <f t="shared" ref="M49" ca="1" si="34">SUM(M45:M48)</f>
        <v>5920410.7942724898</v>
      </c>
      <c r="N49" s="188">
        <f ca="1">SUM(N45:N48)</f>
        <v>-3089105.8153990824</v>
      </c>
      <c r="O49" s="190">
        <f>D49*J49-K49</f>
        <v>0</v>
      </c>
    </row>
    <row r="50" spans="1:16" outlineLevel="1" x14ac:dyDescent="0.25">
      <c r="D50" s="42"/>
      <c r="I50" s="41"/>
      <c r="J50" s="41"/>
    </row>
    <row r="51" spans="1:16" x14ac:dyDescent="0.25">
      <c r="B51" s="189" t="s">
        <v>439</v>
      </c>
      <c r="I51" s="41"/>
      <c r="J51" s="41"/>
    </row>
    <row r="52" spans="1:16" x14ac:dyDescent="0.25">
      <c r="A52" s="227">
        <v>391.1</v>
      </c>
      <c r="B52" s="228" t="s">
        <v>429</v>
      </c>
      <c r="D52" s="41">
        <v>0</v>
      </c>
      <c r="E52" s="41">
        <f t="shared" ref="E52:E56" ca="1" si="35">D52*$E$4</f>
        <v>0</v>
      </c>
      <c r="F52" s="41">
        <f t="shared" ref="F52:F57" ca="1" si="36">D52*$F$4</f>
        <v>0</v>
      </c>
      <c r="I52" s="41"/>
      <c r="J52" s="41"/>
      <c r="K52" s="190">
        <f>'Comm Study Rpt'!Q48</f>
        <v>316970.158</v>
      </c>
      <c r="L52" s="190">
        <f t="shared" ref="L52:L57" ca="1" si="37">K52*$L$4</f>
        <v>212940.55214439999</v>
      </c>
      <c r="M52" s="190">
        <f t="shared" ref="M52:M57" ca="1" si="38">K52*$M$4</f>
        <v>104029.60585559999</v>
      </c>
      <c r="N52" s="190">
        <f t="shared" ref="N52:N57" ca="1" si="39">L52-E52</f>
        <v>212940.55214439999</v>
      </c>
    </row>
    <row r="53" spans="1:16" x14ac:dyDescent="0.25">
      <c r="A53" s="227">
        <v>391.2</v>
      </c>
      <c r="B53" s="228" t="s">
        <v>430</v>
      </c>
      <c r="D53" s="41">
        <v>0</v>
      </c>
      <c r="E53" s="41">
        <f t="shared" ca="1" si="35"/>
        <v>0</v>
      </c>
      <c r="F53" s="41">
        <f t="shared" ca="1" si="36"/>
        <v>0</v>
      </c>
      <c r="I53" s="41"/>
      <c r="J53" s="41"/>
      <c r="K53" s="190">
        <f>'Comm Study Rpt'!Q49</f>
        <v>-151112.3560000018</v>
      </c>
      <c r="L53" s="190">
        <f ca="1">K53*$L$4</f>
        <v>-101517.28076080121</v>
      </c>
      <c r="M53" s="190">
        <f t="shared" ca="1" si="38"/>
        <v>-49595.075239200589</v>
      </c>
      <c r="N53" s="190">
        <f t="shared" ca="1" si="39"/>
        <v>-101517.28076080121</v>
      </c>
    </row>
    <row r="54" spans="1:16" x14ac:dyDescent="0.25">
      <c r="A54" s="227">
        <v>393</v>
      </c>
      <c r="B54" s="228" t="s">
        <v>432</v>
      </c>
      <c r="D54" s="41">
        <v>0</v>
      </c>
      <c r="E54" s="41">
        <f t="shared" ca="1" si="35"/>
        <v>0</v>
      </c>
      <c r="F54" s="41">
        <f t="shared" ca="1" si="36"/>
        <v>0</v>
      </c>
      <c r="I54" s="41"/>
      <c r="J54" s="41"/>
      <c r="K54" s="190">
        <f>'Comm Study Rpt'!Q50</f>
        <v>882.65</v>
      </c>
      <c r="L54" s="190">
        <f t="shared" ca="1" si="37"/>
        <v>592.96426999999994</v>
      </c>
      <c r="M54" s="190">
        <f t="shared" ca="1" si="38"/>
        <v>289.68572999999998</v>
      </c>
      <c r="N54" s="190">
        <f t="shared" ca="1" si="39"/>
        <v>592.96426999999994</v>
      </c>
    </row>
    <row r="55" spans="1:16" x14ac:dyDescent="0.25">
      <c r="A55" s="227">
        <v>394</v>
      </c>
      <c r="B55" s="228" t="s">
        <v>433</v>
      </c>
      <c r="D55" s="41">
        <v>0</v>
      </c>
      <c r="E55" s="41">
        <f t="shared" ca="1" si="35"/>
        <v>0</v>
      </c>
      <c r="F55" s="41">
        <f t="shared" ca="1" si="36"/>
        <v>0</v>
      </c>
      <c r="I55" s="41"/>
      <c r="J55" s="41"/>
      <c r="K55" s="190">
        <f>'Comm Study Rpt'!Q51</f>
        <v>18966.705999999998</v>
      </c>
      <c r="L55" s="190">
        <f t="shared" ca="1" si="37"/>
        <v>12741.833090799997</v>
      </c>
      <c r="M55" s="190">
        <f t="shared" ca="1" si="38"/>
        <v>6224.8729091999994</v>
      </c>
      <c r="N55" s="190">
        <f t="shared" ca="1" si="39"/>
        <v>12741.833090799997</v>
      </c>
    </row>
    <row r="56" spans="1:16" x14ac:dyDescent="0.25">
      <c r="A56" s="227">
        <v>397</v>
      </c>
      <c r="B56" s="228" t="s">
        <v>440</v>
      </c>
      <c r="D56" s="41">
        <v>0</v>
      </c>
      <c r="E56" s="41">
        <f t="shared" ca="1" si="35"/>
        <v>0</v>
      </c>
      <c r="F56" s="41">
        <f t="shared" ca="1" si="36"/>
        <v>0</v>
      </c>
      <c r="I56" s="41"/>
      <c r="J56" s="41"/>
      <c r="K56" s="190">
        <f>'Comm Study Rpt'!Q52</f>
        <v>1473760.043999996</v>
      </c>
      <c r="L56" s="190">
        <f t="shared" ca="1" si="37"/>
        <v>990071.99755919725</v>
      </c>
      <c r="M56" s="190">
        <f t="shared" ca="1" si="38"/>
        <v>483688.04644079867</v>
      </c>
      <c r="N56" s="190">
        <f t="shared" ca="1" si="39"/>
        <v>990071.99755919725</v>
      </c>
    </row>
    <row r="57" spans="1:16" x14ac:dyDescent="0.25">
      <c r="A57" s="227">
        <v>398</v>
      </c>
      <c r="B57" s="228" t="s">
        <v>438</v>
      </c>
      <c r="D57" s="41">
        <v>0</v>
      </c>
      <c r="E57" s="41">
        <v>-681</v>
      </c>
      <c r="F57" s="41">
        <f t="shared" ca="1" si="36"/>
        <v>0</v>
      </c>
      <c r="I57" s="41"/>
      <c r="J57" s="41"/>
      <c r="K57" s="190">
        <f>'Comm Study Rpt'!Q53</f>
        <v>-1598.561999999964</v>
      </c>
      <c r="L57" s="190">
        <f t="shared" ca="1" si="37"/>
        <v>-1073.9139515999757</v>
      </c>
      <c r="M57" s="190">
        <f t="shared" ca="1" si="38"/>
        <v>-524.64804839998817</v>
      </c>
      <c r="N57" s="190">
        <f t="shared" ca="1" si="39"/>
        <v>-392.91395159997569</v>
      </c>
    </row>
    <row r="58" spans="1:16" x14ac:dyDescent="0.25">
      <c r="A58" s="227"/>
      <c r="B58" s="228" t="s">
        <v>441</v>
      </c>
      <c r="C58" s="188">
        <f>SUM(C52:C57)</f>
        <v>0</v>
      </c>
      <c r="D58" s="188">
        <f>SUM(D52:D57)</f>
        <v>0</v>
      </c>
      <c r="E58" s="188">
        <f ca="1">SUM(E52:E57)</f>
        <v>-681</v>
      </c>
      <c r="F58" s="188">
        <f ca="1">SUM(F52:F57)</f>
        <v>0</v>
      </c>
      <c r="I58" s="41"/>
      <c r="J58" s="41"/>
      <c r="K58" s="188">
        <f>SUM(K52:K57)</f>
        <v>1657868.6399999943</v>
      </c>
      <c r="L58" s="229">
        <f ca="1">SUM(L52:L57)</f>
        <v>1113756.1523519959</v>
      </c>
      <c r="M58" s="188">
        <f ca="1">SUM(M52:M57)</f>
        <v>544112.48764799815</v>
      </c>
      <c r="N58" s="188">
        <f ca="1">SUM(N52:N57)</f>
        <v>1114437.1523519959</v>
      </c>
    </row>
    <row r="59" spans="1:16" x14ac:dyDescent="0.25">
      <c r="I59" s="41"/>
      <c r="J59" s="41"/>
      <c r="L59" s="230"/>
    </row>
    <row r="60" spans="1:16" x14ac:dyDescent="0.25">
      <c r="B60" s="189" t="s">
        <v>818</v>
      </c>
      <c r="C60" s="56">
        <f>C49+C58</f>
        <v>280165405.31999993</v>
      </c>
      <c r="D60" s="56">
        <f>D49+D58</f>
        <v>22637285.68</v>
      </c>
      <c r="E60" s="56">
        <f t="shared" ref="E60" ca="1" si="40">E49+E58</f>
        <v>15207047.519823998</v>
      </c>
      <c r="F60" s="56">
        <f ca="1">F49+F58</f>
        <v>7429557.1601760006</v>
      </c>
      <c r="I60" s="41"/>
      <c r="J60" s="41"/>
      <c r="K60" s="56">
        <f>K49+K58</f>
        <v>19696902.138697401</v>
      </c>
      <c r="L60" s="56">
        <f ca="1">L49+L58</f>
        <v>13232378.856776908</v>
      </c>
      <c r="M60" s="376">
        <f ca="1">M49+M58</f>
        <v>6464523.281920488</v>
      </c>
      <c r="N60" s="376">
        <f ca="1">N49+N58</f>
        <v>-1974668.6630470864</v>
      </c>
      <c r="P60" s="402">
        <f ca="1">N60-'Lead E'!E13</f>
        <v>3.7252902984619141E-9</v>
      </c>
    </row>
    <row r="61" spans="1:16" x14ac:dyDescent="0.25">
      <c r="I61" s="41"/>
      <c r="J61" s="41"/>
      <c r="L61" s="190"/>
      <c r="N61" s="190"/>
    </row>
    <row r="62" spans="1:16" x14ac:dyDescent="0.25">
      <c r="I62" s="41"/>
      <c r="J62" s="41"/>
    </row>
    <row r="63" spans="1:16" x14ac:dyDescent="0.25">
      <c r="A63" s="227"/>
      <c r="B63" s="323" t="s">
        <v>442</v>
      </c>
      <c r="C63" s="42"/>
      <c r="D63" s="42"/>
      <c r="E63" s="42"/>
      <c r="F63" s="42"/>
      <c r="G63" s="42"/>
      <c r="H63" s="42"/>
      <c r="I63" s="42"/>
      <c r="J63" s="42"/>
      <c r="K63" s="228"/>
      <c r="L63" s="228"/>
      <c r="M63" s="228"/>
    </row>
    <row r="64" spans="1:16" x14ac:dyDescent="0.25">
      <c r="A64" s="227">
        <v>302</v>
      </c>
      <c r="B64" s="228" t="s">
        <v>443</v>
      </c>
      <c r="C64" s="42">
        <f>'Comm Study Rpt'!K63</f>
        <v>31729.64</v>
      </c>
      <c r="D64" s="508">
        <v>2347</v>
      </c>
      <c r="E64" s="42">
        <f t="shared" ref="E64:E72" ca="1" si="41">D64*$E$4</f>
        <v>1576.7145999999998</v>
      </c>
      <c r="F64" s="42">
        <f t="shared" ref="F64:F72" ca="1" si="42">D64*$F$4</f>
        <v>770.28539999999998</v>
      </c>
      <c r="G64" s="42"/>
      <c r="H64" s="42"/>
      <c r="I64" s="42"/>
      <c r="J64" s="42"/>
      <c r="K64" s="238">
        <f t="shared" ref="K64:M72" si="43">D64</f>
        <v>2347</v>
      </c>
      <c r="L64" s="238">
        <f ca="1">E64</f>
        <v>1576.7145999999998</v>
      </c>
      <c r="M64" s="238">
        <f ca="1">F64</f>
        <v>770.28539999999998</v>
      </c>
      <c r="N64" s="190">
        <f t="shared" ref="N64:N72" ca="1" si="44">L64-E64</f>
        <v>0</v>
      </c>
    </row>
    <row r="65" spans="1:14" x14ac:dyDescent="0.25">
      <c r="A65" s="227">
        <v>303</v>
      </c>
      <c r="B65" s="228" t="s">
        <v>444</v>
      </c>
      <c r="C65" s="42">
        <f>'Comm Study Rpt'!K64</f>
        <v>166359858.69999999</v>
      </c>
      <c r="D65" s="508">
        <v>27664698</v>
      </c>
      <c r="E65" s="42">
        <f t="shared" ca="1" si="41"/>
        <v>18585144.1164</v>
      </c>
      <c r="F65" s="42">
        <f t="shared" ca="1" si="42"/>
        <v>9079553.8836000003</v>
      </c>
      <c r="G65" s="42"/>
      <c r="H65" s="42"/>
      <c r="I65" s="42"/>
      <c r="J65" s="42"/>
      <c r="K65" s="238">
        <f t="shared" si="43"/>
        <v>27664698</v>
      </c>
      <c r="L65" s="238">
        <f t="shared" ca="1" si="43"/>
        <v>18585144.1164</v>
      </c>
      <c r="M65" s="238">
        <f t="shared" ca="1" si="43"/>
        <v>9079553.8836000003</v>
      </c>
      <c r="N65" s="190">
        <f t="shared" ca="1" si="44"/>
        <v>0</v>
      </c>
    </row>
    <row r="66" spans="1:14" x14ac:dyDescent="0.25">
      <c r="A66" s="227">
        <v>389</v>
      </c>
      <c r="B66" s="228" t="s">
        <v>445</v>
      </c>
      <c r="C66" s="42">
        <f>'Comm Study Rpt'!K65</f>
        <v>28496665.229999993</v>
      </c>
      <c r="D66" s="42"/>
      <c r="E66" s="42">
        <f t="shared" ca="1" si="41"/>
        <v>0</v>
      </c>
      <c r="F66" s="42">
        <f t="shared" ca="1" si="42"/>
        <v>0</v>
      </c>
      <c r="G66" s="42"/>
      <c r="H66" s="42"/>
      <c r="I66" s="42"/>
      <c r="J66" s="42"/>
      <c r="K66" s="238">
        <f t="shared" si="43"/>
        <v>0</v>
      </c>
      <c r="L66" s="238">
        <f t="shared" ca="1" si="43"/>
        <v>0</v>
      </c>
      <c r="M66" s="238">
        <f t="shared" ca="1" si="43"/>
        <v>0</v>
      </c>
      <c r="N66" s="190">
        <f t="shared" ca="1" si="44"/>
        <v>0</v>
      </c>
    </row>
    <row r="67" spans="1:14" x14ac:dyDescent="0.25">
      <c r="A67" s="227">
        <v>390.1</v>
      </c>
      <c r="B67" s="228" t="s">
        <v>446</v>
      </c>
      <c r="C67" s="42">
        <f>'Comm Study Rpt'!K66</f>
        <v>46511320.420000009</v>
      </c>
      <c r="D67" s="42">
        <v>3019656.9899999998</v>
      </c>
      <c r="E67" s="42">
        <f t="shared" ca="1" si="41"/>
        <v>2028605.5658819997</v>
      </c>
      <c r="F67" s="42">
        <f t="shared" ca="1" si="42"/>
        <v>991051.42411799985</v>
      </c>
      <c r="G67" s="42"/>
      <c r="H67" s="42"/>
      <c r="I67" s="42"/>
      <c r="J67" s="42"/>
      <c r="K67" s="238">
        <f t="shared" si="43"/>
        <v>3019656.9899999998</v>
      </c>
      <c r="L67" s="238">
        <f t="shared" ca="1" si="43"/>
        <v>2028605.5658819997</v>
      </c>
      <c r="M67" s="238">
        <f t="shared" ca="1" si="43"/>
        <v>991051.42411799985</v>
      </c>
      <c r="N67" s="190">
        <f t="shared" ca="1" si="44"/>
        <v>0</v>
      </c>
    </row>
    <row r="68" spans="1:14" x14ac:dyDescent="0.25">
      <c r="A68" s="227">
        <v>391.21</v>
      </c>
      <c r="B68" s="228" t="s">
        <v>730</v>
      </c>
      <c r="C68" s="508">
        <v>756461.72</v>
      </c>
      <c r="D68" s="42"/>
      <c r="E68" s="42">
        <f t="shared" ca="1" si="41"/>
        <v>0</v>
      </c>
      <c r="F68" s="42">
        <f t="shared" ca="1" si="42"/>
        <v>0</v>
      </c>
      <c r="G68" s="42"/>
      <c r="H68" s="42"/>
      <c r="I68" s="42"/>
      <c r="J68" s="42"/>
      <c r="K68" s="238">
        <f t="shared" si="43"/>
        <v>0</v>
      </c>
      <c r="L68" s="238">
        <f t="shared" ca="1" si="43"/>
        <v>0</v>
      </c>
      <c r="M68" s="238">
        <f t="shared" ca="1" si="43"/>
        <v>0</v>
      </c>
      <c r="N68" s="190">
        <f t="shared" ca="1" si="44"/>
        <v>0</v>
      </c>
    </row>
    <row r="69" spans="1:14" x14ac:dyDescent="0.25">
      <c r="A69" s="227">
        <v>392.1</v>
      </c>
      <c r="B69" s="228" t="s">
        <v>447</v>
      </c>
      <c r="C69" s="42">
        <f>'Comm Study Rpt'!K67</f>
        <v>1509234.08</v>
      </c>
      <c r="D69" s="42"/>
      <c r="E69" s="42">
        <f t="shared" ca="1" si="41"/>
        <v>0</v>
      </c>
      <c r="F69" s="42">
        <f t="shared" ca="1" si="42"/>
        <v>0</v>
      </c>
      <c r="G69" s="42"/>
      <c r="H69" s="42"/>
      <c r="I69" s="42"/>
      <c r="J69" s="42"/>
      <c r="K69" s="238">
        <f t="shared" si="43"/>
        <v>0</v>
      </c>
      <c r="L69" s="238">
        <f t="shared" ca="1" si="43"/>
        <v>0</v>
      </c>
      <c r="M69" s="238">
        <f t="shared" ca="1" si="43"/>
        <v>0</v>
      </c>
      <c r="N69" s="190">
        <f ca="1">L69-E69</f>
        <v>0</v>
      </c>
    </row>
    <row r="70" spans="1:14" x14ac:dyDescent="0.25">
      <c r="A70" s="227">
        <v>392.2</v>
      </c>
      <c r="B70" s="228" t="s">
        <v>448</v>
      </c>
      <c r="C70" s="42">
        <f>'Comm Study Rpt'!K68</f>
        <v>832657.21</v>
      </c>
      <c r="D70" s="42">
        <v>83265.72</v>
      </c>
      <c r="E70" s="42">
        <f ca="1">D70*$E$4</f>
        <v>55937.910695999999</v>
      </c>
      <c r="F70" s="42">
        <f t="shared" ca="1" si="42"/>
        <v>27327.809303999999</v>
      </c>
      <c r="G70" s="42"/>
      <c r="H70" s="42"/>
      <c r="I70" s="42"/>
      <c r="J70" s="42"/>
      <c r="K70" s="238">
        <f>D70</f>
        <v>83265.72</v>
      </c>
      <c r="L70" s="238">
        <f t="shared" ca="1" si="43"/>
        <v>55937.910695999999</v>
      </c>
      <c r="M70" s="238">
        <f t="shared" ca="1" si="43"/>
        <v>27327.809303999999</v>
      </c>
      <c r="N70" s="190">
        <f t="shared" ca="1" si="44"/>
        <v>0</v>
      </c>
    </row>
    <row r="71" spans="1:14" x14ac:dyDescent="0.25">
      <c r="A71" s="227">
        <v>399</v>
      </c>
      <c r="B71" s="228" t="s">
        <v>855</v>
      </c>
      <c r="C71" s="508"/>
      <c r="D71" s="508">
        <v>157467</v>
      </c>
      <c r="E71" s="508">
        <f ca="1">D71*$E$4</f>
        <v>105786.33059999999</v>
      </c>
      <c r="F71" s="508">
        <f t="shared" ca="1" si="42"/>
        <v>51680.669399999999</v>
      </c>
      <c r="G71" s="508"/>
      <c r="H71" s="508"/>
      <c r="I71" s="508"/>
      <c r="J71" s="508"/>
      <c r="K71" s="510">
        <f>D71</f>
        <v>157467</v>
      </c>
      <c r="L71" s="510">
        <f t="shared" ca="1" si="43"/>
        <v>105786.33059999999</v>
      </c>
      <c r="M71" s="510">
        <f t="shared" ca="1" si="43"/>
        <v>51680.669399999999</v>
      </c>
      <c r="N71" s="510"/>
    </row>
    <row r="72" spans="1:14" x14ac:dyDescent="0.25">
      <c r="A72" s="227"/>
      <c r="B72" s="228" t="s">
        <v>965</v>
      </c>
      <c r="C72" s="64"/>
      <c r="D72" s="64"/>
      <c r="E72" s="42">
        <f t="shared" ca="1" si="41"/>
        <v>0</v>
      </c>
      <c r="F72" s="42">
        <f t="shared" ca="1" si="42"/>
        <v>0</v>
      </c>
      <c r="G72" s="42"/>
      <c r="H72" s="42"/>
      <c r="I72" s="42"/>
      <c r="J72" s="42"/>
      <c r="K72" s="322">
        <f t="shared" si="43"/>
        <v>0</v>
      </c>
      <c r="L72" s="322">
        <f t="shared" ca="1" si="43"/>
        <v>0</v>
      </c>
      <c r="M72" s="322">
        <f t="shared" ca="1" si="43"/>
        <v>0</v>
      </c>
      <c r="N72" s="190">
        <f t="shared" ca="1" si="44"/>
        <v>0</v>
      </c>
    </row>
    <row r="73" spans="1:14" x14ac:dyDescent="0.25">
      <c r="A73" s="227"/>
      <c r="B73" s="323" t="s">
        <v>450</v>
      </c>
      <c r="C73" s="324">
        <f>SUM(C64:C72)</f>
        <v>244497927</v>
      </c>
      <c r="D73" s="324">
        <f>SUM(D64:D72)</f>
        <v>30927434.709999997</v>
      </c>
      <c r="E73" s="666">
        <f ca="1">SUM(E64:E72)</f>
        <v>20777050.638178002</v>
      </c>
      <c r="F73" s="667">
        <f ca="1">SUM(F64:F72)</f>
        <v>10150384.071821999</v>
      </c>
      <c r="G73" s="42"/>
      <c r="H73" s="42"/>
      <c r="I73" s="42"/>
      <c r="J73" s="42"/>
      <c r="K73" s="324">
        <f>SUM(K64:K72)</f>
        <v>30927434.709999997</v>
      </c>
      <c r="L73" s="324">
        <f ca="1">SUM(L64:L72)</f>
        <v>20777050.638178002</v>
      </c>
      <c r="M73" s="324">
        <f ca="1">SUM(M64:M72)</f>
        <v>10150384.071821999</v>
      </c>
      <c r="N73" s="380">
        <f ca="1">SUM(N64:N72)</f>
        <v>0</v>
      </c>
    </row>
    <row r="74" spans="1:14" x14ac:dyDescent="0.25">
      <c r="A74" s="227"/>
      <c r="B74" s="227" t="s">
        <v>821</v>
      </c>
      <c r="C74" s="377"/>
      <c r="D74" s="377">
        <f>-D71</f>
        <v>-157467</v>
      </c>
      <c r="E74" s="42">
        <f ca="1">D74*$E$4</f>
        <v>-105786.33059999999</v>
      </c>
      <c r="F74" s="42">
        <f ca="1">D74*$F$4</f>
        <v>-51680.669399999999</v>
      </c>
      <c r="G74" s="42"/>
      <c r="H74" s="42"/>
      <c r="I74" s="42"/>
      <c r="J74" s="42"/>
      <c r="K74" s="377">
        <f>-K71</f>
        <v>-157467</v>
      </c>
      <c r="L74" s="377">
        <f t="shared" ref="L74" ca="1" si="45">E74</f>
        <v>-105786.33059999999</v>
      </c>
      <c r="M74" s="377">
        <f t="shared" ref="M74" ca="1" si="46">F74</f>
        <v>-51680.669399999999</v>
      </c>
      <c r="N74" s="190">
        <f ca="1">L74-E74</f>
        <v>0</v>
      </c>
    </row>
    <row r="75" spans="1:14" ht="13.8" thickBot="1" x14ac:dyDescent="0.3">
      <c r="A75" s="323" t="s">
        <v>823</v>
      </c>
      <c r="C75" s="378">
        <f>SUM(C73:C74)</f>
        <v>244497927</v>
      </c>
      <c r="D75" s="378">
        <f>SUM(D73:D74)</f>
        <v>30769967.709999997</v>
      </c>
      <c r="E75" s="378">
        <f ca="1">SUM(E73:E74)</f>
        <v>20671264.307578001</v>
      </c>
      <c r="F75" s="378">
        <f ca="1">SUM(F73:F74)</f>
        <v>10098703.402422</v>
      </c>
      <c r="G75" s="42"/>
      <c r="H75" s="42"/>
      <c r="I75" s="42"/>
      <c r="J75" s="42"/>
      <c r="K75" s="378">
        <f>SUM(K73:K74)</f>
        <v>30769967.709999997</v>
      </c>
      <c r="L75" s="378">
        <f ca="1">SUM(L73:L74)</f>
        <v>20671264.307578001</v>
      </c>
      <c r="M75" s="378">
        <f ca="1">SUM(M73:M74)</f>
        <v>10098703.402422</v>
      </c>
      <c r="N75" s="378">
        <f ca="1">SUM(N73:N74)</f>
        <v>0</v>
      </c>
    </row>
    <row r="76" spans="1:14" ht="13.8" thickTop="1" x14ac:dyDescent="0.25">
      <c r="A76" s="227"/>
      <c r="B76" s="228"/>
      <c r="C76" s="42"/>
      <c r="D76" s="508"/>
      <c r="E76" s="42"/>
      <c r="F76" s="42"/>
      <c r="G76" s="42"/>
      <c r="H76" s="42"/>
      <c r="I76" s="42"/>
      <c r="J76" s="42"/>
      <c r="K76" s="228"/>
      <c r="L76" s="228"/>
      <c r="M76" s="228"/>
    </row>
    <row r="77" spans="1:14" ht="13.8" thickBot="1" x14ac:dyDescent="0.3">
      <c r="A77" s="325" t="s">
        <v>824</v>
      </c>
      <c r="B77" s="228"/>
      <c r="C77" s="378">
        <f>C60+C75</f>
        <v>524663332.31999993</v>
      </c>
      <c r="D77" s="378">
        <f>D60+D75</f>
        <v>53407253.390000001</v>
      </c>
      <c r="E77" s="378">
        <f ca="1">E60+E75</f>
        <v>35878311.827401996</v>
      </c>
      <c r="F77" s="378">
        <f ca="1">F60+F75</f>
        <v>17528260.562598001</v>
      </c>
      <c r="G77" s="42"/>
      <c r="H77" s="42"/>
      <c r="I77" s="42"/>
      <c r="J77" s="42"/>
      <c r="K77" s="378">
        <f>K60+K75</f>
        <v>50466869.848697394</v>
      </c>
      <c r="L77" s="378">
        <f ca="1">L60+L75</f>
        <v>33903643.164354905</v>
      </c>
      <c r="M77" s="378">
        <f ca="1">M60+M75</f>
        <v>16563226.684342489</v>
      </c>
      <c r="N77" s="378">
        <f ca="1">N60+N75</f>
        <v>-1974668.6630470864</v>
      </c>
    </row>
    <row r="78" spans="1:14" ht="13.8" thickTop="1" x14ac:dyDescent="0.25">
      <c r="A78" s="227"/>
      <c r="B78" s="228"/>
      <c r="C78" s="42"/>
      <c r="D78" s="42"/>
      <c r="E78" s="42"/>
      <c r="F78" s="42"/>
      <c r="G78" s="42"/>
      <c r="H78" s="42"/>
      <c r="I78" s="42"/>
      <c r="J78" s="42"/>
      <c r="K78" s="228"/>
      <c r="L78" s="228"/>
      <c r="M78" s="228"/>
    </row>
    <row r="79" spans="1:14" x14ac:dyDescent="0.25">
      <c r="A79" s="325"/>
      <c r="B79" s="228"/>
      <c r="C79" s="42"/>
      <c r="D79" s="42"/>
      <c r="E79" s="42"/>
      <c r="F79" s="42"/>
      <c r="G79" s="42"/>
      <c r="H79" s="42"/>
      <c r="I79" s="228"/>
      <c r="J79" s="228"/>
      <c r="K79" s="228"/>
      <c r="L79" s="228"/>
      <c r="M79" s="228"/>
    </row>
    <row r="80" spans="1:14" x14ac:dyDescent="0.25">
      <c r="D80" s="508"/>
    </row>
    <row r="82" spans="1:14" outlineLevel="1" x14ac:dyDescent="0.25">
      <c r="C82" s="56">
        <f>C45+C73</f>
        <v>524663332.31999993</v>
      </c>
      <c r="D82" s="56">
        <f>D60+D73</f>
        <v>53564720.390000001</v>
      </c>
      <c r="E82" s="41">
        <f ca="1">D82*E4</f>
        <v>35984779.158001997</v>
      </c>
      <c r="F82" s="56">
        <f ca="1">D82*F4</f>
        <v>17579941.231998</v>
      </c>
      <c r="K82" s="56">
        <f>K60+K73</f>
        <v>50624336.848697394</v>
      </c>
      <c r="L82" s="190">
        <f ca="1">K82*L4</f>
        <v>34009429.494954906</v>
      </c>
      <c r="M82" s="379">
        <f ca="1">K82*M4</f>
        <v>16614907.353742484</v>
      </c>
    </row>
    <row r="83" spans="1:14" outlineLevel="1" x14ac:dyDescent="0.25"/>
    <row r="84" spans="1:14" outlineLevel="1" x14ac:dyDescent="0.25">
      <c r="C84" s="326"/>
      <c r="D84" s="327">
        <f>K82-D82</f>
        <v>-2940383.5413026065</v>
      </c>
      <c r="L84" s="41">
        <f ca="1">L73+L60</f>
        <v>34009429.494954914</v>
      </c>
      <c r="M84" s="41">
        <f ca="1">M73+M60</f>
        <v>16614907.353742488</v>
      </c>
      <c r="N84" s="230"/>
    </row>
    <row r="85" spans="1:14" x14ac:dyDescent="0.25">
      <c r="L85" s="41"/>
      <c r="M85" s="41"/>
    </row>
    <row r="86" spans="1:14" ht="13.8" thickBot="1" x14ac:dyDescent="0.3">
      <c r="A86" s="397"/>
      <c r="B86" s="393"/>
      <c r="C86" s="387"/>
      <c r="D86" s="398"/>
      <c r="E86" s="196"/>
      <c r="F86" s="196"/>
      <c r="L86" s="41"/>
      <c r="M86" s="41"/>
    </row>
    <row r="87" spans="1:14" x14ac:dyDescent="0.25">
      <c r="A87" s="781"/>
      <c r="B87" s="782" t="s">
        <v>948</v>
      </c>
      <c r="C87" s="387"/>
      <c r="D87" s="388"/>
      <c r="E87" s="792"/>
      <c r="F87" s="394"/>
      <c r="L87" s="790"/>
      <c r="M87" s="41"/>
    </row>
    <row r="88" spans="1:14" x14ac:dyDescent="0.25">
      <c r="A88" s="783"/>
      <c r="B88" s="784" t="s">
        <v>949</v>
      </c>
      <c r="C88" s="387"/>
      <c r="D88" s="388"/>
      <c r="E88" s="793" t="s">
        <v>955</v>
      </c>
      <c r="F88" s="395"/>
      <c r="L88" s="791" t="s">
        <v>956</v>
      </c>
    </row>
    <row r="89" spans="1:14" x14ac:dyDescent="0.25">
      <c r="A89" s="785" t="s">
        <v>960</v>
      </c>
      <c r="B89" s="786" t="s">
        <v>951</v>
      </c>
      <c r="C89" s="387"/>
      <c r="D89" s="393"/>
      <c r="E89" s="799">
        <f ca="1">E24</f>
        <v>251311.68018999998</v>
      </c>
      <c r="F89" s="400">
        <f ca="1">E89*E93</f>
        <v>146792.60692048774</v>
      </c>
      <c r="L89" s="799">
        <f ca="1">L24</f>
        <v>40030.220204371748</v>
      </c>
      <c r="M89" s="190">
        <f ca="1">L89*L93</f>
        <v>23381.883305059087</v>
      </c>
      <c r="N89" s="190">
        <f ca="1">M89-F89</f>
        <v>-123410.72361542865</v>
      </c>
    </row>
    <row r="90" spans="1:14" x14ac:dyDescent="0.25">
      <c r="A90" s="785"/>
      <c r="B90" s="786"/>
      <c r="C90" s="387"/>
      <c r="D90" s="395"/>
      <c r="E90" s="800"/>
      <c r="F90" s="394"/>
      <c r="L90" s="800"/>
    </row>
    <row r="91" spans="1:14" x14ac:dyDescent="0.25">
      <c r="A91" s="785" t="s">
        <v>961</v>
      </c>
      <c r="B91" s="786" t="s">
        <v>953</v>
      </c>
      <c r="C91" s="387"/>
      <c r="D91" s="395"/>
      <c r="E91" s="801">
        <f ca="1">E34</f>
        <v>16331.995440000001</v>
      </c>
      <c r="F91" s="394">
        <f ca="1">E91*E93</f>
        <v>9539.6130615122711</v>
      </c>
      <c r="G91" s="186"/>
      <c r="H91" s="186"/>
      <c r="L91" s="801">
        <f ca="1">L34</f>
        <v>7729.7246952764144</v>
      </c>
      <c r="M91" s="190">
        <f ca="1">L91*L93</f>
        <v>4514.9769319892021</v>
      </c>
      <c r="N91" s="190">
        <f ca="1">M91-F91</f>
        <v>-5024.636129523069</v>
      </c>
    </row>
    <row r="92" spans="1:14" x14ac:dyDescent="0.25">
      <c r="A92" s="787"/>
      <c r="B92" s="786"/>
      <c r="C92" s="387"/>
      <c r="D92" s="396"/>
      <c r="E92" s="800">
        <f ca="1">SUM(E89:E91)</f>
        <v>267643.67563000001</v>
      </c>
      <c r="F92" s="399"/>
      <c r="G92" s="186"/>
      <c r="H92" s="186"/>
      <c r="L92" s="800">
        <f ca="1">SUM(L89:L91)</f>
        <v>47759.944899648166</v>
      </c>
    </row>
    <row r="93" spans="1:14" x14ac:dyDescent="0.25">
      <c r="A93" s="787"/>
      <c r="B93" s="786" t="s">
        <v>954</v>
      </c>
      <c r="C93" s="387"/>
      <c r="D93" s="396"/>
      <c r="E93" s="796">
        <f>'CC300'!G32</f>
        <v>0.58410578771948707</v>
      </c>
      <c r="F93" s="399"/>
      <c r="G93" s="186"/>
      <c r="H93" s="186"/>
      <c r="L93" s="796">
        <f>'CC300'!G32</f>
        <v>0.58410578771948707</v>
      </c>
    </row>
    <row r="94" spans="1:14" ht="13.8" thickBot="1" x14ac:dyDescent="0.3">
      <c r="A94" s="788"/>
      <c r="B94" s="789"/>
      <c r="C94" s="387"/>
      <c r="D94" s="389"/>
      <c r="E94" s="802">
        <f ca="1">E92*E93</f>
        <v>156332.21998200004</v>
      </c>
      <c r="F94" s="399"/>
      <c r="G94" s="186"/>
      <c r="H94" s="186"/>
      <c r="L94" s="802">
        <f ca="1">L92*L93</f>
        <v>27896.860237048291</v>
      </c>
    </row>
    <row r="95" spans="1:14" x14ac:dyDescent="0.25">
      <c r="A95" s="393"/>
      <c r="B95" s="393"/>
      <c r="C95" s="387"/>
      <c r="D95" s="393"/>
      <c r="E95" s="387"/>
      <c r="F95" s="400"/>
      <c r="G95" s="186"/>
      <c r="H95" s="186"/>
    </row>
    <row r="96" spans="1:14" x14ac:dyDescent="0.25">
      <c r="A96" s="391"/>
      <c r="B96" s="393"/>
      <c r="C96" s="393"/>
      <c r="D96" s="393"/>
      <c r="E96" s="393"/>
      <c r="F96" s="393"/>
      <c r="G96" s="186"/>
      <c r="H96" s="186"/>
    </row>
    <row r="97" spans="1:8" x14ac:dyDescent="0.25">
      <c r="A97" s="186"/>
      <c r="C97" s="186"/>
      <c r="D97" s="186"/>
      <c r="E97" s="186"/>
      <c r="F97" s="186"/>
      <c r="G97" s="186"/>
      <c r="H97" s="186"/>
    </row>
    <row r="98" spans="1:8" x14ac:dyDescent="0.25">
      <c r="A98" s="186"/>
      <c r="C98" s="186"/>
      <c r="D98" s="186"/>
      <c r="E98" s="186"/>
      <c r="F98" s="186"/>
      <c r="G98" s="186"/>
      <c r="H98" s="186"/>
    </row>
    <row r="99" spans="1:8" x14ac:dyDescent="0.25">
      <c r="A99" s="186"/>
      <c r="C99" s="186"/>
      <c r="D99" s="186"/>
      <c r="E99" s="186"/>
      <c r="F99" s="186"/>
      <c r="G99" s="186"/>
      <c r="H99" s="186"/>
    </row>
    <row r="100" spans="1:8" x14ac:dyDescent="0.25">
      <c r="A100" s="186"/>
      <c r="C100" s="186"/>
      <c r="D100" s="186"/>
      <c r="E100" s="186"/>
      <c r="F100" s="186"/>
      <c r="G100" s="186"/>
      <c r="H100" s="186"/>
    </row>
    <row r="101" spans="1:8" x14ac:dyDescent="0.25">
      <c r="A101" s="186"/>
      <c r="C101" s="186"/>
      <c r="D101" s="186"/>
      <c r="E101" s="186"/>
      <c r="F101" s="186"/>
      <c r="G101" s="186"/>
      <c r="H101" s="186"/>
    </row>
    <row r="102" spans="1:8" x14ac:dyDescent="0.25">
      <c r="A102" s="186"/>
      <c r="C102" s="186"/>
      <c r="D102" s="186"/>
      <c r="E102" s="186"/>
      <c r="F102" s="186"/>
      <c r="G102" s="186"/>
      <c r="H102" s="186"/>
    </row>
    <row r="103" spans="1:8" x14ac:dyDescent="0.25">
      <c r="A103" s="186"/>
      <c r="C103" s="186"/>
      <c r="D103" s="186"/>
      <c r="E103" s="186"/>
      <c r="F103" s="186"/>
      <c r="G103" s="186"/>
      <c r="H103" s="186"/>
    </row>
    <row r="104" spans="1:8" x14ac:dyDescent="0.25">
      <c r="A104" s="186"/>
      <c r="C104" s="186"/>
      <c r="D104" s="186"/>
      <c r="E104" s="186"/>
      <c r="F104" s="186"/>
      <c r="G104" s="186"/>
      <c r="H104" s="186"/>
    </row>
    <row r="105" spans="1:8" x14ac:dyDescent="0.25">
      <c r="A105" s="186"/>
      <c r="C105" s="186"/>
      <c r="D105" s="186"/>
      <c r="E105" s="186"/>
      <c r="F105" s="186"/>
      <c r="G105" s="186"/>
      <c r="H105" s="186"/>
    </row>
    <row r="106" spans="1:8" x14ac:dyDescent="0.25">
      <c r="A106" s="186"/>
      <c r="C106" s="186"/>
      <c r="D106" s="186"/>
      <c r="E106" s="186"/>
      <c r="F106" s="186"/>
      <c r="G106" s="186"/>
      <c r="H106" s="186"/>
    </row>
    <row r="107" spans="1:8" x14ac:dyDescent="0.25">
      <c r="A107" s="186"/>
      <c r="C107" s="186"/>
      <c r="D107" s="186"/>
      <c r="E107" s="186"/>
      <c r="F107" s="186"/>
      <c r="G107" s="186"/>
      <c r="H107" s="186"/>
    </row>
    <row r="108" spans="1:8" x14ac:dyDescent="0.25">
      <c r="A108" s="186"/>
      <c r="C108" s="186"/>
      <c r="D108" s="186"/>
      <c r="E108" s="186"/>
      <c r="F108" s="186"/>
      <c r="G108" s="186"/>
      <c r="H108" s="186"/>
    </row>
    <row r="109" spans="1:8" x14ac:dyDescent="0.25">
      <c r="A109" s="186"/>
      <c r="C109" s="186"/>
      <c r="D109" s="186"/>
      <c r="E109" s="186"/>
      <c r="F109" s="186"/>
      <c r="G109" s="186"/>
      <c r="H109" s="186"/>
    </row>
    <row r="110" spans="1:8" x14ac:dyDescent="0.25">
      <c r="A110" s="186"/>
      <c r="C110" s="186"/>
      <c r="D110" s="186"/>
      <c r="E110" s="186"/>
      <c r="F110" s="186"/>
      <c r="G110" s="186"/>
      <c r="H110" s="186"/>
    </row>
    <row r="111" spans="1:8" x14ac:dyDescent="0.25">
      <c r="A111" s="186"/>
      <c r="C111" s="186"/>
      <c r="D111" s="186"/>
      <c r="E111" s="186"/>
      <c r="F111" s="186"/>
      <c r="G111" s="186"/>
      <c r="H111" s="186"/>
    </row>
    <row r="112" spans="1:8" x14ac:dyDescent="0.25">
      <c r="A112" s="186"/>
      <c r="C112" s="186"/>
      <c r="D112" s="186"/>
      <c r="E112" s="186"/>
      <c r="F112" s="186"/>
      <c r="G112" s="186"/>
      <c r="H112" s="186"/>
    </row>
    <row r="113" spans="1:8" x14ac:dyDescent="0.25">
      <c r="A113" s="186"/>
      <c r="C113" s="186"/>
      <c r="D113" s="186"/>
      <c r="E113" s="186"/>
      <c r="F113" s="186"/>
      <c r="G113" s="186"/>
      <c r="H113" s="186"/>
    </row>
    <row r="114" spans="1:8" x14ac:dyDescent="0.25">
      <c r="A114" s="186"/>
      <c r="C114" s="186"/>
      <c r="D114" s="186"/>
      <c r="E114" s="186"/>
      <c r="F114" s="186"/>
      <c r="G114" s="186"/>
      <c r="H114" s="186"/>
    </row>
    <row r="115" spans="1:8" x14ac:dyDescent="0.25">
      <c r="A115" s="186"/>
      <c r="C115" s="186"/>
      <c r="D115" s="186"/>
      <c r="E115" s="186"/>
      <c r="F115" s="186"/>
      <c r="G115" s="186"/>
      <c r="H115" s="186"/>
    </row>
    <row r="116" spans="1:8" x14ac:dyDescent="0.25">
      <c r="A116" s="186"/>
      <c r="C116" s="186"/>
      <c r="D116" s="186"/>
      <c r="E116" s="186"/>
      <c r="F116" s="186"/>
      <c r="G116" s="186"/>
      <c r="H116" s="186"/>
    </row>
    <row r="117" spans="1:8" x14ac:dyDescent="0.25">
      <c r="A117" s="186"/>
      <c r="C117" s="186"/>
      <c r="D117" s="186"/>
      <c r="E117" s="186"/>
      <c r="F117" s="186"/>
      <c r="G117" s="186"/>
      <c r="H117" s="186"/>
    </row>
    <row r="118" spans="1:8" x14ac:dyDescent="0.25">
      <c r="A118" s="186"/>
      <c r="C118" s="186"/>
      <c r="D118" s="186"/>
      <c r="E118" s="186"/>
      <c r="F118" s="186"/>
      <c r="G118" s="186"/>
      <c r="H118" s="186"/>
    </row>
    <row r="119" spans="1:8" x14ac:dyDescent="0.25">
      <c r="A119" s="186"/>
      <c r="C119" s="186"/>
      <c r="D119" s="186"/>
      <c r="E119" s="186"/>
      <c r="F119" s="186"/>
      <c r="G119" s="186"/>
      <c r="H119" s="186"/>
    </row>
    <row r="120" spans="1:8" x14ac:dyDescent="0.25">
      <c r="A120" s="186"/>
      <c r="C120" s="186"/>
      <c r="D120" s="186"/>
      <c r="E120" s="186"/>
      <c r="F120" s="186"/>
      <c r="G120" s="186"/>
      <c r="H120" s="186"/>
    </row>
    <row r="121" spans="1:8" x14ac:dyDescent="0.25">
      <c r="A121" s="186"/>
      <c r="C121" s="186"/>
      <c r="D121" s="186"/>
      <c r="E121" s="186"/>
      <c r="F121" s="186"/>
      <c r="G121" s="186"/>
      <c r="H121" s="186"/>
    </row>
    <row r="122" spans="1:8" x14ac:dyDescent="0.25">
      <c r="A122" s="186"/>
      <c r="C122" s="186"/>
      <c r="D122" s="186"/>
      <c r="E122" s="186"/>
      <c r="F122" s="186"/>
      <c r="G122" s="186"/>
      <c r="H122" s="186"/>
    </row>
    <row r="123" spans="1:8" x14ac:dyDescent="0.25">
      <c r="A123" s="186"/>
      <c r="C123" s="186"/>
      <c r="D123" s="186"/>
      <c r="E123" s="186"/>
      <c r="F123" s="186"/>
      <c r="G123" s="186"/>
      <c r="H123" s="186"/>
    </row>
    <row r="124" spans="1:8" x14ac:dyDescent="0.25">
      <c r="A124" s="186"/>
      <c r="C124" s="186"/>
      <c r="D124" s="186"/>
      <c r="E124" s="186"/>
      <c r="F124" s="186"/>
      <c r="G124" s="186"/>
      <c r="H124" s="186"/>
    </row>
    <row r="125" spans="1:8" x14ac:dyDescent="0.25">
      <c r="A125" s="186"/>
      <c r="C125" s="186"/>
      <c r="D125" s="186"/>
      <c r="E125" s="186"/>
      <c r="F125" s="186"/>
      <c r="G125" s="186"/>
      <c r="H125" s="186"/>
    </row>
    <row r="126" spans="1:8" x14ac:dyDescent="0.25">
      <c r="A126" s="186"/>
      <c r="C126" s="186"/>
      <c r="D126" s="186"/>
      <c r="E126" s="186"/>
      <c r="F126" s="186"/>
      <c r="G126" s="186"/>
      <c r="H126" s="186"/>
    </row>
    <row r="127" spans="1:8" x14ac:dyDescent="0.25">
      <c r="A127" s="186"/>
      <c r="C127" s="186"/>
      <c r="D127" s="186"/>
      <c r="E127" s="186"/>
      <c r="F127" s="186"/>
      <c r="G127" s="186"/>
      <c r="H127" s="186"/>
    </row>
    <row r="128" spans="1:8" x14ac:dyDescent="0.25">
      <c r="A128" s="186"/>
      <c r="C128" s="186"/>
      <c r="D128" s="186"/>
      <c r="E128" s="186"/>
      <c r="F128" s="186"/>
      <c r="G128" s="186"/>
      <c r="H128" s="186"/>
    </row>
    <row r="129" spans="1:8" x14ac:dyDescent="0.25">
      <c r="A129" s="186"/>
      <c r="C129" s="186"/>
      <c r="D129" s="186"/>
      <c r="E129" s="186"/>
      <c r="F129" s="186"/>
      <c r="G129" s="186"/>
      <c r="H129" s="186"/>
    </row>
    <row r="130" spans="1:8" x14ac:dyDescent="0.25">
      <c r="A130" s="186"/>
      <c r="C130" s="186"/>
      <c r="D130" s="186"/>
      <c r="E130" s="186"/>
      <c r="F130" s="186"/>
      <c r="G130" s="186"/>
      <c r="H130" s="186"/>
    </row>
    <row r="131" spans="1:8" x14ac:dyDescent="0.25">
      <c r="A131" s="186"/>
      <c r="C131" s="186"/>
      <c r="D131" s="186"/>
      <c r="E131" s="186"/>
      <c r="F131" s="186"/>
      <c r="G131" s="186"/>
      <c r="H131" s="186"/>
    </row>
    <row r="132" spans="1:8" x14ac:dyDescent="0.25">
      <c r="A132" s="186"/>
      <c r="C132" s="186"/>
      <c r="D132" s="186"/>
      <c r="E132" s="186"/>
      <c r="F132" s="186"/>
      <c r="G132" s="186"/>
      <c r="H132" s="186"/>
    </row>
    <row r="133" spans="1:8" x14ac:dyDescent="0.25">
      <c r="A133" s="186"/>
      <c r="C133" s="186"/>
      <c r="D133" s="186"/>
      <c r="E133" s="186"/>
      <c r="F133" s="186"/>
      <c r="G133" s="186"/>
      <c r="H133" s="186"/>
    </row>
    <row r="134" spans="1:8" x14ac:dyDescent="0.25">
      <c r="A134" s="186"/>
      <c r="C134" s="186"/>
      <c r="D134" s="186"/>
      <c r="E134" s="186"/>
      <c r="F134" s="186"/>
      <c r="G134" s="186"/>
      <c r="H134" s="186"/>
    </row>
    <row r="135" spans="1:8" x14ac:dyDescent="0.25">
      <c r="A135" s="186"/>
      <c r="C135" s="186"/>
      <c r="D135" s="186"/>
      <c r="E135" s="186"/>
      <c r="F135" s="186"/>
      <c r="G135" s="186"/>
      <c r="H135" s="186"/>
    </row>
    <row r="136" spans="1:8" x14ac:dyDescent="0.25">
      <c r="A136" s="186"/>
      <c r="C136" s="186"/>
      <c r="D136" s="186"/>
      <c r="E136" s="186"/>
      <c r="F136" s="186"/>
      <c r="G136" s="186"/>
      <c r="H136" s="186"/>
    </row>
    <row r="137" spans="1:8" x14ac:dyDescent="0.25">
      <c r="A137" s="186"/>
      <c r="C137" s="186"/>
      <c r="D137" s="186"/>
      <c r="E137" s="186"/>
      <c r="F137" s="186"/>
      <c r="G137" s="186"/>
      <c r="H137" s="186"/>
    </row>
    <row r="138" spans="1:8" x14ac:dyDescent="0.25">
      <c r="A138" s="186"/>
      <c r="C138" s="186"/>
      <c r="D138" s="186"/>
      <c r="E138" s="186"/>
      <c r="F138" s="186"/>
      <c r="G138" s="186"/>
      <c r="H138" s="186"/>
    </row>
    <row r="139" spans="1:8" x14ac:dyDescent="0.25">
      <c r="A139" s="186"/>
      <c r="C139" s="186"/>
      <c r="D139" s="186"/>
      <c r="E139" s="186"/>
      <c r="F139" s="186"/>
      <c r="G139" s="186"/>
      <c r="H139" s="186"/>
    </row>
    <row r="140" spans="1:8" x14ac:dyDescent="0.25">
      <c r="A140" s="186"/>
      <c r="C140" s="186"/>
      <c r="D140" s="186"/>
      <c r="E140" s="186"/>
      <c r="F140" s="186"/>
      <c r="G140" s="186"/>
      <c r="H140" s="186"/>
    </row>
    <row r="141" spans="1:8" x14ac:dyDescent="0.25">
      <c r="A141" s="186"/>
      <c r="C141" s="186"/>
      <c r="D141" s="186"/>
      <c r="E141" s="186"/>
      <c r="F141" s="186"/>
      <c r="G141" s="186"/>
      <c r="H141" s="186"/>
    </row>
    <row r="142" spans="1:8" x14ac:dyDescent="0.25">
      <c r="A142" s="186"/>
      <c r="C142" s="186"/>
      <c r="D142" s="186"/>
      <c r="E142" s="186"/>
      <c r="F142" s="186"/>
      <c r="G142" s="186"/>
      <c r="H142" s="186"/>
    </row>
    <row r="143" spans="1:8" x14ac:dyDescent="0.25">
      <c r="A143" s="186"/>
      <c r="C143" s="186"/>
      <c r="D143" s="186"/>
      <c r="E143" s="186"/>
      <c r="F143" s="186"/>
      <c r="G143" s="186"/>
      <c r="H143" s="186"/>
    </row>
    <row r="144" spans="1:8" x14ac:dyDescent="0.25">
      <c r="A144" s="186"/>
      <c r="C144" s="186"/>
      <c r="D144" s="186"/>
      <c r="E144" s="186"/>
      <c r="F144" s="186"/>
      <c r="G144" s="186"/>
      <c r="H144" s="186"/>
    </row>
  </sheetData>
  <mergeCells count="1">
    <mergeCell ref="A5:B5"/>
  </mergeCells>
  <pageMargins left="0" right="0" top="0" bottom="0" header="0.3" footer="0.3"/>
  <pageSetup scale="49" fitToWidth="0" fitToHeight="0" orientation="landscape" r:id="rId1"/>
  <rowBreaks count="1" manualBreakCount="1">
    <brk id="95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37" zoomScale="70" zoomScaleNormal="70" workbookViewId="0"/>
  </sheetViews>
  <sheetFormatPr defaultColWidth="12" defaultRowHeight="15" outlineLevelCol="1" x14ac:dyDescent="0.25"/>
  <cols>
    <col min="1" max="1" width="9" style="693" bestFit="1" customWidth="1"/>
    <col min="2" max="2" width="1.6640625" style="693" customWidth="1"/>
    <col min="3" max="3" width="74.109375" style="693" bestFit="1" customWidth="1"/>
    <col min="4" max="4" width="1.88671875" style="693" customWidth="1"/>
    <col min="5" max="5" width="18.33203125" style="718" bestFit="1" customWidth="1"/>
    <col min="6" max="6" width="1.88671875" style="693" customWidth="1"/>
    <col min="7" max="7" width="20.33203125" style="693" bestFit="1" customWidth="1"/>
    <col min="8" max="8" width="2" style="693" customWidth="1"/>
    <col min="9" max="9" width="14.44140625" style="757" bestFit="1" customWidth="1"/>
    <col min="10" max="10" width="1.88671875" style="693" customWidth="1"/>
    <col min="11" max="11" width="29.5546875" style="693" bestFit="1" customWidth="1"/>
    <col min="12" max="12" width="1.88671875" style="693" customWidth="1"/>
    <col min="13" max="13" width="21.33203125" style="699" bestFit="1" customWidth="1"/>
    <col min="14" max="14" width="1.88671875" style="699" customWidth="1"/>
    <col min="15" max="15" width="17.5546875" style="699" bestFit="1" customWidth="1"/>
    <col min="16" max="16" width="1.88671875" style="699" customWidth="1"/>
    <col min="17" max="17" width="16.88671875" style="699" bestFit="1" customWidth="1"/>
    <col min="18" max="18" width="3.33203125" style="693" bestFit="1" customWidth="1"/>
    <col min="19" max="19" width="14.6640625" style="693" bestFit="1" customWidth="1"/>
    <col min="20" max="20" width="1.88671875" style="693" customWidth="1"/>
    <col min="21" max="21" width="17.33203125" style="693" bestFit="1" customWidth="1"/>
    <col min="22" max="22" width="0" style="693" hidden="1" customWidth="1" outlineLevel="1"/>
    <col min="23" max="23" width="12" style="693" collapsed="1"/>
    <col min="24" max="16384" width="12" style="693"/>
  </cols>
  <sheetData>
    <row r="1" spans="1:22" ht="15.6" x14ac:dyDescent="0.3">
      <c r="A1" s="691" t="s">
        <v>659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2"/>
    </row>
    <row r="2" spans="1:22" ht="15.6" x14ac:dyDescent="0.3">
      <c r="A2" s="691" t="s">
        <v>0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1"/>
      <c r="U2" s="691"/>
      <c r="V2" s="692"/>
    </row>
    <row r="3" spans="1:22" ht="15.6" x14ac:dyDescent="0.3">
      <c r="A3" s="691"/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2"/>
    </row>
    <row r="4" spans="1:22" ht="15.6" x14ac:dyDescent="0.3">
      <c r="A4" s="691" t="s">
        <v>921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691"/>
      <c r="V4" s="692"/>
    </row>
    <row r="5" spans="1:22" ht="15.6" x14ac:dyDescent="0.3">
      <c r="A5" s="691" t="s">
        <v>842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2"/>
    </row>
    <row r="6" spans="1:22" ht="15.6" x14ac:dyDescent="0.3">
      <c r="A6" s="691"/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691"/>
      <c r="O6" s="691"/>
      <c r="P6" s="691"/>
      <c r="Q6" s="691"/>
      <c r="R6" s="691"/>
      <c r="S6" s="691"/>
      <c r="T6" s="691"/>
      <c r="U6" s="691"/>
      <c r="V6" s="692"/>
    </row>
    <row r="7" spans="1:22" ht="15.6" x14ac:dyDescent="0.3">
      <c r="A7" s="694"/>
      <c r="B7" s="695"/>
      <c r="C7" s="695"/>
      <c r="D7" s="695"/>
      <c r="E7" s="696"/>
      <c r="F7" s="695"/>
      <c r="G7" s="695"/>
      <c r="H7" s="695"/>
      <c r="I7" s="697"/>
      <c r="J7" s="695"/>
      <c r="K7" s="695"/>
      <c r="L7" s="695"/>
      <c r="M7" s="698"/>
      <c r="N7" s="698"/>
      <c r="O7" s="698"/>
      <c r="P7" s="698"/>
      <c r="V7" s="692"/>
    </row>
    <row r="8" spans="1:22" ht="15.6" x14ac:dyDescent="0.3">
      <c r="A8" s="692"/>
      <c r="B8" s="700"/>
      <c r="C8" s="701"/>
      <c r="D8" s="702"/>
      <c r="E8" s="703" t="s">
        <v>661</v>
      </c>
      <c r="F8" s="702"/>
      <c r="G8" s="702"/>
      <c r="H8" s="702"/>
      <c r="I8" s="704" t="s">
        <v>662</v>
      </c>
      <c r="J8" s="702"/>
      <c r="K8" s="702" t="s">
        <v>663</v>
      </c>
      <c r="L8" s="702"/>
      <c r="M8" s="705" t="s">
        <v>664</v>
      </c>
      <c r="N8" s="705"/>
      <c r="O8" s="705"/>
      <c r="P8" s="705"/>
      <c r="Q8" s="706" t="s">
        <v>665</v>
      </c>
      <c r="R8" s="707"/>
      <c r="S8" s="707"/>
      <c r="T8" s="708"/>
      <c r="U8" s="702" t="s">
        <v>666</v>
      </c>
      <c r="V8" s="692"/>
    </row>
    <row r="9" spans="1:22" ht="15.6" x14ac:dyDescent="0.3">
      <c r="A9" s="692"/>
      <c r="B9" s="700"/>
      <c r="C9" s="702"/>
      <c r="D9" s="702"/>
      <c r="E9" s="703" t="s">
        <v>667</v>
      </c>
      <c r="F9" s="702"/>
      <c r="G9" s="702" t="s">
        <v>668</v>
      </c>
      <c r="H9" s="702"/>
      <c r="I9" s="704" t="s">
        <v>669</v>
      </c>
      <c r="J9" s="702"/>
      <c r="K9" s="702" t="s">
        <v>670</v>
      </c>
      <c r="L9" s="702"/>
      <c r="M9" s="705" t="s">
        <v>164</v>
      </c>
      <c r="N9" s="705"/>
      <c r="O9" s="705" t="s">
        <v>671</v>
      </c>
      <c r="P9" s="705"/>
      <c r="Q9" s="709" t="s">
        <v>672</v>
      </c>
      <c r="R9" s="710"/>
      <c r="S9" s="711" t="s">
        <v>673</v>
      </c>
      <c r="T9" s="708"/>
      <c r="U9" s="702" t="s">
        <v>674</v>
      </c>
      <c r="V9" s="692"/>
    </row>
    <row r="10" spans="1:22" ht="15.6" x14ac:dyDescent="0.3">
      <c r="A10" s="692"/>
      <c r="B10" s="700"/>
      <c r="C10" s="702" t="s">
        <v>129</v>
      </c>
      <c r="D10" s="702"/>
      <c r="E10" s="712" t="s">
        <v>675</v>
      </c>
      <c r="F10" s="702"/>
      <c r="G10" s="702" t="s">
        <v>676</v>
      </c>
      <c r="H10" s="702"/>
      <c r="I10" s="704" t="s">
        <v>677</v>
      </c>
      <c r="J10" s="702"/>
      <c r="K10" s="713" t="s">
        <v>843</v>
      </c>
      <c r="L10" s="702"/>
      <c r="M10" s="705" t="s">
        <v>678</v>
      </c>
      <c r="N10" s="705"/>
      <c r="O10" s="705" t="s">
        <v>679</v>
      </c>
      <c r="P10" s="705"/>
      <c r="Q10" s="705" t="s">
        <v>633</v>
      </c>
      <c r="R10" s="702"/>
      <c r="S10" s="701" t="s">
        <v>135</v>
      </c>
      <c r="T10" s="708"/>
      <c r="U10" s="702" t="s">
        <v>680</v>
      </c>
      <c r="V10" s="692"/>
    </row>
    <row r="11" spans="1:22" ht="15.6" x14ac:dyDescent="0.3">
      <c r="A11" s="692"/>
      <c r="B11" s="700"/>
      <c r="C11" s="709">
        <v>-1</v>
      </c>
      <c r="D11" s="714"/>
      <c r="E11" s="709">
        <v>-2</v>
      </c>
      <c r="F11" s="714"/>
      <c r="G11" s="715">
        <v>-3</v>
      </c>
      <c r="H11" s="714"/>
      <c r="I11" s="709">
        <v>-4</v>
      </c>
      <c r="J11" s="714"/>
      <c r="K11" s="709">
        <v>-5</v>
      </c>
      <c r="L11" s="705"/>
      <c r="M11" s="709">
        <v>-6</v>
      </c>
      <c r="N11" s="705"/>
      <c r="O11" s="709">
        <v>-7</v>
      </c>
      <c r="Q11" s="709">
        <v>-8</v>
      </c>
      <c r="R11" s="714"/>
      <c r="S11" s="716" t="s">
        <v>681</v>
      </c>
      <c r="U11" s="716" t="s">
        <v>682</v>
      </c>
      <c r="V11" s="692"/>
    </row>
    <row r="12" spans="1:22" ht="15.6" x14ac:dyDescent="0.3">
      <c r="A12" s="692"/>
      <c r="B12" s="700"/>
      <c r="C12" s="714"/>
      <c r="D12" s="714"/>
      <c r="E12" s="714"/>
      <c r="F12" s="714"/>
      <c r="G12" s="714"/>
      <c r="H12" s="714"/>
      <c r="I12" s="704"/>
      <c r="J12" s="714"/>
      <c r="K12" s="714"/>
      <c r="L12" s="714"/>
      <c r="M12" s="705"/>
      <c r="N12" s="705"/>
      <c r="O12" s="705"/>
      <c r="P12" s="705"/>
      <c r="Q12" s="705"/>
      <c r="R12" s="714"/>
      <c r="S12" s="714"/>
      <c r="U12" s="714"/>
      <c r="V12" s="692"/>
    </row>
    <row r="13" spans="1:22" ht="15.6" x14ac:dyDescent="0.3">
      <c r="A13" s="692"/>
      <c r="B13" s="700"/>
      <c r="C13" s="717" t="s">
        <v>0</v>
      </c>
      <c r="D13" s="714"/>
      <c r="E13" s="714"/>
      <c r="F13" s="714"/>
      <c r="G13" s="714"/>
      <c r="H13" s="714"/>
      <c r="I13" s="704"/>
      <c r="J13" s="714"/>
      <c r="K13" s="714"/>
      <c r="L13" s="714"/>
      <c r="M13" s="705"/>
      <c r="N13" s="705"/>
      <c r="O13" s="705"/>
      <c r="P13" s="705"/>
      <c r="Q13" s="705"/>
      <c r="R13" s="714"/>
      <c r="S13" s="714"/>
      <c r="U13" s="714"/>
      <c r="V13" s="692"/>
    </row>
    <row r="14" spans="1:22" ht="15.6" x14ac:dyDescent="0.3">
      <c r="A14" s="692"/>
      <c r="B14" s="700"/>
      <c r="C14" s="714"/>
      <c r="D14" s="714"/>
      <c r="E14" s="714"/>
      <c r="F14" s="714"/>
      <c r="G14" s="714"/>
      <c r="H14" s="714"/>
      <c r="I14" s="704"/>
      <c r="J14" s="714"/>
      <c r="K14" s="714"/>
      <c r="L14" s="714"/>
      <c r="M14" s="705"/>
      <c r="N14" s="705"/>
      <c r="O14" s="705"/>
      <c r="P14" s="705"/>
      <c r="Q14" s="705"/>
      <c r="R14" s="714"/>
      <c r="S14" s="714"/>
      <c r="U14" s="714"/>
      <c r="V14" s="692"/>
    </row>
    <row r="15" spans="1:22" ht="15.6" x14ac:dyDescent="0.3">
      <c r="A15" s="692"/>
      <c r="C15" s="701" t="s">
        <v>75</v>
      </c>
      <c r="G15" s="708"/>
      <c r="I15" s="719"/>
      <c r="K15" s="216"/>
      <c r="L15" s="720"/>
      <c r="M15" s="721"/>
      <c r="N15" s="721"/>
      <c r="O15" s="721"/>
      <c r="P15" s="721"/>
      <c r="Q15" s="721"/>
      <c r="R15" s="720"/>
      <c r="S15" s="722"/>
      <c r="U15" s="720"/>
      <c r="V15" s="692"/>
    </row>
    <row r="16" spans="1:22" x14ac:dyDescent="0.25">
      <c r="A16" s="723"/>
      <c r="B16" s="723"/>
      <c r="C16" s="724"/>
      <c r="D16" s="723"/>
      <c r="E16" s="708"/>
      <c r="F16" s="723"/>
      <c r="G16" s="708"/>
      <c r="H16" s="723"/>
      <c r="I16" s="719"/>
      <c r="J16" s="723"/>
      <c r="K16" s="216"/>
      <c r="L16" s="725"/>
      <c r="M16" s="726"/>
      <c r="N16" s="726"/>
      <c r="O16" s="726"/>
      <c r="P16" s="726"/>
      <c r="Q16" s="726"/>
      <c r="R16" s="725"/>
      <c r="S16" s="725"/>
      <c r="T16" s="723"/>
      <c r="U16" s="725"/>
      <c r="V16" s="723"/>
    </row>
    <row r="17" spans="1:22" x14ac:dyDescent="0.25">
      <c r="A17" s="727">
        <v>389.1</v>
      </c>
      <c r="B17" s="723"/>
      <c r="C17" s="728" t="s">
        <v>728</v>
      </c>
      <c r="D17" s="723"/>
      <c r="E17" s="708" t="s">
        <v>721</v>
      </c>
      <c r="F17" s="723"/>
      <c r="G17" s="708" t="s">
        <v>729</v>
      </c>
      <c r="H17" s="723"/>
      <c r="I17" s="719">
        <v>0</v>
      </c>
      <c r="J17" s="723"/>
      <c r="K17" s="216">
        <v>14082567.58</v>
      </c>
      <c r="L17" s="725"/>
      <c r="M17" s="726">
        <v>1627420.52</v>
      </c>
      <c r="N17" s="726"/>
      <c r="O17" s="726">
        <v>12455147</v>
      </c>
      <c r="P17" s="726"/>
      <c r="Q17" s="726">
        <v>231681</v>
      </c>
      <c r="R17" s="725"/>
      <c r="S17" s="729">
        <v>1.65</v>
      </c>
      <c r="T17" s="723"/>
      <c r="U17" s="730">
        <v>53.8</v>
      </c>
      <c r="V17" s="723">
        <f>Q17/K17</f>
        <v>1.6451616417522633E-2</v>
      </c>
    </row>
    <row r="18" spans="1:22" x14ac:dyDescent="0.25">
      <c r="A18" s="723"/>
      <c r="B18" s="723"/>
      <c r="C18" s="731"/>
      <c r="D18" s="723"/>
      <c r="E18" s="708"/>
      <c r="F18" s="723"/>
      <c r="G18" s="708"/>
      <c r="H18" s="723"/>
      <c r="I18" s="719"/>
      <c r="J18" s="723"/>
      <c r="K18" s="216"/>
      <c r="L18" s="725"/>
      <c r="M18" s="726"/>
      <c r="N18" s="726"/>
      <c r="O18" s="726"/>
      <c r="P18" s="726"/>
      <c r="Q18" s="726"/>
      <c r="R18" s="725"/>
      <c r="S18" s="725"/>
      <c r="T18" s="723"/>
      <c r="U18" s="725"/>
      <c r="V18" s="723"/>
    </row>
    <row r="19" spans="1:22" x14ac:dyDescent="0.25">
      <c r="A19" s="732">
        <v>390</v>
      </c>
      <c r="C19" s="728" t="s">
        <v>424</v>
      </c>
      <c r="D19" s="723"/>
      <c r="E19" s="708"/>
      <c r="F19" s="723"/>
      <c r="G19" s="733"/>
      <c r="H19" s="723"/>
      <c r="I19" s="719"/>
      <c r="J19" s="723"/>
      <c r="K19" s="216"/>
      <c r="L19" s="725"/>
      <c r="M19" s="726"/>
      <c r="N19" s="726"/>
      <c r="O19" s="726"/>
      <c r="P19" s="726"/>
      <c r="Q19" s="726"/>
      <c r="R19" s="734"/>
      <c r="S19" s="732"/>
      <c r="T19" s="718"/>
      <c r="U19" s="735"/>
      <c r="V19" s="723"/>
    </row>
    <row r="20" spans="1:22" x14ac:dyDescent="0.25">
      <c r="A20" s="732"/>
      <c r="C20" s="736" t="s">
        <v>425</v>
      </c>
      <c r="D20" s="723"/>
      <c r="E20" s="737">
        <v>50586</v>
      </c>
      <c r="F20" s="723"/>
      <c r="G20" s="733" t="s">
        <v>922</v>
      </c>
      <c r="H20" s="738" t="s">
        <v>685</v>
      </c>
      <c r="I20" s="719">
        <v>-5</v>
      </c>
      <c r="J20" s="723"/>
      <c r="K20" s="216">
        <v>25949969.489999998</v>
      </c>
      <c r="L20" s="725"/>
      <c r="M20" s="726">
        <v>11448503.359999999</v>
      </c>
      <c r="N20" s="726"/>
      <c r="O20" s="726">
        <v>15798965</v>
      </c>
      <c r="P20" s="726"/>
      <c r="Q20" s="726">
        <v>764997</v>
      </c>
      <c r="R20" s="734"/>
      <c r="S20" s="732">
        <v>2.95</v>
      </c>
      <c r="T20" s="718"/>
      <c r="U20" s="735">
        <v>20.7</v>
      </c>
      <c r="V20" s="723">
        <f>Q20/K20</f>
        <v>2.9479687839124316E-2</v>
      </c>
    </row>
    <row r="21" spans="1:22" x14ac:dyDescent="0.25">
      <c r="A21" s="732"/>
      <c r="C21" s="728" t="s">
        <v>426</v>
      </c>
      <c r="D21" s="723"/>
      <c r="E21" s="737">
        <v>58256</v>
      </c>
      <c r="F21" s="723"/>
      <c r="G21" s="733" t="s">
        <v>922</v>
      </c>
      <c r="H21" s="738" t="s">
        <v>685</v>
      </c>
      <c r="I21" s="719">
        <v>-5</v>
      </c>
      <c r="J21" s="723"/>
      <c r="K21" s="216">
        <v>18065002.23</v>
      </c>
      <c r="L21" s="725"/>
      <c r="M21" s="726">
        <v>6095742.4900000002</v>
      </c>
      <c r="N21" s="726"/>
      <c r="O21" s="726">
        <v>12872510</v>
      </c>
      <c r="P21" s="726"/>
      <c r="Q21" s="726">
        <v>338741</v>
      </c>
      <c r="R21" s="734"/>
      <c r="S21" s="732">
        <v>1.88</v>
      </c>
      <c r="T21" s="718"/>
      <c r="U21" s="735">
        <v>38</v>
      </c>
      <c r="V21" s="723">
        <f t="shared" ref="V21:V22" si="0">Q21/K21</f>
        <v>1.8751229348727291E-2</v>
      </c>
    </row>
    <row r="22" spans="1:22" x14ac:dyDescent="0.25">
      <c r="A22" s="732"/>
      <c r="C22" s="728" t="s">
        <v>427</v>
      </c>
      <c r="D22" s="723"/>
      <c r="E22" s="737" t="s">
        <v>721</v>
      </c>
      <c r="F22" s="723"/>
      <c r="G22" s="733" t="s">
        <v>922</v>
      </c>
      <c r="H22" s="738"/>
      <c r="I22" s="719">
        <v>-5</v>
      </c>
      <c r="J22" s="723"/>
      <c r="K22" s="212">
        <v>45026876.399999999</v>
      </c>
      <c r="L22" s="725"/>
      <c r="M22" s="739">
        <v>20435306.899999999</v>
      </c>
      <c r="N22" s="726"/>
      <c r="O22" s="739">
        <v>26842913</v>
      </c>
      <c r="P22" s="726"/>
      <c r="Q22" s="739">
        <v>578539</v>
      </c>
      <c r="R22" s="734"/>
      <c r="S22" s="732">
        <v>1.28</v>
      </c>
      <c r="T22" s="718"/>
      <c r="U22" s="735">
        <v>46.4</v>
      </c>
      <c r="V22" s="723">
        <f t="shared" si="0"/>
        <v>1.2848748264492093E-2</v>
      </c>
    </row>
    <row r="23" spans="1:22" x14ac:dyDescent="0.25">
      <c r="A23" s="732"/>
      <c r="C23" s="728"/>
      <c r="D23" s="723"/>
      <c r="E23" s="737"/>
      <c r="F23" s="723"/>
      <c r="G23" s="733"/>
      <c r="H23" s="738"/>
      <c r="I23" s="719"/>
      <c r="J23" s="723"/>
      <c r="K23" s="209"/>
      <c r="L23" s="725"/>
      <c r="M23" s="740"/>
      <c r="N23" s="726"/>
      <c r="O23" s="740"/>
      <c r="P23" s="726"/>
      <c r="Q23" s="740"/>
      <c r="R23" s="734"/>
      <c r="S23" s="732"/>
      <c r="T23" s="718"/>
      <c r="U23" s="735"/>
      <c r="V23" s="723"/>
    </row>
    <row r="24" spans="1:22" ht="15.6" x14ac:dyDescent="0.3">
      <c r="A24" s="732"/>
      <c r="C24" s="741" t="s">
        <v>428</v>
      </c>
      <c r="D24" s="723"/>
      <c r="E24" s="708"/>
      <c r="F24" s="723"/>
      <c r="G24" s="733"/>
      <c r="H24" s="723"/>
      <c r="I24" s="719"/>
      <c r="J24" s="723"/>
      <c r="K24" s="209">
        <f>SUBTOTAL(9,K20:K22)</f>
        <v>89041848.120000005</v>
      </c>
      <c r="L24" s="725"/>
      <c r="M24" s="211">
        <f>SUBTOTAL(9,M20:M22)</f>
        <v>37979552.75</v>
      </c>
      <c r="N24" s="726"/>
      <c r="O24" s="211">
        <f>SUBTOTAL(9,O20:O22)</f>
        <v>55514388</v>
      </c>
      <c r="P24" s="726"/>
      <c r="Q24" s="211">
        <f>SUBTOTAL(9,Q20:Q22)</f>
        <v>1682277</v>
      </c>
      <c r="R24" s="734"/>
      <c r="S24" s="742">
        <f>+ROUND(Q24/K24*100,2)</f>
        <v>1.89</v>
      </c>
      <c r="T24" s="743"/>
      <c r="U24" s="744">
        <f>+ROUND(O24/Q24,1)</f>
        <v>33</v>
      </c>
      <c r="V24" s="723">
        <f>Q24/K24</f>
        <v>1.8893105158069353E-2</v>
      </c>
    </row>
    <row r="25" spans="1:22" x14ac:dyDescent="0.25">
      <c r="A25" s="732"/>
      <c r="C25" s="728"/>
      <c r="D25" s="723"/>
      <c r="E25" s="708"/>
      <c r="F25" s="723"/>
      <c r="G25" s="733"/>
      <c r="H25" s="738"/>
      <c r="I25" s="719"/>
      <c r="J25" s="723"/>
      <c r="K25" s="216"/>
      <c r="L25" s="725"/>
      <c r="M25" s="726"/>
      <c r="N25" s="726"/>
      <c r="O25" s="726"/>
      <c r="P25" s="726"/>
      <c r="Q25" s="726"/>
      <c r="R25" s="734"/>
      <c r="S25" s="732"/>
      <c r="T25" s="718"/>
      <c r="U25" s="735"/>
      <c r="V25" s="723"/>
    </row>
    <row r="26" spans="1:22" x14ac:dyDescent="0.25">
      <c r="A26" s="727">
        <v>391.1</v>
      </c>
      <c r="B26" s="745"/>
      <c r="C26" s="728" t="s">
        <v>429</v>
      </c>
      <c r="D26" s="723"/>
      <c r="E26" s="737"/>
      <c r="F26" s="723"/>
      <c r="G26" s="733" t="s">
        <v>710</v>
      </c>
      <c r="H26" s="738"/>
      <c r="I26" s="719">
        <v>0</v>
      </c>
      <c r="J26" s="723"/>
      <c r="K26" s="216">
        <v>21112177.850000001</v>
      </c>
      <c r="L26" s="725"/>
      <c r="M26" s="726">
        <v>9489789</v>
      </c>
      <c r="N26" s="726"/>
      <c r="O26" s="726">
        <v>11622389</v>
      </c>
      <c r="P26" s="726"/>
      <c r="Q26" s="726">
        <v>1056660</v>
      </c>
      <c r="R26" s="734"/>
      <c r="S26" s="732">
        <v>5</v>
      </c>
      <c r="T26" s="718"/>
      <c r="U26" s="735">
        <v>11</v>
      </c>
      <c r="V26" s="723">
        <f>Q26/K26</f>
        <v>5.0049786786918335E-2</v>
      </c>
    </row>
    <row r="27" spans="1:22" x14ac:dyDescent="0.25">
      <c r="A27" s="727"/>
      <c r="B27" s="745"/>
      <c r="C27" s="728"/>
      <c r="D27" s="723"/>
      <c r="E27" s="708"/>
      <c r="F27" s="723"/>
      <c r="G27" s="733"/>
      <c r="H27" s="738"/>
      <c r="I27" s="719"/>
      <c r="J27" s="723"/>
      <c r="K27" s="216"/>
      <c r="L27" s="725"/>
      <c r="M27" s="726"/>
      <c r="N27" s="726"/>
      <c r="O27" s="726"/>
      <c r="P27" s="726"/>
      <c r="Q27" s="726"/>
      <c r="R27" s="734"/>
      <c r="S27" s="732"/>
      <c r="T27" s="718"/>
      <c r="U27" s="735"/>
      <c r="V27" s="723"/>
    </row>
    <row r="28" spans="1:22" x14ac:dyDescent="0.25">
      <c r="A28" s="727">
        <v>391.2</v>
      </c>
      <c r="B28" s="745"/>
      <c r="C28" s="728" t="s">
        <v>430</v>
      </c>
      <c r="D28" s="723"/>
      <c r="E28" s="737"/>
      <c r="F28" s="723"/>
      <c r="G28" s="733" t="s">
        <v>711</v>
      </c>
      <c r="H28" s="738"/>
      <c r="I28" s="719">
        <v>0</v>
      </c>
      <c r="J28" s="723"/>
      <c r="K28" s="209">
        <v>63265264.670000002</v>
      </c>
      <c r="L28" s="746"/>
      <c r="M28" s="740">
        <v>29820000</v>
      </c>
      <c r="N28" s="740"/>
      <c r="O28" s="740">
        <v>33445265</v>
      </c>
      <c r="P28" s="740"/>
      <c r="Q28" s="740">
        <v>12654748</v>
      </c>
      <c r="R28" s="747"/>
      <c r="S28" s="732">
        <v>20</v>
      </c>
      <c r="T28" s="718"/>
      <c r="U28" s="735">
        <v>2.6</v>
      </c>
      <c r="V28" s="723">
        <f>Q28/K28</f>
        <v>0.20002679299626488</v>
      </c>
    </row>
    <row r="30" spans="1:22" x14ac:dyDescent="0.25">
      <c r="A30" s="727">
        <v>392</v>
      </c>
      <c r="B30" s="745"/>
      <c r="C30" s="736" t="s">
        <v>431</v>
      </c>
      <c r="D30" s="723"/>
      <c r="E30" s="737"/>
      <c r="F30" s="723"/>
      <c r="G30" s="733" t="s">
        <v>712</v>
      </c>
      <c r="H30" s="738"/>
      <c r="I30" s="719">
        <v>10</v>
      </c>
      <c r="J30" s="723"/>
      <c r="K30" s="216">
        <v>4200662.92</v>
      </c>
      <c r="L30" s="725"/>
      <c r="M30" s="726">
        <v>3393820</v>
      </c>
      <c r="N30" s="726"/>
      <c r="O30" s="726">
        <v>386777</v>
      </c>
      <c r="P30" s="726"/>
      <c r="Q30" s="726">
        <v>60171</v>
      </c>
      <c r="R30" s="734"/>
      <c r="S30" s="732">
        <v>1.43</v>
      </c>
      <c r="T30" s="718"/>
      <c r="U30" s="735">
        <v>6.4</v>
      </c>
      <c r="V30" s="723">
        <f t="shared" ref="V30:V33" si="1">Q30/K30</f>
        <v>1.4324167672087338E-2</v>
      </c>
    </row>
    <row r="31" spans="1:22" x14ac:dyDescent="0.25">
      <c r="A31" s="727">
        <v>393</v>
      </c>
      <c r="B31" s="745"/>
      <c r="C31" s="736" t="s">
        <v>432</v>
      </c>
      <c r="D31" s="723"/>
      <c r="E31" s="737"/>
      <c r="F31" s="723"/>
      <c r="G31" s="733" t="s">
        <v>710</v>
      </c>
      <c r="H31" s="738"/>
      <c r="I31" s="719">
        <v>0</v>
      </c>
      <c r="J31" s="723"/>
      <c r="K31" s="216">
        <v>92575.77</v>
      </c>
      <c r="L31" s="725"/>
      <c r="M31" s="726">
        <v>40154</v>
      </c>
      <c r="N31" s="726"/>
      <c r="O31" s="726">
        <v>52422</v>
      </c>
      <c r="P31" s="726"/>
      <c r="Q31" s="726">
        <v>4629</v>
      </c>
      <c r="R31" s="734"/>
      <c r="S31" s="732">
        <v>5</v>
      </c>
      <c r="T31" s="718"/>
      <c r="U31" s="735">
        <v>11.3</v>
      </c>
      <c r="V31" s="723">
        <f t="shared" si="1"/>
        <v>5.0002284615078003E-2</v>
      </c>
    </row>
    <row r="32" spans="1:22" x14ac:dyDescent="0.25">
      <c r="A32" s="727">
        <v>394</v>
      </c>
      <c r="B32" s="745"/>
      <c r="C32" s="728" t="s">
        <v>433</v>
      </c>
      <c r="D32" s="723"/>
      <c r="E32" s="737"/>
      <c r="F32" s="723"/>
      <c r="G32" s="733" t="s">
        <v>710</v>
      </c>
      <c r="H32" s="738"/>
      <c r="I32" s="719">
        <v>0</v>
      </c>
      <c r="J32" s="723"/>
      <c r="K32" s="216">
        <v>1586280.5</v>
      </c>
      <c r="L32" s="725"/>
      <c r="M32" s="726">
        <v>530000</v>
      </c>
      <c r="N32" s="726"/>
      <c r="O32" s="726">
        <v>1056280</v>
      </c>
      <c r="P32" s="726"/>
      <c r="Q32" s="726">
        <v>79245</v>
      </c>
      <c r="R32" s="734"/>
      <c r="S32" s="732">
        <v>5</v>
      </c>
      <c r="T32" s="718"/>
      <c r="U32" s="735">
        <v>13.3</v>
      </c>
      <c r="V32" s="723">
        <f t="shared" si="1"/>
        <v>4.9956486258262649E-2</v>
      </c>
    </row>
    <row r="33" spans="1:22" x14ac:dyDescent="0.25">
      <c r="A33" s="727">
        <v>396</v>
      </c>
      <c r="B33" s="723"/>
      <c r="C33" s="736" t="s">
        <v>434</v>
      </c>
      <c r="D33" s="723"/>
      <c r="E33" s="737"/>
      <c r="F33" s="723"/>
      <c r="G33" s="733" t="s">
        <v>713</v>
      </c>
      <c r="H33" s="738"/>
      <c r="I33" s="719">
        <v>10</v>
      </c>
      <c r="J33" s="723"/>
      <c r="K33" s="216">
        <v>405180.32</v>
      </c>
      <c r="L33" s="725"/>
      <c r="M33" s="726">
        <v>274569</v>
      </c>
      <c r="N33" s="726"/>
      <c r="O33" s="726">
        <v>90093</v>
      </c>
      <c r="P33" s="726"/>
      <c r="Q33" s="726">
        <v>11506</v>
      </c>
      <c r="R33" s="734"/>
      <c r="S33" s="732">
        <v>2.84</v>
      </c>
      <c r="T33" s="509"/>
      <c r="U33" s="735">
        <v>7.8</v>
      </c>
      <c r="V33" s="723">
        <f t="shared" si="1"/>
        <v>2.8397233113395044E-2</v>
      </c>
    </row>
    <row r="34" spans="1:22" x14ac:dyDescent="0.25">
      <c r="A34" s="727"/>
      <c r="B34" s="723"/>
      <c r="C34" s="736"/>
      <c r="D34" s="723"/>
      <c r="E34" s="708"/>
      <c r="F34" s="723"/>
      <c r="G34" s="733"/>
      <c r="H34" s="738"/>
      <c r="I34" s="719"/>
      <c r="J34" s="723"/>
      <c r="K34" s="216"/>
      <c r="L34" s="725"/>
      <c r="M34" s="726"/>
      <c r="N34" s="726"/>
      <c r="O34" s="726"/>
      <c r="P34" s="726"/>
      <c r="Q34" s="726"/>
      <c r="R34" s="734"/>
      <c r="S34" s="732"/>
      <c r="T34" s="718"/>
      <c r="U34" s="735"/>
      <c r="V34" s="723"/>
    </row>
    <row r="35" spans="1:22" x14ac:dyDescent="0.25">
      <c r="A35" s="727">
        <v>397</v>
      </c>
      <c r="B35" s="745"/>
      <c r="C35" s="736" t="s">
        <v>440</v>
      </c>
      <c r="D35" s="723"/>
      <c r="E35" s="708"/>
      <c r="F35" s="723"/>
      <c r="G35" s="733"/>
      <c r="H35" s="723"/>
      <c r="I35" s="719"/>
      <c r="J35" s="723"/>
      <c r="K35" s="216"/>
      <c r="L35" s="725"/>
      <c r="M35" s="740"/>
      <c r="N35" s="726"/>
      <c r="O35" s="726"/>
      <c r="P35" s="726"/>
      <c r="Q35" s="726"/>
      <c r="R35" s="734"/>
      <c r="S35" s="732"/>
      <c r="T35" s="718"/>
      <c r="U35" s="735"/>
      <c r="V35" s="723"/>
    </row>
    <row r="36" spans="1:22" x14ac:dyDescent="0.25">
      <c r="A36" s="727"/>
      <c r="B36" s="745"/>
      <c r="C36" s="736" t="s">
        <v>436</v>
      </c>
      <c r="D36" s="723"/>
      <c r="E36" s="737"/>
      <c r="F36" s="723"/>
      <c r="G36" s="733" t="s">
        <v>709</v>
      </c>
      <c r="H36" s="723"/>
      <c r="I36" s="719"/>
      <c r="J36" s="723"/>
      <c r="K36" s="216">
        <v>21530076.079999998</v>
      </c>
      <c r="L36" s="725"/>
      <c r="M36" s="726">
        <v>17976165.68</v>
      </c>
      <c r="N36" s="726"/>
      <c r="O36" s="726">
        <v>3553910</v>
      </c>
      <c r="P36" s="726"/>
      <c r="Q36" s="726">
        <v>0</v>
      </c>
      <c r="R36" s="734"/>
      <c r="S36" s="508">
        <v>0</v>
      </c>
      <c r="T36" s="509"/>
      <c r="U36" s="508">
        <v>0</v>
      </c>
      <c r="V36" s="723"/>
    </row>
    <row r="37" spans="1:22" x14ac:dyDescent="0.25">
      <c r="A37" s="727"/>
      <c r="B37" s="745"/>
      <c r="C37" s="728" t="s">
        <v>437</v>
      </c>
      <c r="D37" s="723"/>
      <c r="E37" s="737"/>
      <c r="F37" s="723"/>
      <c r="G37" s="733" t="s">
        <v>714</v>
      </c>
      <c r="H37" s="738"/>
      <c r="I37" s="719">
        <v>0</v>
      </c>
      <c r="J37" s="723"/>
      <c r="K37" s="212">
        <v>63796965.93</v>
      </c>
      <c r="L37" s="725"/>
      <c r="M37" s="739">
        <v>20785000</v>
      </c>
      <c r="N37" s="726"/>
      <c r="O37" s="739">
        <v>43011966</v>
      </c>
      <c r="P37" s="726"/>
      <c r="Q37" s="739">
        <v>4252264</v>
      </c>
      <c r="R37" s="734"/>
      <c r="S37" s="732">
        <v>6.67</v>
      </c>
      <c r="T37" s="718"/>
      <c r="U37" s="735">
        <v>10.1</v>
      </c>
      <c r="V37" s="723">
        <f>Q37/K37</f>
        <v>6.6653075706855955E-2</v>
      </c>
    </row>
    <row r="38" spans="1:22" x14ac:dyDescent="0.25">
      <c r="A38" s="727"/>
      <c r="B38" s="745"/>
      <c r="C38" s="728"/>
      <c r="D38" s="723"/>
      <c r="E38" s="737"/>
      <c r="F38" s="723"/>
      <c r="G38" s="733"/>
      <c r="H38" s="738"/>
      <c r="I38" s="719"/>
      <c r="J38" s="723"/>
      <c r="K38" s="209"/>
      <c r="L38" s="725"/>
      <c r="M38" s="740"/>
      <c r="N38" s="726"/>
      <c r="O38" s="740"/>
      <c r="P38" s="726"/>
      <c r="Q38" s="740"/>
      <c r="R38" s="734"/>
      <c r="S38" s="732"/>
      <c r="T38" s="718"/>
      <c r="U38" s="735"/>
      <c r="V38" s="723"/>
    </row>
    <row r="39" spans="1:22" ht="15.6" x14ac:dyDescent="0.3">
      <c r="A39" s="727"/>
      <c r="B39" s="745"/>
      <c r="C39" s="741" t="s">
        <v>722</v>
      </c>
      <c r="D39" s="723"/>
      <c r="E39" s="708"/>
      <c r="F39" s="723"/>
      <c r="G39" s="733"/>
      <c r="H39" s="723"/>
      <c r="I39" s="719"/>
      <c r="J39" s="723"/>
      <c r="K39" s="216">
        <f>SUBTOTAL(9,K36:K37)</f>
        <v>85327042.00999999</v>
      </c>
      <c r="L39" s="725"/>
      <c r="M39" s="218">
        <f>SUBTOTAL(9,M36:M37)</f>
        <v>38761165.68</v>
      </c>
      <c r="N39" s="726"/>
      <c r="O39" s="218">
        <f>SUBTOTAL(9,O36:O37)</f>
        <v>46565876</v>
      </c>
      <c r="P39" s="726"/>
      <c r="Q39" s="218">
        <f>SUBTOTAL(9,Q36:Q37)</f>
        <v>4252264</v>
      </c>
      <c r="R39" s="734"/>
      <c r="S39" s="742">
        <f>+ROUND(Q39/K39*100,2)</f>
        <v>4.9800000000000004</v>
      </c>
      <c r="T39" s="743"/>
      <c r="U39" s="744">
        <f>+ROUND(O39/Q39,1)</f>
        <v>11</v>
      </c>
      <c r="V39" s="723">
        <f>Q39/K39</f>
        <v>4.9834892899506017E-2</v>
      </c>
    </row>
    <row r="40" spans="1:22" x14ac:dyDescent="0.25">
      <c r="A40" s="727"/>
      <c r="B40" s="745"/>
      <c r="C40" s="736"/>
      <c r="D40" s="723"/>
      <c r="E40" s="708"/>
      <c r="F40" s="723"/>
      <c r="G40" s="733"/>
      <c r="H40" s="723"/>
      <c r="I40" s="719"/>
      <c r="J40" s="723"/>
      <c r="K40" s="216"/>
      <c r="L40" s="725"/>
      <c r="M40" s="726"/>
      <c r="N40" s="726"/>
      <c r="O40" s="726"/>
      <c r="P40" s="726"/>
      <c r="Q40" s="726"/>
      <c r="R40" s="734"/>
      <c r="S40" s="732"/>
      <c r="T40" s="718"/>
      <c r="U40" s="735"/>
      <c r="V40" s="723"/>
    </row>
    <row r="41" spans="1:22" x14ac:dyDescent="0.25">
      <c r="A41" s="727">
        <v>398</v>
      </c>
      <c r="B41" s="723"/>
      <c r="C41" s="736" t="s">
        <v>438</v>
      </c>
      <c r="E41" s="737"/>
      <c r="G41" s="733" t="s">
        <v>714</v>
      </c>
      <c r="H41" s="738"/>
      <c r="I41" s="719">
        <v>0</v>
      </c>
      <c r="J41" s="723"/>
      <c r="K41" s="212">
        <v>1051805.58</v>
      </c>
      <c r="L41" s="746"/>
      <c r="M41" s="739">
        <v>588500</v>
      </c>
      <c r="N41" s="740"/>
      <c r="O41" s="739">
        <v>463306</v>
      </c>
      <c r="P41" s="740"/>
      <c r="Q41" s="739">
        <v>70176</v>
      </c>
      <c r="R41" s="734"/>
      <c r="S41" s="732">
        <v>6.67</v>
      </c>
      <c r="T41" s="718"/>
      <c r="U41" s="735">
        <v>6.6</v>
      </c>
      <c r="V41" s="723">
        <f>Q41/K41</f>
        <v>6.6719554767906822E-2</v>
      </c>
    </row>
    <row r="42" spans="1:22" x14ac:dyDescent="0.25">
      <c r="A42" s="727"/>
      <c r="B42" s="723"/>
      <c r="C42" s="736"/>
      <c r="D42" s="723"/>
      <c r="E42" s="708"/>
      <c r="F42" s="723"/>
      <c r="G42" s="708"/>
      <c r="H42" s="723"/>
      <c r="I42" s="719"/>
      <c r="J42" s="723"/>
      <c r="K42" s="216"/>
      <c r="L42" s="725"/>
      <c r="M42" s="740"/>
      <c r="N42" s="726"/>
      <c r="O42" s="740"/>
      <c r="P42" s="726"/>
      <c r="Q42" s="740"/>
      <c r="R42" s="725"/>
      <c r="S42" s="725"/>
      <c r="T42" s="723"/>
      <c r="U42" s="725"/>
      <c r="V42" s="723"/>
    </row>
    <row r="43" spans="1:22" s="700" customFormat="1" ht="15.6" x14ac:dyDescent="0.3">
      <c r="A43" s="748"/>
      <c r="C43" s="749" t="s">
        <v>76</v>
      </c>
      <c r="E43" s="702"/>
      <c r="G43" s="702"/>
      <c r="I43" s="704"/>
      <c r="K43" s="214">
        <f>+SUBTOTAL(9,K17:K42)</f>
        <v>280165405.31999993</v>
      </c>
      <c r="L43" s="720"/>
      <c r="M43" s="215">
        <f>+SUBTOTAL(9,M17:M42)</f>
        <v>122504970.94999999</v>
      </c>
      <c r="N43" s="721"/>
      <c r="O43" s="215">
        <f>+SUBTOTAL(9,O17:O42)</f>
        <v>161651943</v>
      </c>
      <c r="P43" s="721"/>
      <c r="Q43" s="215">
        <f>+SUBTOTAL(9,Q17:Q42)</f>
        <v>20103357</v>
      </c>
      <c r="R43" s="720"/>
      <c r="S43" s="750">
        <f>ROUND(Q43/K43*100,2)</f>
        <v>7.18</v>
      </c>
      <c r="U43" s="720"/>
    </row>
    <row r="44" spans="1:22" x14ac:dyDescent="0.25">
      <c r="A44" s="727"/>
      <c r="B44" s="723"/>
      <c r="C44" s="736"/>
      <c r="D44" s="723"/>
      <c r="E44" s="708"/>
      <c r="F44" s="723"/>
      <c r="G44" s="708"/>
      <c r="H44" s="723"/>
      <c r="I44" s="719"/>
      <c r="J44" s="723"/>
      <c r="K44" s="216"/>
      <c r="L44" s="725"/>
      <c r="M44" s="740"/>
      <c r="N44" s="726"/>
      <c r="O44" s="740"/>
      <c r="P44" s="726"/>
      <c r="Q44" s="740"/>
      <c r="R44" s="725"/>
      <c r="S44" s="725"/>
      <c r="T44" s="723"/>
      <c r="U44" s="725"/>
      <c r="V44" s="723"/>
    </row>
    <row r="45" spans="1:22" x14ac:dyDescent="0.25">
      <c r="A45" s="727"/>
      <c r="B45" s="723"/>
      <c r="C45" s="736"/>
      <c r="D45" s="723"/>
      <c r="E45" s="708"/>
      <c r="F45" s="723"/>
      <c r="G45" s="708"/>
      <c r="H45" s="723"/>
      <c r="I45" s="719"/>
      <c r="J45" s="723"/>
      <c r="K45" s="216"/>
      <c r="L45" s="725"/>
      <c r="M45" s="740"/>
      <c r="N45" s="726"/>
      <c r="O45" s="740"/>
      <c r="P45" s="726"/>
      <c r="Q45" s="740"/>
      <c r="R45" s="725"/>
      <c r="S45" s="725"/>
      <c r="T45" s="723"/>
      <c r="U45" s="725"/>
      <c r="V45" s="723"/>
    </row>
    <row r="46" spans="1:22" ht="15.6" x14ac:dyDescent="0.3">
      <c r="A46" s="727"/>
      <c r="B46" s="723"/>
      <c r="C46" s="751" t="s">
        <v>439</v>
      </c>
      <c r="D46" s="723"/>
      <c r="E46" s="708"/>
      <c r="F46" s="723"/>
      <c r="G46" s="708"/>
      <c r="H46" s="723"/>
      <c r="I46" s="719"/>
      <c r="J46" s="723"/>
      <c r="K46" s="216"/>
      <c r="L46" s="725"/>
      <c r="M46" s="740"/>
      <c r="N46" s="726"/>
      <c r="O46" s="740"/>
      <c r="P46" s="726"/>
      <c r="Q46" s="740"/>
      <c r="R46" s="725"/>
      <c r="S46" s="725"/>
      <c r="T46" s="723"/>
      <c r="U46" s="725"/>
      <c r="V46" s="723"/>
    </row>
    <row r="47" spans="1:22" x14ac:dyDescent="0.25">
      <c r="A47" s="727"/>
      <c r="B47" s="723"/>
      <c r="C47" s="736"/>
      <c r="D47" s="723"/>
      <c r="E47" s="708"/>
      <c r="F47" s="723"/>
      <c r="G47" s="708"/>
      <c r="H47" s="723"/>
      <c r="I47" s="719"/>
      <c r="J47" s="723"/>
      <c r="K47" s="216"/>
      <c r="L47" s="725"/>
      <c r="M47" s="740"/>
      <c r="N47" s="726"/>
      <c r="O47" s="740"/>
      <c r="P47" s="726"/>
      <c r="Q47" s="740"/>
      <c r="R47" s="725"/>
      <c r="S47" s="725"/>
      <c r="T47" s="723"/>
      <c r="U47" s="725"/>
      <c r="V47" s="723"/>
    </row>
    <row r="48" spans="1:22" x14ac:dyDescent="0.25">
      <c r="A48" s="727">
        <v>391.1</v>
      </c>
      <c r="B48" s="723"/>
      <c r="C48" s="728" t="s">
        <v>429</v>
      </c>
      <c r="D48" s="723"/>
      <c r="E48" s="737"/>
      <c r="F48" s="723"/>
      <c r="G48" s="708"/>
      <c r="H48" s="723"/>
      <c r="I48" s="719"/>
      <c r="J48" s="723"/>
      <c r="K48" s="216"/>
      <c r="L48" s="725"/>
      <c r="M48" s="726">
        <v>-1584850.79</v>
      </c>
      <c r="N48" s="726"/>
      <c r="O48" s="740"/>
      <c r="P48" s="726"/>
      <c r="Q48" s="740">
        <f t="shared" ref="Q48:Q53" si="2">-M48/5</f>
        <v>316970.158</v>
      </c>
      <c r="R48" s="725" t="s">
        <v>726</v>
      </c>
      <c r="S48" s="725"/>
      <c r="T48" s="723"/>
      <c r="U48" s="725"/>
      <c r="V48" s="723"/>
    </row>
    <row r="49" spans="1:22" x14ac:dyDescent="0.25">
      <c r="A49" s="727">
        <v>391.2</v>
      </c>
      <c r="B49" s="723"/>
      <c r="C49" s="728" t="s">
        <v>430</v>
      </c>
      <c r="D49" s="723"/>
      <c r="E49" s="708"/>
      <c r="F49" s="723"/>
      <c r="G49" s="708"/>
      <c r="H49" s="723"/>
      <c r="I49" s="719"/>
      <c r="J49" s="723"/>
      <c r="K49" s="216"/>
      <c r="L49" s="725"/>
      <c r="M49" s="221">
        <v>755561.78000000899</v>
      </c>
      <c r="N49" s="726"/>
      <c r="O49" s="740"/>
      <c r="P49" s="726"/>
      <c r="Q49" s="740">
        <f t="shared" si="2"/>
        <v>-151112.3560000018</v>
      </c>
      <c r="R49" s="725" t="s">
        <v>726</v>
      </c>
      <c r="S49" s="725"/>
      <c r="T49" s="723"/>
      <c r="U49" s="725"/>
      <c r="V49" s="723"/>
    </row>
    <row r="50" spans="1:22" x14ac:dyDescent="0.25">
      <c r="A50" s="727">
        <v>393</v>
      </c>
      <c r="B50" s="723"/>
      <c r="C50" s="736" t="s">
        <v>432</v>
      </c>
      <c r="D50" s="723"/>
      <c r="E50" s="708"/>
      <c r="F50" s="723"/>
      <c r="G50" s="708"/>
      <c r="H50" s="723"/>
      <c r="I50" s="719"/>
      <c r="J50" s="723"/>
      <c r="K50" s="216"/>
      <c r="L50" s="725"/>
      <c r="M50" s="726">
        <v>-4413.25</v>
      </c>
      <c r="N50" s="726"/>
      <c r="O50" s="740"/>
      <c r="P50" s="726"/>
      <c r="Q50" s="740">
        <f t="shared" si="2"/>
        <v>882.65</v>
      </c>
      <c r="R50" s="725" t="s">
        <v>726</v>
      </c>
      <c r="S50" s="725"/>
      <c r="T50" s="723"/>
      <c r="U50" s="725"/>
      <c r="V50" s="723"/>
    </row>
    <row r="51" spans="1:22" x14ac:dyDescent="0.25">
      <c r="A51" s="727">
        <v>394</v>
      </c>
      <c r="B51" s="745"/>
      <c r="C51" s="728" t="s">
        <v>433</v>
      </c>
      <c r="D51" s="723"/>
      <c r="E51" s="708"/>
      <c r="F51" s="723"/>
      <c r="G51" s="708"/>
      <c r="H51" s="723"/>
      <c r="I51" s="719"/>
      <c r="J51" s="723"/>
      <c r="K51" s="216"/>
      <c r="L51" s="725"/>
      <c r="M51" s="502">
        <v>-94833.53</v>
      </c>
      <c r="N51" s="726"/>
      <c r="O51" s="740"/>
      <c r="P51" s="726"/>
      <c r="Q51" s="740">
        <f t="shared" si="2"/>
        <v>18966.705999999998</v>
      </c>
      <c r="R51" s="725" t="s">
        <v>726</v>
      </c>
      <c r="S51" s="725"/>
      <c r="T51" s="723"/>
      <c r="U51" s="725"/>
      <c r="V51" s="723"/>
    </row>
    <row r="52" spans="1:22" x14ac:dyDescent="0.25">
      <c r="A52" s="727">
        <v>397</v>
      </c>
      <c r="B52" s="723"/>
      <c r="C52" s="736" t="s">
        <v>440</v>
      </c>
      <c r="D52" s="723"/>
      <c r="E52" s="708"/>
      <c r="F52" s="723"/>
      <c r="G52" s="708"/>
      <c r="H52" s="723"/>
      <c r="I52" s="719"/>
      <c r="J52" s="723"/>
      <c r="K52" s="216"/>
      <c r="L52" s="725"/>
      <c r="M52" s="507">
        <v>-7368800.2199999802</v>
      </c>
      <c r="N52" s="726"/>
      <c r="O52" s="740"/>
      <c r="P52" s="726"/>
      <c r="Q52" s="740">
        <f t="shared" si="2"/>
        <v>1473760.043999996</v>
      </c>
      <c r="R52" s="725" t="s">
        <v>726</v>
      </c>
      <c r="S52" s="725"/>
      <c r="T52" s="723"/>
      <c r="U52" s="725"/>
      <c r="V52" s="723"/>
    </row>
    <row r="53" spans="1:22" x14ac:dyDescent="0.25">
      <c r="A53" s="727">
        <v>398</v>
      </c>
      <c r="B53" s="723"/>
      <c r="C53" s="736" t="s">
        <v>438</v>
      </c>
      <c r="D53" s="723"/>
      <c r="E53" s="708"/>
      <c r="F53" s="723"/>
      <c r="G53" s="708"/>
      <c r="H53" s="723"/>
      <c r="I53" s="719"/>
      <c r="J53" s="723"/>
      <c r="K53" s="216"/>
      <c r="L53" s="725"/>
      <c r="M53" s="506">
        <v>7992.8099999998203</v>
      </c>
      <c r="N53" s="726"/>
      <c r="O53" s="740"/>
      <c r="P53" s="726"/>
      <c r="Q53" s="739">
        <f t="shared" si="2"/>
        <v>-1598.561999999964</v>
      </c>
      <c r="R53" s="725" t="s">
        <v>726</v>
      </c>
      <c r="S53" s="725"/>
      <c r="T53" s="723"/>
      <c r="U53" s="725"/>
      <c r="V53" s="723"/>
    </row>
    <row r="54" spans="1:22" x14ac:dyDescent="0.25">
      <c r="A54" s="727"/>
      <c r="B54" s="723"/>
      <c r="C54" s="736"/>
      <c r="D54" s="723"/>
      <c r="E54" s="708"/>
      <c r="F54" s="723"/>
      <c r="G54" s="708"/>
      <c r="H54" s="723"/>
      <c r="I54" s="719"/>
      <c r="J54" s="723"/>
      <c r="K54" s="216"/>
      <c r="L54" s="725"/>
      <c r="M54" s="740"/>
      <c r="N54" s="726"/>
      <c r="O54" s="740"/>
      <c r="P54" s="726"/>
      <c r="Q54" s="740"/>
      <c r="R54" s="725"/>
      <c r="S54" s="725"/>
      <c r="T54" s="723"/>
      <c r="U54" s="725"/>
      <c r="V54" s="723"/>
    </row>
    <row r="55" spans="1:22" s="700" customFormat="1" ht="15.6" x14ac:dyDescent="0.3">
      <c r="A55" s="748"/>
      <c r="C55" s="749" t="s">
        <v>441</v>
      </c>
      <c r="E55" s="702"/>
      <c r="G55" s="702"/>
      <c r="I55" s="704"/>
      <c r="K55" s="217"/>
      <c r="L55" s="720"/>
      <c r="M55" s="222">
        <f>SUBTOTAL(9,M48:M53)</f>
        <v>-8289343.1999999713</v>
      </c>
      <c r="N55" s="721"/>
      <c r="O55" s="752"/>
      <c r="P55" s="721"/>
      <c r="Q55" s="222">
        <f>SUBTOTAL(9,Q48:Q53)</f>
        <v>1657868.6399999943</v>
      </c>
      <c r="R55" s="720"/>
      <c r="S55" s="720"/>
      <c r="U55" s="720"/>
    </row>
    <row r="56" spans="1:22" s="700" customFormat="1" ht="15.6" x14ac:dyDescent="0.3">
      <c r="A56" s="748"/>
      <c r="C56" s="749"/>
      <c r="E56" s="702"/>
      <c r="G56" s="702"/>
      <c r="I56" s="704"/>
      <c r="K56" s="217"/>
      <c r="L56" s="720"/>
      <c r="M56" s="752"/>
      <c r="N56" s="721"/>
      <c r="O56" s="752"/>
      <c r="P56" s="721"/>
      <c r="Q56" s="752"/>
      <c r="R56" s="720"/>
      <c r="S56" s="720"/>
      <c r="U56" s="720"/>
    </row>
    <row r="57" spans="1:22" s="700" customFormat="1" ht="15.6" x14ac:dyDescent="0.3">
      <c r="A57" s="748"/>
      <c r="C57" s="749"/>
      <c r="E57" s="702"/>
      <c r="G57" s="702"/>
      <c r="I57" s="704"/>
      <c r="K57" s="217"/>
      <c r="L57" s="720"/>
      <c r="M57" s="752"/>
      <c r="N57" s="721"/>
      <c r="O57" s="752"/>
      <c r="P57" s="721"/>
      <c r="Q57" s="752"/>
      <c r="R57" s="720"/>
      <c r="S57" s="720"/>
      <c r="U57" s="720"/>
    </row>
    <row r="58" spans="1:22" s="700" customFormat="1" ht="16.2" thickBot="1" x14ac:dyDescent="0.35">
      <c r="A58" s="748"/>
      <c r="C58" s="749" t="s">
        <v>724</v>
      </c>
      <c r="E58" s="702"/>
      <c r="G58" s="702"/>
      <c r="I58" s="704"/>
      <c r="K58" s="223">
        <f>SUBTOTAL(9,K17:K43)</f>
        <v>280165405.31999993</v>
      </c>
      <c r="L58" s="720"/>
      <c r="M58" s="505">
        <f>SUBTOTAL(9,M48:M53)</f>
        <v>-8289343.1999999713</v>
      </c>
      <c r="N58" s="721"/>
      <c r="O58" s="505">
        <f>SUBTOTAL(9,O17:O43)</f>
        <v>161651943</v>
      </c>
      <c r="P58" s="721"/>
      <c r="Q58" s="505">
        <f>SUBTOTAL(9,Q17:Q43)</f>
        <v>20103357</v>
      </c>
      <c r="R58" s="720"/>
      <c r="S58" s="720"/>
      <c r="U58" s="720"/>
    </row>
    <row r="59" spans="1:22" ht="15.6" thickTop="1" x14ac:dyDescent="0.25">
      <c r="A59" s="727"/>
      <c r="B59" s="723"/>
      <c r="C59" s="736"/>
      <c r="D59" s="723"/>
      <c r="E59" s="708"/>
      <c r="F59" s="723"/>
      <c r="G59" s="708"/>
      <c r="H59" s="723"/>
      <c r="I59" s="719"/>
      <c r="J59" s="723"/>
      <c r="K59" s="216"/>
      <c r="L59" s="725"/>
      <c r="M59" s="740"/>
      <c r="N59" s="726"/>
      <c r="O59" s="740"/>
      <c r="P59" s="726"/>
      <c r="Q59" s="740"/>
      <c r="R59" s="725"/>
      <c r="S59" s="725"/>
      <c r="T59" s="723"/>
      <c r="U59" s="725"/>
      <c r="V59" s="723"/>
    </row>
    <row r="60" spans="1:22" x14ac:dyDescent="0.25">
      <c r="A60" s="727"/>
      <c r="B60" s="723"/>
      <c r="C60" s="736"/>
      <c r="D60" s="723"/>
      <c r="E60" s="708"/>
      <c r="F60" s="723"/>
      <c r="G60" s="708"/>
      <c r="H60" s="723"/>
      <c r="I60" s="719"/>
      <c r="J60" s="723"/>
      <c r="K60" s="216"/>
      <c r="L60" s="725"/>
      <c r="M60" s="740"/>
      <c r="N60" s="726"/>
      <c r="O60" s="740"/>
      <c r="P60" s="726"/>
      <c r="Q60" s="740"/>
      <c r="R60" s="725"/>
      <c r="S60" s="725"/>
      <c r="T60" s="723"/>
      <c r="U60" s="725"/>
      <c r="V60" s="723"/>
    </row>
    <row r="61" spans="1:22" ht="15.6" x14ac:dyDescent="0.3">
      <c r="A61" s="727"/>
      <c r="B61" s="723"/>
      <c r="C61" s="751" t="s">
        <v>442</v>
      </c>
      <c r="D61" s="723"/>
      <c r="E61" s="708"/>
      <c r="F61" s="723"/>
      <c r="G61" s="708"/>
      <c r="H61" s="723"/>
      <c r="I61" s="719"/>
      <c r="J61" s="723"/>
      <c r="K61" s="216"/>
      <c r="L61" s="725"/>
      <c r="M61" s="740"/>
      <c r="N61" s="726"/>
      <c r="O61" s="740"/>
      <c r="P61" s="726"/>
      <c r="Q61" s="740"/>
      <c r="R61" s="725"/>
      <c r="S61" s="725"/>
      <c r="T61" s="723"/>
      <c r="U61" s="725"/>
      <c r="V61" s="723"/>
    </row>
    <row r="62" spans="1:22" x14ac:dyDescent="0.25">
      <c r="A62" s="727"/>
      <c r="B62" s="723"/>
      <c r="C62" s="736"/>
      <c r="D62" s="723"/>
      <c r="E62" s="708"/>
      <c r="F62" s="723"/>
      <c r="G62" s="708"/>
      <c r="H62" s="723"/>
      <c r="I62" s="719"/>
      <c r="J62" s="723"/>
      <c r="K62" s="219"/>
      <c r="L62" s="725"/>
      <c r="M62" s="740"/>
      <c r="N62" s="726"/>
      <c r="O62" s="740"/>
      <c r="P62" s="726"/>
      <c r="Q62" s="740"/>
      <c r="R62" s="725"/>
      <c r="S62" s="725"/>
      <c r="T62" s="723"/>
      <c r="U62" s="725"/>
      <c r="V62" s="723"/>
    </row>
    <row r="63" spans="1:22" x14ac:dyDescent="0.25">
      <c r="A63" s="727">
        <v>302</v>
      </c>
      <c r="B63" s="723"/>
      <c r="C63" s="728" t="s">
        <v>443</v>
      </c>
      <c r="D63" s="723"/>
      <c r="E63" s="708"/>
      <c r="F63" s="723"/>
      <c r="G63" s="708"/>
      <c r="H63" s="723"/>
      <c r="I63" s="719"/>
      <c r="J63" s="723"/>
      <c r="K63" s="504">
        <v>31729.64</v>
      </c>
      <c r="L63" s="725"/>
      <c r="M63" s="503">
        <v>7170.57</v>
      </c>
      <c r="N63" s="726"/>
      <c r="O63" s="740"/>
      <c r="P63" s="726"/>
      <c r="Q63" s="740"/>
      <c r="R63" s="725"/>
      <c r="S63" s="725"/>
      <c r="T63" s="723"/>
      <c r="U63" s="725"/>
      <c r="V63" s="723"/>
    </row>
    <row r="64" spans="1:22" x14ac:dyDescent="0.25">
      <c r="A64" s="727">
        <v>303</v>
      </c>
      <c r="B64" s="723"/>
      <c r="C64" s="728" t="s">
        <v>444</v>
      </c>
      <c r="D64" s="723"/>
      <c r="E64" s="708"/>
      <c r="F64" s="723"/>
      <c r="G64" s="708"/>
      <c r="H64" s="723"/>
      <c r="I64" s="719"/>
      <c r="J64" s="723"/>
      <c r="K64" s="219">
        <v>166359858.69999999</v>
      </c>
      <c r="L64" s="725"/>
      <c r="M64" s="503">
        <v>65088600.450000003</v>
      </c>
      <c r="N64" s="726"/>
      <c r="O64" s="740"/>
      <c r="P64" s="726"/>
      <c r="Q64" s="740"/>
      <c r="R64" s="725"/>
      <c r="S64" s="725"/>
      <c r="T64" s="723"/>
      <c r="U64" s="725"/>
      <c r="V64" s="723"/>
    </row>
    <row r="65" spans="1:22" x14ac:dyDescent="0.25">
      <c r="A65" s="727">
        <v>389</v>
      </c>
      <c r="B65" s="723"/>
      <c r="C65" s="728" t="s">
        <v>445</v>
      </c>
      <c r="D65" s="723"/>
      <c r="E65" s="708"/>
      <c r="F65" s="723"/>
      <c r="G65" s="708"/>
      <c r="H65" s="723"/>
      <c r="I65" s="719"/>
      <c r="J65" s="723"/>
      <c r="K65" s="219">
        <v>28496665.229999993</v>
      </c>
      <c r="L65" s="725"/>
      <c r="M65" s="502"/>
      <c r="N65" s="726"/>
      <c r="O65" s="740"/>
      <c r="P65" s="726"/>
      <c r="Q65" s="740"/>
      <c r="R65" s="725"/>
      <c r="S65" s="725"/>
      <c r="T65" s="723"/>
      <c r="U65" s="725"/>
      <c r="V65" s="723"/>
    </row>
    <row r="66" spans="1:22" x14ac:dyDescent="0.25">
      <c r="A66" s="732">
        <v>390.1</v>
      </c>
      <c r="C66" s="736" t="s">
        <v>446</v>
      </c>
      <c r="D66" s="723"/>
      <c r="E66" s="737"/>
      <c r="F66" s="723"/>
      <c r="G66" s="733"/>
      <c r="H66" s="738"/>
      <c r="I66" s="719"/>
      <c r="J66" s="723"/>
      <c r="K66" s="209">
        <v>46511320.420000009</v>
      </c>
      <c r="L66" s="746"/>
      <c r="M66" s="740">
        <v>34903367.780000001</v>
      </c>
      <c r="N66" s="740"/>
      <c r="O66" s="740"/>
      <c r="P66" s="740"/>
      <c r="Q66" s="740"/>
      <c r="R66" s="734"/>
      <c r="S66" s="732"/>
      <c r="T66" s="718"/>
      <c r="U66" s="735"/>
      <c r="V66" s="723"/>
    </row>
    <row r="67" spans="1:22" x14ac:dyDescent="0.25">
      <c r="A67" s="727">
        <v>392.1</v>
      </c>
      <c r="B67" s="723"/>
      <c r="C67" s="728" t="s">
        <v>447</v>
      </c>
      <c r="D67" s="723"/>
      <c r="E67" s="708"/>
      <c r="F67" s="723"/>
      <c r="G67" s="708"/>
      <c r="H67" s="723"/>
      <c r="I67" s="719"/>
      <c r="J67" s="723"/>
      <c r="K67" s="501">
        <v>1509234.08</v>
      </c>
      <c r="L67" s="746"/>
      <c r="M67" s="500">
        <v>923765.46000000008</v>
      </c>
      <c r="N67" s="740"/>
      <c r="O67" s="740"/>
      <c r="P67" s="740"/>
      <c r="Q67" s="740"/>
      <c r="R67" s="725"/>
      <c r="S67" s="725"/>
      <c r="T67" s="723"/>
      <c r="U67" s="725"/>
      <c r="V67" s="723"/>
    </row>
    <row r="68" spans="1:22" x14ac:dyDescent="0.25">
      <c r="A68" s="727">
        <v>392.2</v>
      </c>
      <c r="B68" s="723"/>
      <c r="C68" s="728" t="s">
        <v>448</v>
      </c>
      <c r="D68" s="723"/>
      <c r="E68" s="708"/>
      <c r="F68" s="723"/>
      <c r="G68" s="708"/>
      <c r="H68" s="723"/>
      <c r="I68" s="719"/>
      <c r="J68" s="723"/>
      <c r="K68" s="499">
        <v>832657.21</v>
      </c>
      <c r="L68" s="725"/>
      <c r="M68" s="498">
        <v>796960.84</v>
      </c>
      <c r="N68" s="726"/>
      <c r="O68" s="740"/>
      <c r="P68" s="726"/>
      <c r="Q68" s="740"/>
      <c r="R68" s="725"/>
      <c r="S68" s="725"/>
      <c r="T68" s="723"/>
      <c r="U68" s="725"/>
      <c r="V68" s="723"/>
    </row>
    <row r="69" spans="1:22" x14ac:dyDescent="0.25">
      <c r="A69" s="727"/>
      <c r="B69" s="723"/>
      <c r="C69" s="736"/>
      <c r="D69" s="723"/>
      <c r="E69" s="708"/>
      <c r="F69" s="723"/>
      <c r="G69" s="708"/>
      <c r="H69" s="723"/>
      <c r="I69" s="719"/>
      <c r="J69" s="723"/>
      <c r="K69" s="216"/>
      <c r="L69" s="725"/>
      <c r="M69" s="740"/>
      <c r="N69" s="726"/>
      <c r="O69" s="740"/>
      <c r="P69" s="726"/>
      <c r="Q69" s="740"/>
      <c r="R69" s="725"/>
      <c r="S69" s="725"/>
      <c r="T69" s="723"/>
      <c r="U69" s="725"/>
      <c r="V69" s="723"/>
    </row>
    <row r="70" spans="1:22" s="700" customFormat="1" ht="15.6" x14ac:dyDescent="0.3">
      <c r="A70" s="748"/>
      <c r="C70" s="749" t="s">
        <v>718</v>
      </c>
      <c r="E70" s="702"/>
      <c r="G70" s="702"/>
      <c r="I70" s="704"/>
      <c r="K70" s="226">
        <f>SUBTOTAL(9,K63:K69)</f>
        <v>243741465.28</v>
      </c>
      <c r="L70" s="753"/>
      <c r="M70" s="222">
        <f>SUBTOTAL(9,M63:M69)</f>
        <v>101719865.10000001</v>
      </c>
      <c r="N70" s="721"/>
      <c r="O70" s="752"/>
      <c r="P70" s="721"/>
      <c r="Q70" s="752"/>
      <c r="R70" s="720"/>
      <c r="S70" s="720"/>
      <c r="U70" s="720"/>
    </row>
    <row r="71" spans="1:22" x14ac:dyDescent="0.25">
      <c r="A71" s="727"/>
      <c r="B71" s="723"/>
      <c r="C71" s="736"/>
      <c r="D71" s="723"/>
      <c r="E71" s="708"/>
      <c r="F71" s="723"/>
      <c r="G71" s="708"/>
      <c r="H71" s="723"/>
      <c r="I71" s="719"/>
      <c r="J71" s="723"/>
      <c r="K71" s="216"/>
      <c r="L71" s="725"/>
      <c r="M71" s="740"/>
      <c r="N71" s="726"/>
      <c r="O71" s="740"/>
      <c r="P71" s="726"/>
      <c r="Q71" s="740"/>
      <c r="R71" s="725"/>
      <c r="S71" s="725"/>
      <c r="T71" s="723"/>
      <c r="U71" s="725"/>
      <c r="V71" s="723"/>
    </row>
    <row r="72" spans="1:22" x14ac:dyDescent="0.25">
      <c r="A72" s="727"/>
      <c r="B72" s="723"/>
      <c r="C72" s="736"/>
      <c r="D72" s="723"/>
      <c r="E72" s="708"/>
      <c r="F72" s="723"/>
      <c r="G72" s="708"/>
      <c r="H72" s="723"/>
      <c r="I72" s="719"/>
      <c r="J72" s="723"/>
      <c r="K72" s="216"/>
      <c r="L72" s="725"/>
      <c r="M72" s="740"/>
      <c r="N72" s="726"/>
      <c r="O72" s="740"/>
      <c r="P72" s="726"/>
      <c r="Q72" s="740"/>
      <c r="R72" s="725"/>
      <c r="S72" s="725"/>
      <c r="T72" s="723"/>
      <c r="U72" s="725"/>
      <c r="V72" s="723"/>
    </row>
    <row r="73" spans="1:22" ht="16.2" thickBot="1" x14ac:dyDescent="0.35">
      <c r="A73" s="727"/>
      <c r="B73" s="723"/>
      <c r="C73" s="749" t="s">
        <v>450</v>
      </c>
      <c r="D73" s="723"/>
      <c r="E73" s="708"/>
      <c r="F73" s="723"/>
      <c r="G73" s="708"/>
      <c r="H73" s="723"/>
      <c r="I73" s="719"/>
      <c r="J73" s="723"/>
      <c r="K73" s="754">
        <f>SUBTOTAL(9,K17:K70)</f>
        <v>523906870.5999999</v>
      </c>
      <c r="L73" s="720"/>
      <c r="M73" s="754">
        <f>SUBTOTAL(9,M17:M70)</f>
        <v>215935492.85000002</v>
      </c>
      <c r="N73" s="721"/>
      <c r="O73" s="754">
        <f>SUBTOTAL(9,O17:O70)</f>
        <v>161651943</v>
      </c>
      <c r="P73" s="721"/>
      <c r="Q73" s="754">
        <f>SUBTOTAL(9,Q17:Q70)</f>
        <v>21761225.639999993</v>
      </c>
      <c r="R73" s="725"/>
      <c r="S73" s="725"/>
      <c r="T73" s="723"/>
      <c r="U73" s="725"/>
      <c r="V73" s="723"/>
    </row>
    <row r="74" spans="1:22" ht="16.2" thickTop="1" x14ac:dyDescent="0.3">
      <c r="A74" s="727"/>
      <c r="B74" s="723"/>
      <c r="C74" s="749"/>
      <c r="D74" s="723"/>
      <c r="E74" s="708"/>
      <c r="F74" s="723"/>
      <c r="G74" s="708"/>
      <c r="H74" s="723"/>
      <c r="I74" s="719"/>
      <c r="J74" s="723"/>
      <c r="K74" s="216"/>
      <c r="L74" s="720"/>
      <c r="M74" s="721"/>
      <c r="N74" s="721"/>
      <c r="O74" s="721"/>
      <c r="P74" s="721"/>
      <c r="Q74" s="721"/>
      <c r="R74" s="725"/>
      <c r="S74" s="725"/>
      <c r="T74" s="723"/>
      <c r="U74" s="725"/>
      <c r="V74" s="723"/>
    </row>
    <row r="75" spans="1:22" x14ac:dyDescent="0.25">
      <c r="A75" s="727"/>
      <c r="C75" s="736"/>
      <c r="D75" s="723"/>
      <c r="E75" s="708"/>
      <c r="F75" s="723"/>
      <c r="G75" s="708"/>
      <c r="H75" s="723"/>
      <c r="I75" s="719"/>
      <c r="J75" s="723"/>
      <c r="K75" s="216"/>
      <c r="L75" s="725"/>
      <c r="M75" s="726"/>
      <c r="N75" s="726"/>
      <c r="O75" s="726"/>
      <c r="P75" s="726"/>
      <c r="Q75" s="726"/>
      <c r="R75" s="725"/>
      <c r="S75" s="725"/>
      <c r="T75" s="723"/>
      <c r="U75" s="725"/>
      <c r="V75" s="723"/>
    </row>
    <row r="76" spans="1:22" x14ac:dyDescent="0.25">
      <c r="A76" s="692"/>
      <c r="B76" s="693" t="s">
        <v>720</v>
      </c>
      <c r="I76" s="719"/>
      <c r="K76" s="732"/>
      <c r="L76" s="722"/>
      <c r="M76" s="755"/>
      <c r="N76" s="755"/>
      <c r="O76" s="755"/>
      <c r="P76" s="755"/>
      <c r="Q76" s="755"/>
      <c r="R76" s="722"/>
      <c r="S76" s="722"/>
      <c r="V76" s="692"/>
    </row>
    <row r="77" spans="1:22" x14ac:dyDescent="0.25">
      <c r="A77" s="692"/>
      <c r="B77" s="723" t="s">
        <v>731</v>
      </c>
      <c r="C77" s="692"/>
      <c r="D77" s="692"/>
      <c r="F77" s="692"/>
      <c r="G77" s="692"/>
      <c r="H77" s="692"/>
      <c r="I77" s="719"/>
      <c r="J77" s="692"/>
      <c r="K77" s="722"/>
      <c r="L77" s="722"/>
      <c r="M77" s="755"/>
      <c r="N77" s="755"/>
      <c r="O77" s="755"/>
      <c r="P77" s="755"/>
      <c r="Q77" s="755"/>
      <c r="R77" s="722"/>
      <c r="S77" s="722"/>
      <c r="T77" s="692"/>
      <c r="U77" s="692"/>
      <c r="V77" s="692"/>
    </row>
    <row r="78" spans="1:22" x14ac:dyDescent="0.25">
      <c r="C78" s="756"/>
      <c r="I78" s="719"/>
      <c r="K78" s="722"/>
      <c r="L78" s="722"/>
      <c r="M78" s="755"/>
      <c r="N78" s="755"/>
      <c r="O78" s="755"/>
      <c r="P78" s="755"/>
      <c r="Q78" s="755"/>
      <c r="R78" s="722"/>
      <c r="S78" s="722"/>
    </row>
    <row r="79" spans="1:22" x14ac:dyDescent="0.25">
      <c r="I79" s="719"/>
      <c r="M79" s="693"/>
      <c r="N79" s="693"/>
      <c r="O79" s="693"/>
      <c r="P79" s="693"/>
      <c r="Q79" s="693"/>
    </row>
    <row r="80" spans="1:22" x14ac:dyDescent="0.25">
      <c r="I80" s="719"/>
      <c r="M80" s="693"/>
      <c r="N80" s="693"/>
      <c r="O80" s="693"/>
      <c r="P80" s="693"/>
      <c r="Q80" s="693"/>
    </row>
    <row r="81" spans="9:17" x14ac:dyDescent="0.25">
      <c r="I81" s="719"/>
      <c r="M81" s="693"/>
      <c r="N81" s="693"/>
      <c r="O81" s="693"/>
      <c r="P81" s="693"/>
      <c r="Q81" s="693"/>
    </row>
    <row r="82" spans="9:17" x14ac:dyDescent="0.25">
      <c r="I82" s="719"/>
      <c r="M82" s="693"/>
      <c r="N82" s="693"/>
      <c r="O82" s="693"/>
      <c r="P82" s="693"/>
      <c r="Q82" s="693"/>
    </row>
  </sheetData>
  <printOptions horizontalCentered="1"/>
  <pageMargins left="0.7" right="0.7" top="0.75" bottom="0.75" header="0.3" footer="0.3"/>
  <pageSetup scale="45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218666-3234-40B3-B8D1-5581E7ED6391}"/>
</file>

<file path=customXml/itemProps2.xml><?xml version="1.0" encoding="utf-8"?>
<ds:datastoreItem xmlns:ds="http://schemas.openxmlformats.org/officeDocument/2006/customXml" ds:itemID="{C72C312A-1F31-4E66-B6C2-94CACE06A055}"/>
</file>

<file path=customXml/itemProps3.xml><?xml version="1.0" encoding="utf-8"?>
<ds:datastoreItem xmlns:ds="http://schemas.openxmlformats.org/officeDocument/2006/customXml" ds:itemID="{D32EF1C1-503A-4FB6-8E13-DB1D46573874}"/>
</file>

<file path=customXml/itemProps4.xml><?xml version="1.0" encoding="utf-8"?>
<ds:datastoreItem xmlns:ds="http://schemas.openxmlformats.org/officeDocument/2006/customXml" ds:itemID="{FACB0F8B-2706-4518-81AC-C6C61B3EC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Comp Depr Rates Sept 07</vt:lpstr>
      <vt:lpstr>Depreciation Recon</vt:lpstr>
      <vt:lpstr>Lead E</vt:lpstr>
      <vt:lpstr>Electric</vt:lpstr>
      <vt:lpstr>Elec Study Rpt</vt:lpstr>
      <vt:lpstr>Col 1&amp;2 $18.5M</vt:lpstr>
      <vt:lpstr>Col 3&amp;4 2027</vt:lpstr>
      <vt:lpstr>Common</vt:lpstr>
      <vt:lpstr>Comm Study Rpt</vt:lpstr>
      <vt:lpstr>DFIT Depr Stdy 8.06E</vt:lpstr>
      <vt:lpstr>403.1 Depr</vt:lpstr>
      <vt:lpstr>Elec Accretion</vt:lpstr>
      <vt:lpstr>Depr Oct15-Sep16 Revised</vt:lpstr>
      <vt:lpstr>CC300</vt:lpstr>
      <vt:lpstr>RB&amp;ISbyFERC</vt:lpstr>
      <vt:lpstr>Common!Print_Area</vt:lpstr>
      <vt:lpstr>Electric!Print_Area</vt:lpstr>
      <vt:lpstr>'Comp Depr Rates Sept 07'!Print_Titles</vt:lpstr>
      <vt:lpstr>'Elec Study Rpt'!Print_Titles</vt:lpstr>
      <vt:lpstr>Electric!Print_Titles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laschu</dc:creator>
  <cp:lastModifiedBy>kbarnard</cp:lastModifiedBy>
  <cp:lastPrinted>2016-12-21T18:30:43Z</cp:lastPrinted>
  <dcterms:created xsi:type="dcterms:W3CDTF">2007-01-18T20:59:32Z</dcterms:created>
  <dcterms:modified xsi:type="dcterms:W3CDTF">2018-04-05T15:34:56Z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