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2_12\email\"/>
    </mc:Choice>
  </mc:AlternateContent>
  <bookViews>
    <workbookView xWindow="195" yWindow="180" windowWidth="13380" windowHeight="7350" tabRatio="730" activeTab="1"/>
  </bookViews>
  <sheets>
    <sheet name="References" sheetId="4" r:id="rId1"/>
    <sheet name="Staff Calcs " sheetId="7" r:id="rId2"/>
    <sheet name="Tariff Changes" sheetId="10" r:id="rId3"/>
    <sheet name="Company Price Out Rates Compare" sheetId="13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M81" i="7" l="1"/>
  <c r="G22" i="7" l="1"/>
  <c r="H22" i="7" s="1"/>
  <c r="F22" i="7"/>
  <c r="B22" i="7"/>
  <c r="O98" i="7" l="1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M94" i="7"/>
  <c r="M95" i="7"/>
  <c r="M96" i="7"/>
  <c r="M97" i="7"/>
  <c r="M98" i="7"/>
  <c r="M93" i="7"/>
  <c r="M88" i="7"/>
  <c r="M89" i="7"/>
  <c r="M90" i="7"/>
  <c r="M91" i="7"/>
  <c r="M92" i="7"/>
  <c r="M87" i="7"/>
  <c r="M85" i="7"/>
  <c r="M86" i="7"/>
  <c r="M84" i="7"/>
  <c r="M83" i="7"/>
  <c r="M82" i="7"/>
  <c r="M79" i="7"/>
  <c r="M80" i="7"/>
  <c r="M78" i="7"/>
  <c r="M77" i="7"/>
  <c r="M76" i="7"/>
  <c r="M75" i="7"/>
  <c r="M74" i="7"/>
  <c r="M69" i="7"/>
  <c r="M70" i="7"/>
  <c r="M71" i="7"/>
  <c r="M72" i="7"/>
  <c r="M73" i="7"/>
  <c r="M68" i="7"/>
  <c r="M63" i="7"/>
  <c r="M64" i="7"/>
  <c r="M65" i="7"/>
  <c r="M66" i="7"/>
  <c r="M67" i="7"/>
  <c r="M62" i="7"/>
  <c r="M52" i="7"/>
  <c r="M53" i="7"/>
  <c r="M54" i="7"/>
  <c r="M55" i="7"/>
  <c r="M56" i="7"/>
  <c r="M57" i="7"/>
  <c r="M58" i="7"/>
  <c r="M59" i="7"/>
  <c r="M60" i="7"/>
  <c r="M61" i="7"/>
  <c r="M51" i="7"/>
  <c r="M50" i="7"/>
  <c r="M49" i="7"/>
  <c r="M48" i="7"/>
  <c r="M47" i="7"/>
  <c r="G95" i="7"/>
  <c r="G96" i="7"/>
  <c r="G97" i="7"/>
  <c r="G98" i="7"/>
  <c r="G94" i="7"/>
  <c r="G93" i="7"/>
  <c r="G89" i="7"/>
  <c r="G90" i="7"/>
  <c r="G91" i="7"/>
  <c r="G92" i="7"/>
  <c r="G87" i="7"/>
  <c r="G88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0" i="7"/>
  <c r="G71" i="7"/>
  <c r="G72" i="7"/>
  <c r="G73" i="7"/>
  <c r="G69" i="7"/>
  <c r="G68" i="7"/>
  <c r="G67" i="7"/>
  <c r="G65" i="7"/>
  <c r="G66" i="7"/>
  <c r="G64" i="7"/>
  <c r="G63" i="7"/>
  <c r="G62" i="7"/>
  <c r="G56" i="7"/>
  <c r="G57" i="7"/>
  <c r="G58" i="7"/>
  <c r="G59" i="7"/>
  <c r="G60" i="7"/>
  <c r="G61" i="7"/>
  <c r="G55" i="7"/>
  <c r="G54" i="7"/>
  <c r="G53" i="7"/>
  <c r="G52" i="7"/>
  <c r="G51" i="7"/>
  <c r="G50" i="7"/>
  <c r="G49" i="7"/>
  <c r="G48" i="7"/>
  <c r="G47" i="7"/>
  <c r="B94" i="7"/>
  <c r="B95" i="7"/>
  <c r="B96" i="7"/>
  <c r="B97" i="7"/>
  <c r="B98" i="7"/>
  <c r="B93" i="7"/>
  <c r="B88" i="7"/>
  <c r="B89" i="7"/>
  <c r="B90" i="7"/>
  <c r="B91" i="7"/>
  <c r="B92" i="7"/>
  <c r="B87" i="7"/>
  <c r="B83" i="7"/>
  <c r="B84" i="7"/>
  <c r="B85" i="7"/>
  <c r="B86" i="7"/>
  <c r="B82" i="7"/>
  <c r="B79" i="7"/>
  <c r="B80" i="7"/>
  <c r="B81" i="7"/>
  <c r="B78" i="7"/>
  <c r="B77" i="7"/>
  <c r="B76" i="7"/>
  <c r="B75" i="7"/>
  <c r="B74" i="7"/>
  <c r="B69" i="7"/>
  <c r="B70" i="7"/>
  <c r="B71" i="7"/>
  <c r="B72" i="7"/>
  <c r="B73" i="7"/>
  <c r="B68" i="7"/>
  <c r="B63" i="7"/>
  <c r="B64" i="7"/>
  <c r="B65" i="7"/>
  <c r="B66" i="7"/>
  <c r="B67" i="7"/>
  <c r="B62" i="7"/>
  <c r="B51" i="7"/>
  <c r="B52" i="7"/>
  <c r="B53" i="7"/>
  <c r="B54" i="7"/>
  <c r="B55" i="7"/>
  <c r="B56" i="7"/>
  <c r="B57" i="7"/>
  <c r="B58" i="7"/>
  <c r="B59" i="7"/>
  <c r="B60" i="7"/>
  <c r="B61" i="7"/>
  <c r="B50" i="7"/>
  <c r="B49" i="7"/>
  <c r="B48" i="7"/>
  <c r="B47" i="7"/>
  <c r="C94" i="7"/>
  <c r="C95" i="7"/>
  <c r="C96" i="7"/>
  <c r="C97" i="7"/>
  <c r="C98" i="7"/>
  <c r="C93" i="7"/>
  <c r="C88" i="7"/>
  <c r="C89" i="7"/>
  <c r="C90" i="7"/>
  <c r="C91" i="7"/>
  <c r="C92" i="7"/>
  <c r="C87" i="7"/>
  <c r="C85" i="7"/>
  <c r="C86" i="7"/>
  <c r="C84" i="7"/>
  <c r="C83" i="7"/>
  <c r="C82" i="7"/>
  <c r="C81" i="7"/>
  <c r="C79" i="7"/>
  <c r="C80" i="7"/>
  <c r="C78" i="7"/>
  <c r="C77" i="7"/>
  <c r="C76" i="7"/>
  <c r="C75" i="7"/>
  <c r="C74" i="7"/>
  <c r="C69" i="7"/>
  <c r="C70" i="7"/>
  <c r="C71" i="7"/>
  <c r="C72" i="7"/>
  <c r="C73" i="7"/>
  <c r="C68" i="7"/>
  <c r="C63" i="7"/>
  <c r="C64" i="7"/>
  <c r="C65" i="7"/>
  <c r="C66" i="7"/>
  <c r="C67" i="7"/>
  <c r="C62" i="7"/>
  <c r="C52" i="7"/>
  <c r="C53" i="7"/>
  <c r="C54" i="7"/>
  <c r="C55" i="7"/>
  <c r="C56" i="7"/>
  <c r="C57" i="7"/>
  <c r="C58" i="7"/>
  <c r="C59" i="7"/>
  <c r="C60" i="7"/>
  <c r="C61" i="7"/>
  <c r="C51" i="7"/>
  <c r="C50" i="7"/>
  <c r="C49" i="7"/>
  <c r="C48" i="7"/>
  <c r="C47" i="7"/>
  <c r="B33" i="7"/>
  <c r="B34" i="7"/>
  <c r="B35" i="7"/>
  <c r="B36" i="7"/>
  <c r="B37" i="7"/>
  <c r="B38" i="7"/>
  <c r="B39" i="7"/>
  <c r="B40" i="7"/>
  <c r="B41" i="7"/>
  <c r="B32" i="7"/>
  <c r="B28" i="7"/>
  <c r="B21" i="7"/>
  <c r="B23" i="7"/>
  <c r="B24" i="7"/>
  <c r="B25" i="7"/>
  <c r="B26" i="7"/>
  <c r="B27" i="7"/>
  <c r="B14" i="7"/>
  <c r="B15" i="7"/>
  <c r="B16" i="7"/>
  <c r="B17" i="7"/>
  <c r="B18" i="7"/>
  <c r="B19" i="7"/>
  <c r="B20" i="7"/>
  <c r="B13" i="7"/>
  <c r="B3" i="7"/>
  <c r="B4" i="7"/>
  <c r="B5" i="7"/>
  <c r="B6" i="7"/>
  <c r="B7" i="7"/>
  <c r="B8" i="7"/>
  <c r="B9" i="7"/>
  <c r="B10" i="7"/>
  <c r="B2" i="7"/>
  <c r="F98" i="7"/>
  <c r="F97" i="7"/>
  <c r="H97" i="7" s="1"/>
  <c r="F96" i="7"/>
  <c r="F95" i="7"/>
  <c r="F94" i="7"/>
  <c r="F93" i="7"/>
  <c r="H93" i="7" s="1"/>
  <c r="F92" i="7"/>
  <c r="F91" i="7"/>
  <c r="F90" i="7"/>
  <c r="F89" i="7"/>
  <c r="H89" i="7" s="1"/>
  <c r="F88" i="7"/>
  <c r="F87" i="7"/>
  <c r="F86" i="7"/>
  <c r="F85" i="7"/>
  <c r="F84" i="7"/>
  <c r="F83" i="7"/>
  <c r="F82" i="7"/>
  <c r="F81" i="7"/>
  <c r="F80" i="7"/>
  <c r="F79" i="7"/>
  <c r="F78" i="7"/>
  <c r="F77" i="7"/>
  <c r="H77" i="7" s="1"/>
  <c r="F76" i="7"/>
  <c r="F75" i="7"/>
  <c r="F74" i="7"/>
  <c r="H74" i="7" s="1"/>
  <c r="F73" i="7"/>
  <c r="F72" i="7"/>
  <c r="F71" i="7"/>
  <c r="F70" i="7"/>
  <c r="F69" i="7"/>
  <c r="H69" i="7" s="1"/>
  <c r="F68" i="7"/>
  <c r="F67" i="7"/>
  <c r="F66" i="7"/>
  <c r="F65" i="7"/>
  <c r="F64" i="7"/>
  <c r="F63" i="7"/>
  <c r="F62" i="7"/>
  <c r="H62" i="7" s="1"/>
  <c r="F61" i="7"/>
  <c r="F60" i="7"/>
  <c r="F59" i="7"/>
  <c r="F58" i="7"/>
  <c r="F57" i="7"/>
  <c r="F56" i="7"/>
  <c r="F55" i="7"/>
  <c r="F54" i="7"/>
  <c r="H54" i="7" s="1"/>
  <c r="F53" i="7"/>
  <c r="H53" i="7" s="1"/>
  <c r="F52" i="7"/>
  <c r="F51" i="7"/>
  <c r="F50" i="7"/>
  <c r="H50" i="7" s="1"/>
  <c r="F49" i="7"/>
  <c r="F48" i="7"/>
  <c r="D117" i="10"/>
  <c r="D116" i="10"/>
  <c r="D115" i="10"/>
  <c r="D114" i="10"/>
  <c r="D113" i="10"/>
  <c r="D112" i="10"/>
  <c r="D109" i="10"/>
  <c r="D108" i="10"/>
  <c r="D107" i="10"/>
  <c r="D106" i="10"/>
  <c r="D105" i="10"/>
  <c r="D104" i="10"/>
  <c r="D100" i="10"/>
  <c r="D96" i="10"/>
  <c r="D84" i="10"/>
  <c r="D73" i="10"/>
  <c r="D66" i="10"/>
  <c r="D65" i="10"/>
  <c r="D62" i="10"/>
  <c r="D61" i="10"/>
  <c r="D60" i="10"/>
  <c r="D59" i="10"/>
  <c r="D58" i="10"/>
  <c r="D57" i="10"/>
  <c r="D54" i="10"/>
  <c r="D53" i="10"/>
  <c r="D52" i="10"/>
  <c r="D51" i="10"/>
  <c r="D50" i="10"/>
  <c r="D49" i="10"/>
  <c r="H78" i="7" l="1"/>
  <c r="H51" i="7"/>
  <c r="H67" i="7"/>
  <c r="H71" i="7"/>
  <c r="H75" i="7"/>
  <c r="H87" i="7"/>
  <c r="H48" i="7"/>
  <c r="H52" i="7"/>
  <c r="H64" i="7"/>
  <c r="H68" i="7"/>
  <c r="H76" i="7"/>
  <c r="H82" i="7"/>
  <c r="H86" i="7"/>
  <c r="H94" i="7"/>
  <c r="H57" i="7"/>
  <c r="H61" i="7"/>
  <c r="H65" i="7"/>
  <c r="H73" i="7"/>
  <c r="H80" i="7"/>
  <c r="H84" i="7"/>
  <c r="H91" i="7"/>
  <c r="H95" i="7"/>
  <c r="H56" i="7"/>
  <c r="H60" i="7"/>
  <c r="H83" i="7"/>
  <c r="H66" i="7"/>
  <c r="H70" i="7"/>
  <c r="H81" i="7"/>
  <c r="H85" i="7"/>
  <c r="H92" i="7"/>
  <c r="H96" i="7"/>
  <c r="H58" i="7"/>
  <c r="H72" i="7"/>
  <c r="H88" i="7"/>
  <c r="H55" i="7"/>
  <c r="H63" i="7"/>
  <c r="H79" i="7"/>
  <c r="H90" i="7"/>
  <c r="H98" i="7"/>
  <c r="H59" i="7"/>
  <c r="H49" i="7"/>
  <c r="D38" i="10" l="1"/>
  <c r="D36" i="10"/>
  <c r="D26" i="10"/>
  <c r="D23" i="10"/>
  <c r="D20" i="10"/>
  <c r="D13" i="10"/>
  <c r="M163" i="13" l="1"/>
  <c r="C156" i="13"/>
  <c r="E156" i="13" s="1"/>
  <c r="L155" i="13"/>
  <c r="F155" i="13"/>
  <c r="C155" i="13"/>
  <c r="E155" i="13" s="1"/>
  <c r="L154" i="13"/>
  <c r="F154" i="13"/>
  <c r="C154" i="13"/>
  <c r="L153" i="13"/>
  <c r="F153" i="13"/>
  <c r="C153" i="13"/>
  <c r="J153" i="13" s="1"/>
  <c r="K153" i="13" s="1"/>
  <c r="L152" i="13"/>
  <c r="F152" i="13"/>
  <c r="C152" i="13"/>
  <c r="L151" i="13"/>
  <c r="F151" i="13"/>
  <c r="C151" i="13"/>
  <c r="E151" i="13" s="1"/>
  <c r="L150" i="13"/>
  <c r="F150" i="13"/>
  <c r="C150" i="13"/>
  <c r="E150" i="13" s="1"/>
  <c r="L149" i="13"/>
  <c r="F149" i="13"/>
  <c r="C149" i="13"/>
  <c r="J149" i="13" s="1"/>
  <c r="K149" i="13" s="1"/>
  <c r="L148" i="13"/>
  <c r="F148" i="13"/>
  <c r="C148" i="13"/>
  <c r="L147" i="13"/>
  <c r="F147" i="13"/>
  <c r="C147" i="13"/>
  <c r="J147" i="13" s="1"/>
  <c r="K147" i="13" s="1"/>
  <c r="L146" i="13"/>
  <c r="F146" i="13"/>
  <c r="J146" i="13" s="1"/>
  <c r="K146" i="13" s="1"/>
  <c r="C146" i="13"/>
  <c r="N146" i="13" s="1"/>
  <c r="L145" i="13"/>
  <c r="F145" i="13"/>
  <c r="C145" i="13"/>
  <c r="L144" i="13"/>
  <c r="F144" i="13"/>
  <c r="C144" i="13"/>
  <c r="L143" i="13"/>
  <c r="F143" i="13"/>
  <c r="C143" i="13"/>
  <c r="E143" i="13" s="1"/>
  <c r="L142" i="13"/>
  <c r="F142" i="13"/>
  <c r="C142" i="13"/>
  <c r="J142" i="13" s="1"/>
  <c r="K142" i="13" s="1"/>
  <c r="L141" i="13"/>
  <c r="F141" i="13"/>
  <c r="C141" i="13"/>
  <c r="E141" i="13" s="1"/>
  <c r="L140" i="13"/>
  <c r="F140" i="13"/>
  <c r="C140" i="13"/>
  <c r="L139" i="13"/>
  <c r="F139" i="13"/>
  <c r="C139" i="13"/>
  <c r="E139" i="13" s="1"/>
  <c r="L138" i="13"/>
  <c r="F138" i="13"/>
  <c r="C138" i="13"/>
  <c r="J138" i="13" s="1"/>
  <c r="K138" i="13" s="1"/>
  <c r="L137" i="13"/>
  <c r="F137" i="13"/>
  <c r="C137" i="13"/>
  <c r="E137" i="13" s="1"/>
  <c r="L136" i="13"/>
  <c r="F136" i="13"/>
  <c r="D136" i="13"/>
  <c r="C136" i="13"/>
  <c r="J136" i="13" s="1"/>
  <c r="K136" i="13" s="1"/>
  <c r="L135" i="13"/>
  <c r="F135" i="13"/>
  <c r="D135" i="13"/>
  <c r="C135" i="13"/>
  <c r="F134" i="13"/>
  <c r="D134" i="13"/>
  <c r="C134" i="13"/>
  <c r="F133" i="13"/>
  <c r="D133" i="13"/>
  <c r="L133" i="13" s="1"/>
  <c r="C133" i="13"/>
  <c r="L132" i="13"/>
  <c r="J132" i="13"/>
  <c r="K132" i="13" s="1"/>
  <c r="F132" i="13"/>
  <c r="C132" i="13"/>
  <c r="N132" i="13" s="1"/>
  <c r="L131" i="13"/>
  <c r="F131" i="13"/>
  <c r="C131" i="13"/>
  <c r="E131" i="13" s="1"/>
  <c r="L130" i="13"/>
  <c r="F130" i="13"/>
  <c r="E130" i="13"/>
  <c r="C130" i="13"/>
  <c r="J130" i="13" s="1"/>
  <c r="K130" i="13" s="1"/>
  <c r="L129" i="13"/>
  <c r="F129" i="13"/>
  <c r="C129" i="13"/>
  <c r="L128" i="13"/>
  <c r="F128" i="13"/>
  <c r="C128" i="13"/>
  <c r="F127" i="13"/>
  <c r="D127" i="13"/>
  <c r="L127" i="13" s="1"/>
  <c r="C127" i="13"/>
  <c r="F126" i="13"/>
  <c r="D126" i="13"/>
  <c r="L126" i="13" s="1"/>
  <c r="C126" i="13"/>
  <c r="L125" i="13"/>
  <c r="F125" i="13"/>
  <c r="C125" i="13"/>
  <c r="L124" i="13"/>
  <c r="F124" i="13"/>
  <c r="C124" i="13"/>
  <c r="J124" i="13" s="1"/>
  <c r="K124" i="13" s="1"/>
  <c r="L123" i="13"/>
  <c r="F123" i="13"/>
  <c r="C123" i="13"/>
  <c r="L122" i="13"/>
  <c r="F122" i="13"/>
  <c r="C122" i="13"/>
  <c r="F121" i="13"/>
  <c r="D121" i="13"/>
  <c r="C121" i="13"/>
  <c r="N120" i="13"/>
  <c r="F120" i="13"/>
  <c r="D120" i="13"/>
  <c r="L120" i="13" s="1"/>
  <c r="C120" i="13"/>
  <c r="L119" i="13"/>
  <c r="F119" i="13"/>
  <c r="C119" i="13"/>
  <c r="J119" i="13" s="1"/>
  <c r="K119" i="13" s="1"/>
  <c r="L118" i="13"/>
  <c r="F118" i="13"/>
  <c r="C118" i="13"/>
  <c r="L117" i="13"/>
  <c r="F117" i="13"/>
  <c r="C117" i="13"/>
  <c r="J117" i="13" s="1"/>
  <c r="K117" i="13" s="1"/>
  <c r="L116" i="13"/>
  <c r="F116" i="13"/>
  <c r="C116" i="13"/>
  <c r="L115" i="13"/>
  <c r="F115" i="13"/>
  <c r="C115" i="13"/>
  <c r="F114" i="13"/>
  <c r="D114" i="13"/>
  <c r="C114" i="13"/>
  <c r="F113" i="13"/>
  <c r="D113" i="13"/>
  <c r="L113" i="13" s="1"/>
  <c r="C113" i="13"/>
  <c r="J113" i="13" s="1"/>
  <c r="K113" i="13" s="1"/>
  <c r="L112" i="13"/>
  <c r="F112" i="13"/>
  <c r="C112" i="13"/>
  <c r="L111" i="13"/>
  <c r="F111" i="13"/>
  <c r="C111" i="13"/>
  <c r="L110" i="13"/>
  <c r="F110" i="13"/>
  <c r="C110" i="13"/>
  <c r="L109" i="13"/>
  <c r="F109" i="13"/>
  <c r="C109" i="13"/>
  <c r="L108" i="13"/>
  <c r="F108" i="13"/>
  <c r="E108" i="13"/>
  <c r="C108" i="13"/>
  <c r="J108" i="13" s="1"/>
  <c r="K108" i="13" s="1"/>
  <c r="L107" i="13"/>
  <c r="F107" i="13"/>
  <c r="C107" i="13"/>
  <c r="L106" i="13"/>
  <c r="F106" i="13"/>
  <c r="C106" i="13"/>
  <c r="J106" i="13" s="1"/>
  <c r="K106" i="13" s="1"/>
  <c r="L105" i="13"/>
  <c r="F105" i="13"/>
  <c r="C105" i="13"/>
  <c r="L99" i="13"/>
  <c r="F99" i="13"/>
  <c r="C99" i="13"/>
  <c r="J99" i="13" s="1"/>
  <c r="K99" i="13" s="1"/>
  <c r="L98" i="13"/>
  <c r="F98" i="13"/>
  <c r="C98" i="13"/>
  <c r="L97" i="13"/>
  <c r="J97" i="13"/>
  <c r="K97" i="13" s="1"/>
  <c r="F97" i="13"/>
  <c r="C97" i="13"/>
  <c r="N97" i="13" s="1"/>
  <c r="L96" i="13"/>
  <c r="F96" i="13"/>
  <c r="C96" i="13"/>
  <c r="L95" i="13"/>
  <c r="J95" i="13"/>
  <c r="K95" i="13" s="1"/>
  <c r="F95" i="13"/>
  <c r="C95" i="13"/>
  <c r="E95" i="13" s="1"/>
  <c r="L94" i="13"/>
  <c r="F94" i="13"/>
  <c r="C94" i="13"/>
  <c r="L93" i="13"/>
  <c r="F93" i="13"/>
  <c r="C93" i="13"/>
  <c r="L92" i="13"/>
  <c r="F92" i="13"/>
  <c r="C92" i="13"/>
  <c r="E92" i="13" s="1"/>
  <c r="L91" i="13"/>
  <c r="F91" i="13"/>
  <c r="C91" i="13"/>
  <c r="E91" i="13" s="1"/>
  <c r="N90" i="13"/>
  <c r="L90" i="13"/>
  <c r="F90" i="13"/>
  <c r="E90" i="13"/>
  <c r="C90" i="13"/>
  <c r="J90" i="13" s="1"/>
  <c r="K90" i="13" s="1"/>
  <c r="L89" i="13"/>
  <c r="F89" i="13"/>
  <c r="C89" i="13"/>
  <c r="L88" i="13"/>
  <c r="F88" i="13"/>
  <c r="J88" i="13" s="1"/>
  <c r="K88" i="13" s="1"/>
  <c r="C88" i="13"/>
  <c r="N88" i="13" s="1"/>
  <c r="L87" i="13"/>
  <c r="F87" i="13"/>
  <c r="C87" i="13"/>
  <c r="N87" i="13" s="1"/>
  <c r="L86" i="13"/>
  <c r="F86" i="13"/>
  <c r="C86" i="13"/>
  <c r="E86" i="13" s="1"/>
  <c r="L85" i="13"/>
  <c r="F85" i="13"/>
  <c r="C85" i="13"/>
  <c r="J85" i="13" s="1"/>
  <c r="K85" i="13" s="1"/>
  <c r="L84" i="13"/>
  <c r="F84" i="13"/>
  <c r="C84" i="13"/>
  <c r="L83" i="13"/>
  <c r="F83" i="13"/>
  <c r="C83" i="13"/>
  <c r="J83" i="13" s="1"/>
  <c r="K83" i="13" s="1"/>
  <c r="L82" i="13"/>
  <c r="F82" i="13"/>
  <c r="C82" i="13"/>
  <c r="E82" i="13" s="1"/>
  <c r="L81" i="13"/>
  <c r="F81" i="13"/>
  <c r="C81" i="13"/>
  <c r="J81" i="13" s="1"/>
  <c r="K81" i="13" s="1"/>
  <c r="L80" i="13"/>
  <c r="F80" i="13"/>
  <c r="C80" i="13"/>
  <c r="E80" i="13" s="1"/>
  <c r="L79" i="13"/>
  <c r="J79" i="13"/>
  <c r="K79" i="13" s="1"/>
  <c r="F79" i="13"/>
  <c r="C79" i="13"/>
  <c r="L78" i="13"/>
  <c r="F78" i="13"/>
  <c r="C78" i="13"/>
  <c r="E78" i="13" s="1"/>
  <c r="L77" i="13"/>
  <c r="J77" i="13"/>
  <c r="K77" i="13" s="1"/>
  <c r="F77" i="13"/>
  <c r="C77" i="13"/>
  <c r="L76" i="13"/>
  <c r="F76" i="13"/>
  <c r="D76" i="13"/>
  <c r="C76" i="13"/>
  <c r="F75" i="13"/>
  <c r="D75" i="13"/>
  <c r="L75" i="13" s="1"/>
  <c r="C75" i="13"/>
  <c r="J75" i="13" s="1"/>
  <c r="K75" i="13" s="1"/>
  <c r="F74" i="13"/>
  <c r="D74" i="13"/>
  <c r="L74" i="13" s="1"/>
  <c r="C74" i="13"/>
  <c r="J74" i="13" s="1"/>
  <c r="K74" i="13" s="1"/>
  <c r="F73" i="13"/>
  <c r="D73" i="13"/>
  <c r="L73" i="13" s="1"/>
  <c r="C73" i="13"/>
  <c r="J73" i="13" s="1"/>
  <c r="K73" i="13" s="1"/>
  <c r="L72" i="13"/>
  <c r="F72" i="13"/>
  <c r="C72" i="13"/>
  <c r="E72" i="13" s="1"/>
  <c r="L71" i="13"/>
  <c r="F71" i="13"/>
  <c r="C71" i="13"/>
  <c r="L70" i="13"/>
  <c r="F70" i="13"/>
  <c r="C70" i="13"/>
  <c r="L69" i="13"/>
  <c r="F69" i="13"/>
  <c r="C69" i="13"/>
  <c r="E69" i="13" s="1"/>
  <c r="L68" i="13"/>
  <c r="F68" i="13"/>
  <c r="C68" i="13"/>
  <c r="J68" i="13" s="1"/>
  <c r="K68" i="13" s="1"/>
  <c r="L67" i="13"/>
  <c r="F67" i="13"/>
  <c r="C67" i="13"/>
  <c r="F66" i="13"/>
  <c r="D66" i="13"/>
  <c r="L66" i="13" s="1"/>
  <c r="C66" i="13"/>
  <c r="J66" i="13" s="1"/>
  <c r="K66" i="13" s="1"/>
  <c r="F65" i="13"/>
  <c r="D65" i="13"/>
  <c r="L65" i="13" s="1"/>
  <c r="C65" i="13"/>
  <c r="L64" i="13"/>
  <c r="F64" i="13"/>
  <c r="C64" i="13"/>
  <c r="E64" i="13" s="1"/>
  <c r="L63" i="13"/>
  <c r="F63" i="13"/>
  <c r="C63" i="13"/>
  <c r="N63" i="13" s="1"/>
  <c r="L62" i="13"/>
  <c r="F62" i="13"/>
  <c r="C62" i="13"/>
  <c r="E62" i="13" s="1"/>
  <c r="L61" i="13"/>
  <c r="F61" i="13"/>
  <c r="C61" i="13"/>
  <c r="J61" i="13" s="1"/>
  <c r="K61" i="13" s="1"/>
  <c r="F60" i="13"/>
  <c r="D60" i="13"/>
  <c r="L60" i="13" s="1"/>
  <c r="C60" i="13"/>
  <c r="F59" i="13"/>
  <c r="D59" i="13"/>
  <c r="L59" i="13" s="1"/>
  <c r="C59" i="13"/>
  <c r="N59" i="13" s="1"/>
  <c r="L58" i="13"/>
  <c r="F58" i="13"/>
  <c r="C58" i="13"/>
  <c r="N58" i="13" s="1"/>
  <c r="L57" i="13"/>
  <c r="F57" i="13"/>
  <c r="C57" i="13"/>
  <c r="N57" i="13" s="1"/>
  <c r="L56" i="13"/>
  <c r="F56" i="13"/>
  <c r="C56" i="13"/>
  <c r="N56" i="13" s="1"/>
  <c r="L55" i="13"/>
  <c r="F55" i="13"/>
  <c r="C55" i="13"/>
  <c r="L54" i="13"/>
  <c r="F54" i="13"/>
  <c r="C54" i="13"/>
  <c r="J54" i="13" s="1"/>
  <c r="K54" i="13" s="1"/>
  <c r="F53" i="13"/>
  <c r="D53" i="13"/>
  <c r="L53" i="13" s="1"/>
  <c r="C53" i="13"/>
  <c r="E53" i="13" s="1"/>
  <c r="F52" i="13"/>
  <c r="D52" i="13"/>
  <c r="L52" i="13" s="1"/>
  <c r="C52" i="13"/>
  <c r="L51" i="13"/>
  <c r="F51" i="13"/>
  <c r="C51" i="13"/>
  <c r="L50" i="13"/>
  <c r="F50" i="13"/>
  <c r="C50" i="13"/>
  <c r="E50" i="13" s="1"/>
  <c r="L49" i="13"/>
  <c r="F49" i="13"/>
  <c r="C49" i="13"/>
  <c r="J49" i="13" s="1"/>
  <c r="K49" i="13" s="1"/>
  <c r="L48" i="13"/>
  <c r="F48" i="13"/>
  <c r="C48" i="13"/>
  <c r="L47" i="13"/>
  <c r="J47" i="13"/>
  <c r="K47" i="13" s="1"/>
  <c r="F47" i="13"/>
  <c r="C47" i="13"/>
  <c r="N47" i="13" s="1"/>
  <c r="L46" i="13"/>
  <c r="F46" i="13"/>
  <c r="E46" i="13"/>
  <c r="C46" i="13"/>
  <c r="AC45" i="13"/>
  <c r="L45" i="13"/>
  <c r="F45" i="13"/>
  <c r="C45" i="13"/>
  <c r="AC44" i="13"/>
  <c r="L44" i="13"/>
  <c r="F44" i="13"/>
  <c r="C44" i="13"/>
  <c r="AC43" i="13"/>
  <c r="L43" i="13"/>
  <c r="F43" i="13"/>
  <c r="C43" i="13"/>
  <c r="J43" i="13" s="1"/>
  <c r="F39" i="13"/>
  <c r="V36" i="13"/>
  <c r="W36" i="13" s="1"/>
  <c r="J36" i="13"/>
  <c r="K36" i="13" s="1"/>
  <c r="V35" i="13"/>
  <c r="W35" i="13" s="1"/>
  <c r="J35" i="13"/>
  <c r="K35" i="13" s="1"/>
  <c r="V34" i="13"/>
  <c r="W34" i="13" s="1"/>
  <c r="J34" i="13"/>
  <c r="K34" i="13" s="1"/>
  <c r="V33" i="13"/>
  <c r="W33" i="13" s="1"/>
  <c r="J33" i="13"/>
  <c r="K33" i="13" s="1"/>
  <c r="V32" i="13"/>
  <c r="W32" i="13" s="1"/>
  <c r="X32" i="13" s="1"/>
  <c r="Y32" i="13" s="1"/>
  <c r="J32" i="13"/>
  <c r="K32" i="13" s="1"/>
  <c r="L31" i="13"/>
  <c r="N31" i="13" s="1"/>
  <c r="J31" i="13"/>
  <c r="K31" i="13" s="1"/>
  <c r="L30" i="13"/>
  <c r="N30" i="13" s="1"/>
  <c r="J30" i="13"/>
  <c r="K30" i="13" s="1"/>
  <c r="L29" i="13"/>
  <c r="N29" i="13" s="1"/>
  <c r="J29" i="13"/>
  <c r="K29" i="13" s="1"/>
  <c r="N28" i="13"/>
  <c r="L28" i="13"/>
  <c r="J28" i="13"/>
  <c r="K28" i="13" s="1"/>
  <c r="L27" i="13"/>
  <c r="N27" i="13" s="1"/>
  <c r="J27" i="13"/>
  <c r="K27" i="13" s="1"/>
  <c r="AB26" i="13"/>
  <c r="L26" i="13"/>
  <c r="N26" i="13" s="1"/>
  <c r="J26" i="13"/>
  <c r="K26" i="13" s="1"/>
  <c r="L25" i="13"/>
  <c r="N25" i="13" s="1"/>
  <c r="J25" i="13"/>
  <c r="K25" i="13" s="1"/>
  <c r="L24" i="13"/>
  <c r="N24" i="13" s="1"/>
  <c r="J24" i="13"/>
  <c r="K24" i="13" s="1"/>
  <c r="L23" i="13"/>
  <c r="N23" i="13" s="1"/>
  <c r="J23" i="13"/>
  <c r="K23" i="13" s="1"/>
  <c r="L22" i="13"/>
  <c r="N22" i="13" s="1"/>
  <c r="J22" i="13"/>
  <c r="K22" i="13" s="1"/>
  <c r="L21" i="13"/>
  <c r="N21" i="13" s="1"/>
  <c r="J21" i="13"/>
  <c r="K21" i="13" s="1"/>
  <c r="L20" i="13"/>
  <c r="J20" i="13"/>
  <c r="K20" i="13" s="1"/>
  <c r="R12" i="13"/>
  <c r="U11" i="13"/>
  <c r="R11" i="13"/>
  <c r="AA36" i="13" s="1"/>
  <c r="F8" i="13"/>
  <c r="L6" i="13"/>
  <c r="L5" i="13"/>
  <c r="F5" i="13"/>
  <c r="F6" i="13" s="1"/>
  <c r="E95" i="10"/>
  <c r="O25" i="7"/>
  <c r="O26" i="7"/>
  <c r="O21" i="7"/>
  <c r="E75" i="10"/>
  <c r="O14" i="7" s="1"/>
  <c r="E76" i="10"/>
  <c r="E77" i="10"/>
  <c r="O16" i="7" s="1"/>
  <c r="E78" i="10"/>
  <c r="O17" i="7" s="1"/>
  <c r="E79" i="10"/>
  <c r="O18" i="7" s="1"/>
  <c r="E80" i="10"/>
  <c r="E81" i="10"/>
  <c r="E25" i="10"/>
  <c r="O33" i="7" s="1"/>
  <c r="E27" i="10"/>
  <c r="O34" i="7" s="1"/>
  <c r="E28" i="10"/>
  <c r="E29" i="10"/>
  <c r="O36" i="7" s="1"/>
  <c r="E30" i="10"/>
  <c r="O37" i="7" s="1"/>
  <c r="E31" i="10"/>
  <c r="O38" i="7" s="1"/>
  <c r="E32" i="10"/>
  <c r="E33" i="10"/>
  <c r="O40" i="7" s="1"/>
  <c r="E34" i="10"/>
  <c r="O41" i="7" s="1"/>
  <c r="E9" i="10"/>
  <c r="O3" i="7" s="1"/>
  <c r="E10" i="10"/>
  <c r="E11" i="10"/>
  <c r="E12" i="10"/>
  <c r="O6" i="7" s="1"/>
  <c r="E14" i="10"/>
  <c r="E15" i="10"/>
  <c r="E16" i="10"/>
  <c r="E17" i="10"/>
  <c r="O10" i="7" s="1"/>
  <c r="F28" i="7"/>
  <c r="G36" i="7"/>
  <c r="G37" i="7"/>
  <c r="G38" i="7"/>
  <c r="G39" i="7"/>
  <c r="G40" i="7"/>
  <c r="G41" i="7"/>
  <c r="G35" i="7"/>
  <c r="G34" i="7"/>
  <c r="G33" i="7"/>
  <c r="G32" i="7"/>
  <c r="G28" i="7"/>
  <c r="G24" i="7"/>
  <c r="G25" i="7"/>
  <c r="G26" i="7"/>
  <c r="G27" i="7"/>
  <c r="G23" i="7"/>
  <c r="G21" i="7"/>
  <c r="G16" i="7"/>
  <c r="G17" i="7"/>
  <c r="G18" i="7"/>
  <c r="G19" i="7"/>
  <c r="G20" i="7"/>
  <c r="G15" i="7"/>
  <c r="G14" i="7"/>
  <c r="G13" i="7"/>
  <c r="O39" i="7"/>
  <c r="O35" i="7"/>
  <c r="M33" i="7"/>
  <c r="M34" i="7"/>
  <c r="M35" i="7"/>
  <c r="M36" i="7"/>
  <c r="M37" i="7"/>
  <c r="M38" i="7"/>
  <c r="M39" i="7"/>
  <c r="M40" i="7"/>
  <c r="M41" i="7"/>
  <c r="M32" i="7"/>
  <c r="O28" i="7"/>
  <c r="O27" i="7"/>
  <c r="O24" i="7"/>
  <c r="O23" i="7"/>
  <c r="O20" i="7"/>
  <c r="O19" i="7"/>
  <c r="O15" i="7"/>
  <c r="M28" i="7"/>
  <c r="M21" i="7"/>
  <c r="M20" i="7"/>
  <c r="M14" i="7"/>
  <c r="M15" i="7"/>
  <c r="M16" i="7"/>
  <c r="M17" i="7"/>
  <c r="M18" i="7"/>
  <c r="M19" i="7"/>
  <c r="M13" i="7"/>
  <c r="O9" i="7"/>
  <c r="O8" i="7"/>
  <c r="O7" i="7"/>
  <c r="O5" i="7"/>
  <c r="O4" i="7"/>
  <c r="M3" i="7"/>
  <c r="M4" i="7"/>
  <c r="M5" i="7"/>
  <c r="M6" i="7"/>
  <c r="M7" i="7"/>
  <c r="M8" i="7"/>
  <c r="M9" i="7"/>
  <c r="M10" i="7"/>
  <c r="P10" i="7" s="1"/>
  <c r="M2" i="7"/>
  <c r="F41" i="7"/>
  <c r="F40" i="7"/>
  <c r="F39" i="7"/>
  <c r="F38" i="7"/>
  <c r="F37" i="7"/>
  <c r="F36" i="7"/>
  <c r="F35" i="7"/>
  <c r="F34" i="7"/>
  <c r="F33" i="7"/>
  <c r="F32" i="7"/>
  <c r="F27" i="7"/>
  <c r="F26" i="7"/>
  <c r="F25" i="7"/>
  <c r="F24" i="7"/>
  <c r="F23" i="7"/>
  <c r="F21" i="7"/>
  <c r="F20" i="7"/>
  <c r="F19" i="7"/>
  <c r="F18" i="7"/>
  <c r="F17" i="7"/>
  <c r="F16" i="7"/>
  <c r="F15" i="7"/>
  <c r="F14" i="7"/>
  <c r="F13" i="7"/>
  <c r="G10" i="7"/>
  <c r="X36" i="13" l="1"/>
  <c r="Y36" i="13" s="1"/>
  <c r="N51" i="13"/>
  <c r="E54" i="13"/>
  <c r="E57" i="13"/>
  <c r="E88" i="13"/>
  <c r="E106" i="13"/>
  <c r="N122" i="13"/>
  <c r="AA32" i="13"/>
  <c r="X35" i="13"/>
  <c r="Y35" i="13" s="1"/>
  <c r="J56" i="13"/>
  <c r="K56" i="13" s="1"/>
  <c r="J58" i="13"/>
  <c r="K58" i="13" s="1"/>
  <c r="J63" i="13"/>
  <c r="K63" i="13" s="1"/>
  <c r="N67" i="13"/>
  <c r="N71" i="13"/>
  <c r="N77" i="13"/>
  <c r="N79" i="13"/>
  <c r="J87" i="13"/>
  <c r="K87" i="13" s="1"/>
  <c r="E97" i="13"/>
  <c r="E99" i="13"/>
  <c r="N135" i="13"/>
  <c r="N138" i="13"/>
  <c r="N140" i="13"/>
  <c r="N142" i="13"/>
  <c r="N144" i="13"/>
  <c r="J8" i="13"/>
  <c r="AA35" i="13"/>
  <c r="N48" i="13"/>
  <c r="J51" i="13"/>
  <c r="K51" i="13" s="1"/>
  <c r="E76" i="13"/>
  <c r="N85" i="13"/>
  <c r="N93" i="13"/>
  <c r="N108" i="13"/>
  <c r="J122" i="13"/>
  <c r="K122" i="13" s="1"/>
  <c r="N126" i="13"/>
  <c r="E138" i="13"/>
  <c r="E142" i="13"/>
  <c r="AA34" i="13"/>
  <c r="F9" i="13"/>
  <c r="N54" i="13"/>
  <c r="N130" i="13"/>
  <c r="J140" i="13"/>
  <c r="K140" i="13" s="1"/>
  <c r="J144" i="13"/>
  <c r="K144" i="13" s="1"/>
  <c r="N61" i="13"/>
  <c r="N68" i="13"/>
  <c r="N81" i="13"/>
  <c r="E43" i="13"/>
  <c r="E48" i="13"/>
  <c r="N55" i="13"/>
  <c r="E60" i="13"/>
  <c r="E65" i="13"/>
  <c r="E67" i="13"/>
  <c r="N117" i="13"/>
  <c r="E149" i="13"/>
  <c r="E153" i="13"/>
  <c r="L7" i="13"/>
  <c r="L39" i="13"/>
  <c r="N50" i="13"/>
  <c r="E55" i="13"/>
  <c r="E56" i="13"/>
  <c r="E63" i="13"/>
  <c r="F10" i="13"/>
  <c r="N74" i="13"/>
  <c r="N113" i="13"/>
  <c r="E122" i="13"/>
  <c r="E132" i="13"/>
  <c r="N136" i="13"/>
  <c r="E140" i="13"/>
  <c r="E144" i="13"/>
  <c r="N154" i="13"/>
  <c r="N43" i="13"/>
  <c r="E49" i="13"/>
  <c r="N49" i="13"/>
  <c r="N62" i="13"/>
  <c r="N83" i="13"/>
  <c r="E117" i="13"/>
  <c r="N119" i="13"/>
  <c r="E147" i="13"/>
  <c r="N149" i="13"/>
  <c r="N153" i="13"/>
  <c r="N20" i="13"/>
  <c r="N39" i="13" s="1"/>
  <c r="X34" i="13"/>
  <c r="Y34" i="13" s="1"/>
  <c r="H40" i="13"/>
  <c r="N52" i="13"/>
  <c r="N65" i="13"/>
  <c r="E113" i="13"/>
  <c r="E126" i="13"/>
  <c r="E134" i="13"/>
  <c r="E135" i="13"/>
  <c r="E146" i="13"/>
  <c r="E154" i="13"/>
  <c r="K39" i="13"/>
  <c r="K8" i="13"/>
  <c r="K43" i="13"/>
  <c r="J39" i="13"/>
  <c r="E44" i="13"/>
  <c r="E66" i="13"/>
  <c r="N66" i="13"/>
  <c r="N84" i="13"/>
  <c r="J84" i="13"/>
  <c r="K84" i="13" s="1"/>
  <c r="E84" i="13"/>
  <c r="E89" i="13"/>
  <c r="J89" i="13"/>
  <c r="K89" i="13" s="1"/>
  <c r="N89" i="13"/>
  <c r="X33" i="13"/>
  <c r="Y33" i="13" s="1"/>
  <c r="N53" i="13"/>
  <c r="N60" i="13"/>
  <c r="N45" i="13"/>
  <c r="J45" i="13"/>
  <c r="K45" i="13" s="1"/>
  <c r="N46" i="13"/>
  <c r="N8" i="13"/>
  <c r="AA33" i="13"/>
  <c r="N44" i="13"/>
  <c r="E45" i="13"/>
  <c r="N64" i="13"/>
  <c r="N69" i="13"/>
  <c r="L121" i="13"/>
  <c r="E121" i="13"/>
  <c r="J44" i="13"/>
  <c r="K44" i="13" s="1"/>
  <c r="E47" i="13"/>
  <c r="N75" i="13"/>
  <c r="E75" i="13"/>
  <c r="J93" i="13"/>
  <c r="K93" i="13" s="1"/>
  <c r="E93" i="13"/>
  <c r="E52" i="13"/>
  <c r="E59" i="13"/>
  <c r="J65" i="13"/>
  <c r="K65" i="13" s="1"/>
  <c r="N70" i="13"/>
  <c r="J70" i="13"/>
  <c r="K70" i="13" s="1"/>
  <c r="J71" i="13"/>
  <c r="K71" i="13" s="1"/>
  <c r="N72" i="13"/>
  <c r="J72" i="13"/>
  <c r="K72" i="13" s="1"/>
  <c r="E73" i="13"/>
  <c r="N78" i="13"/>
  <c r="J78" i="13"/>
  <c r="K78" i="13" s="1"/>
  <c r="N86" i="13"/>
  <c r="J86" i="13"/>
  <c r="K86" i="13" s="1"/>
  <c r="N107" i="13"/>
  <c r="J107" i="13"/>
  <c r="K107" i="13" s="1"/>
  <c r="E107" i="13"/>
  <c r="J46" i="13"/>
  <c r="K46" i="13" s="1"/>
  <c r="J48" i="13"/>
  <c r="K48" i="13" s="1"/>
  <c r="J50" i="13"/>
  <c r="K50" i="13" s="1"/>
  <c r="E51" i="13"/>
  <c r="J53" i="13"/>
  <c r="K53" i="13" s="1"/>
  <c r="J55" i="13"/>
  <c r="K55" i="13" s="1"/>
  <c r="J57" i="13"/>
  <c r="K57" i="13" s="1"/>
  <c r="E58" i="13"/>
  <c r="J60" i="13"/>
  <c r="K60" i="13" s="1"/>
  <c r="E61" i="13"/>
  <c r="J62" i="13"/>
  <c r="K62" i="13" s="1"/>
  <c r="J64" i="13"/>
  <c r="K64" i="13" s="1"/>
  <c r="J67" i="13"/>
  <c r="K67" i="13" s="1"/>
  <c r="E68" i="13"/>
  <c r="J69" i="13"/>
  <c r="K69" i="13" s="1"/>
  <c r="E70" i="13"/>
  <c r="N73" i="13"/>
  <c r="E74" i="13"/>
  <c r="N80" i="13"/>
  <c r="J80" i="13"/>
  <c r="K80" i="13" s="1"/>
  <c r="N91" i="13"/>
  <c r="N95" i="13"/>
  <c r="N99" i="13"/>
  <c r="N110" i="13"/>
  <c r="J110" i="13"/>
  <c r="K110" i="13" s="1"/>
  <c r="E110" i="13"/>
  <c r="L114" i="13"/>
  <c r="E114" i="13"/>
  <c r="N118" i="13"/>
  <c r="J118" i="13"/>
  <c r="K118" i="13" s="1"/>
  <c r="E118" i="13"/>
  <c r="N128" i="13"/>
  <c r="J128" i="13"/>
  <c r="K128" i="13" s="1"/>
  <c r="E128" i="13"/>
  <c r="J129" i="13"/>
  <c r="K129" i="13" s="1"/>
  <c r="N129" i="13"/>
  <c r="E129" i="13"/>
  <c r="J52" i="13"/>
  <c r="K52" i="13" s="1"/>
  <c r="J59" i="13"/>
  <c r="K59" i="13" s="1"/>
  <c r="E71" i="13"/>
  <c r="N76" i="13"/>
  <c r="N82" i="13"/>
  <c r="J82" i="13"/>
  <c r="K82" i="13" s="1"/>
  <c r="N92" i="13"/>
  <c r="J92" i="13"/>
  <c r="K92" i="13" s="1"/>
  <c r="N112" i="13"/>
  <c r="J112" i="13"/>
  <c r="K112" i="13" s="1"/>
  <c r="E112" i="13"/>
  <c r="N115" i="13"/>
  <c r="J115" i="13"/>
  <c r="K115" i="13" s="1"/>
  <c r="E115" i="13"/>
  <c r="J91" i="13"/>
  <c r="K91" i="13" s="1"/>
  <c r="E94" i="13"/>
  <c r="N94" i="13"/>
  <c r="J94" i="13"/>
  <c r="K94" i="13" s="1"/>
  <c r="N96" i="13"/>
  <c r="J96" i="13"/>
  <c r="K96" i="13" s="1"/>
  <c r="E96" i="13"/>
  <c r="E98" i="13"/>
  <c r="N98" i="13"/>
  <c r="J98" i="13"/>
  <c r="K98" i="13" s="1"/>
  <c r="J76" i="13"/>
  <c r="K76" i="13" s="1"/>
  <c r="E77" i="13"/>
  <c r="E79" i="13"/>
  <c r="E81" i="13"/>
  <c r="E83" i="13"/>
  <c r="E85" i="13"/>
  <c r="E87" i="13"/>
  <c r="E105" i="13"/>
  <c r="N105" i="13"/>
  <c r="J105" i="13"/>
  <c r="N106" i="13"/>
  <c r="E109" i="13"/>
  <c r="N109" i="13"/>
  <c r="J109" i="13"/>
  <c r="K109" i="13" s="1"/>
  <c r="E111" i="13"/>
  <c r="N111" i="13"/>
  <c r="J111" i="13"/>
  <c r="K111" i="13" s="1"/>
  <c r="N114" i="13"/>
  <c r="E116" i="13"/>
  <c r="J116" i="13"/>
  <c r="K116" i="13" s="1"/>
  <c r="N116" i="13"/>
  <c r="E120" i="13"/>
  <c r="J120" i="13"/>
  <c r="K120" i="13" s="1"/>
  <c r="J114" i="13"/>
  <c r="K114" i="13" s="1"/>
  <c r="N121" i="13"/>
  <c r="N123" i="13"/>
  <c r="J123" i="13"/>
  <c r="K123" i="13" s="1"/>
  <c r="E123" i="13"/>
  <c r="E133" i="13"/>
  <c r="J133" i="13"/>
  <c r="K133" i="13" s="1"/>
  <c r="N133" i="13"/>
  <c r="L134" i="13"/>
  <c r="N125" i="13"/>
  <c r="J125" i="13"/>
  <c r="K125" i="13" s="1"/>
  <c r="E125" i="13"/>
  <c r="N124" i="13"/>
  <c r="J127" i="13"/>
  <c r="K127" i="13" s="1"/>
  <c r="N127" i="13"/>
  <c r="N137" i="13"/>
  <c r="J137" i="13"/>
  <c r="K137" i="13" s="1"/>
  <c r="N141" i="13"/>
  <c r="J141" i="13"/>
  <c r="K141" i="13" s="1"/>
  <c r="N145" i="13"/>
  <c r="J145" i="13"/>
  <c r="K145" i="13" s="1"/>
  <c r="N147" i="13"/>
  <c r="N151" i="13"/>
  <c r="N152" i="13"/>
  <c r="J152" i="13"/>
  <c r="K152" i="13" s="1"/>
  <c r="E152" i="13"/>
  <c r="N155" i="13"/>
  <c r="J126" i="13"/>
  <c r="K126" i="13" s="1"/>
  <c r="N131" i="13"/>
  <c r="J131" i="13"/>
  <c r="K131" i="13" s="1"/>
  <c r="E136" i="13"/>
  <c r="E145" i="13"/>
  <c r="N148" i="13"/>
  <c r="J148" i="13"/>
  <c r="K148" i="13" s="1"/>
  <c r="E148" i="13"/>
  <c r="E119" i="13"/>
  <c r="J121" i="13"/>
  <c r="K121" i="13" s="1"/>
  <c r="E124" i="13"/>
  <c r="E127" i="13"/>
  <c r="N139" i="13"/>
  <c r="J139" i="13"/>
  <c r="K139" i="13" s="1"/>
  <c r="N143" i="13"/>
  <c r="J143" i="13"/>
  <c r="K143" i="13" s="1"/>
  <c r="J135" i="13"/>
  <c r="K135" i="13" s="1"/>
  <c r="J150" i="13"/>
  <c r="K150" i="13" s="1"/>
  <c r="N150" i="13"/>
  <c r="J154" i="13"/>
  <c r="K154" i="13" s="1"/>
  <c r="J134" i="13"/>
  <c r="K134" i="13" s="1"/>
  <c r="J151" i="13"/>
  <c r="K151" i="13" s="1"/>
  <c r="J155" i="13"/>
  <c r="K155" i="13" s="1"/>
  <c r="F7" i="13" l="1"/>
  <c r="K10" i="13"/>
  <c r="E101" i="13"/>
  <c r="N9" i="13"/>
  <c r="J101" i="13"/>
  <c r="E158" i="13"/>
  <c r="E163" i="13" s="1"/>
  <c r="J9" i="13"/>
  <c r="N101" i="13"/>
  <c r="N134" i="13"/>
  <c r="N158" i="13" s="1"/>
  <c r="N163" i="13" s="1"/>
  <c r="J158" i="13"/>
  <c r="J163" i="13" s="1"/>
  <c r="K105" i="13"/>
  <c r="K158" i="13" s="1"/>
  <c r="J10" i="13"/>
  <c r="N10" i="13"/>
  <c r="K101" i="13"/>
  <c r="K9" i="13"/>
  <c r="O4" i="13" l="1"/>
  <c r="O30" i="13" s="1"/>
  <c r="AA30" i="13" s="1"/>
  <c r="K7" i="13"/>
  <c r="K163" i="13"/>
  <c r="O31" i="13"/>
  <c r="AA31" i="13" s="1"/>
  <c r="O27" i="13"/>
  <c r="AA27" i="13" s="1"/>
  <c r="O25" i="13"/>
  <c r="AA25" i="13" s="1"/>
  <c r="O21" i="13"/>
  <c r="AA21" i="13" s="1"/>
  <c r="O20" i="13"/>
  <c r="M26" i="13"/>
  <c r="Q26" i="13" s="1"/>
  <c r="R26" i="13" s="1"/>
  <c r="M23" i="13"/>
  <c r="Q23" i="13" s="1"/>
  <c r="R23" i="13" s="1"/>
  <c r="M29" i="13"/>
  <c r="Q29" i="13" s="1"/>
  <c r="R29" i="13" s="1"/>
  <c r="M27" i="13"/>
  <c r="Q27" i="13" s="1"/>
  <c r="R27" i="13" s="1"/>
  <c r="M24" i="13"/>
  <c r="Q24" i="13" s="1"/>
  <c r="R24" i="13" s="1"/>
  <c r="M20" i="13"/>
  <c r="Q20" i="13" s="1"/>
  <c r="R20" i="13" s="1"/>
  <c r="N7" i="13"/>
  <c r="J7" i="13"/>
  <c r="Q41" i="7"/>
  <c r="P41" i="7"/>
  <c r="H41" i="7"/>
  <c r="Q40" i="7"/>
  <c r="P40" i="7"/>
  <c r="H40" i="7"/>
  <c r="Q39" i="7"/>
  <c r="P39" i="7"/>
  <c r="H39" i="7"/>
  <c r="Q28" i="7"/>
  <c r="P28" i="7"/>
  <c r="H28" i="7"/>
  <c r="Q27" i="7"/>
  <c r="P27" i="7"/>
  <c r="H27" i="7"/>
  <c r="Q26" i="7"/>
  <c r="P26" i="7"/>
  <c r="H26" i="7"/>
  <c r="M30" i="13" l="1"/>
  <c r="Q30" i="13" s="1"/>
  <c r="R30" i="13" s="1"/>
  <c r="M21" i="13"/>
  <c r="Q21" i="13" s="1"/>
  <c r="R21" i="13" s="1"/>
  <c r="M28" i="13"/>
  <c r="Q28" i="13" s="1"/>
  <c r="R28" i="13" s="1"/>
  <c r="O23" i="13"/>
  <c r="AA23" i="13" s="1"/>
  <c r="O28" i="13"/>
  <c r="AA28" i="13" s="1"/>
  <c r="M25" i="13"/>
  <c r="Q25" i="13" s="1"/>
  <c r="R25" i="13" s="1"/>
  <c r="M22" i="13"/>
  <c r="Q22" i="13" s="1"/>
  <c r="R22" i="13" s="1"/>
  <c r="O5" i="13"/>
  <c r="O24" i="13"/>
  <c r="AA24" i="13" s="1"/>
  <c r="O29" i="13"/>
  <c r="AA29" i="13" s="1"/>
  <c r="M31" i="13"/>
  <c r="Q31" i="13" s="1"/>
  <c r="R31" i="13" s="1"/>
  <c r="O22" i="13"/>
  <c r="AA22" i="13" s="1"/>
  <c r="O26" i="13"/>
  <c r="AA26" i="13" s="1"/>
  <c r="S21" i="13"/>
  <c r="T21" i="13" s="1"/>
  <c r="V21" i="13" s="1"/>
  <c r="S28" i="13"/>
  <c r="T28" i="13" s="1"/>
  <c r="V28" i="13" s="1"/>
  <c r="S25" i="13"/>
  <c r="T25" i="13" s="1"/>
  <c r="V25" i="13" s="1"/>
  <c r="S22" i="13"/>
  <c r="T22" i="13" s="1"/>
  <c r="V22" i="13" s="1"/>
  <c r="S31" i="13"/>
  <c r="T31" i="13" s="1"/>
  <c r="V31" i="13" s="1"/>
  <c r="S24" i="13"/>
  <c r="T24" i="13"/>
  <c r="V24" i="13" s="1"/>
  <c r="S27" i="13"/>
  <c r="T27" i="13" s="1"/>
  <c r="V27" i="13" s="1"/>
  <c r="S23" i="13"/>
  <c r="T23" i="13" s="1"/>
  <c r="V23" i="13" s="1"/>
  <c r="O155" i="13"/>
  <c r="M153" i="13"/>
  <c r="O151" i="13"/>
  <c r="O147" i="13"/>
  <c r="O154" i="13"/>
  <c r="M152" i="13"/>
  <c r="O150" i="13"/>
  <c r="M148" i="13"/>
  <c r="O135" i="13"/>
  <c r="AA135" i="13" s="1"/>
  <c r="O153" i="13"/>
  <c r="O149" i="13"/>
  <c r="O146" i="13"/>
  <c r="AA146" i="13" s="1"/>
  <c r="O144" i="13"/>
  <c r="AA144" i="13" s="1"/>
  <c r="O142" i="13"/>
  <c r="AA142" i="13" s="1"/>
  <c r="O140" i="13"/>
  <c r="AA140" i="13" s="1"/>
  <c r="O138" i="13"/>
  <c r="AA138" i="13" s="1"/>
  <c r="O136" i="13"/>
  <c r="AA136" i="13" s="1"/>
  <c r="O132" i="13"/>
  <c r="AA132" i="13" s="1"/>
  <c r="O130" i="13"/>
  <c r="AA130" i="13" s="1"/>
  <c r="M144" i="13"/>
  <c r="Q144" i="13" s="1"/>
  <c r="M140" i="13"/>
  <c r="Q140" i="13" s="1"/>
  <c r="M136" i="13"/>
  <c r="Q136" i="13" s="1"/>
  <c r="O131" i="13"/>
  <c r="AA131" i="13" s="1"/>
  <c r="O129" i="13"/>
  <c r="AA129" i="13" s="1"/>
  <c r="O126" i="13"/>
  <c r="AA126" i="13" s="1"/>
  <c r="O148" i="13"/>
  <c r="O145" i="13"/>
  <c r="AA145" i="13" s="1"/>
  <c r="O141" i="13"/>
  <c r="AA141" i="13" s="1"/>
  <c r="O137" i="13"/>
  <c r="AA137" i="13" s="1"/>
  <c r="O133" i="13"/>
  <c r="AA133" i="13" s="1"/>
  <c r="M132" i="13"/>
  <c r="Q132" i="13" s="1"/>
  <c r="O127" i="13"/>
  <c r="AA127" i="13" s="1"/>
  <c r="O124" i="13"/>
  <c r="AA124" i="13" s="1"/>
  <c r="O122" i="13"/>
  <c r="AA122" i="13" s="1"/>
  <c r="O119" i="13"/>
  <c r="AA119" i="13" s="1"/>
  <c r="O117" i="13"/>
  <c r="AA117" i="13" s="1"/>
  <c r="O152" i="13"/>
  <c r="M146" i="13"/>
  <c r="Q146" i="13" s="1"/>
  <c r="M142" i="13"/>
  <c r="Q142" i="13" s="1"/>
  <c r="M138" i="13"/>
  <c r="Q138" i="13" s="1"/>
  <c r="O134" i="13"/>
  <c r="AA134" i="13" s="1"/>
  <c r="O120" i="13"/>
  <c r="AA120" i="13" s="1"/>
  <c r="O143" i="13"/>
  <c r="AA143" i="13" s="1"/>
  <c r="O125" i="13"/>
  <c r="AA125" i="13" s="1"/>
  <c r="O118" i="13"/>
  <c r="AA118" i="13" s="1"/>
  <c r="O113" i="13"/>
  <c r="AA113" i="13" s="1"/>
  <c r="O108" i="13"/>
  <c r="AA108" i="13" s="1"/>
  <c r="O99" i="13"/>
  <c r="O95" i="13"/>
  <c r="M150" i="13"/>
  <c r="O139" i="13"/>
  <c r="AA139" i="13" s="1"/>
  <c r="M130" i="13"/>
  <c r="Q130" i="13" s="1"/>
  <c r="O123" i="13"/>
  <c r="AA123" i="13" s="1"/>
  <c r="M122" i="13"/>
  <c r="Q122" i="13" s="1"/>
  <c r="O121" i="13"/>
  <c r="AA121" i="13" s="1"/>
  <c r="O116" i="13"/>
  <c r="AA116" i="13" s="1"/>
  <c r="O106" i="13"/>
  <c r="AA106" i="13" s="1"/>
  <c r="O97" i="13"/>
  <c r="O93" i="13"/>
  <c r="M111" i="13"/>
  <c r="Q111" i="13" s="1"/>
  <c r="M109" i="13"/>
  <c r="Q109" i="13" s="1"/>
  <c r="M105" i="13"/>
  <c r="Q105" i="13" s="1"/>
  <c r="O98" i="13"/>
  <c r="O96" i="13"/>
  <c r="O94" i="13"/>
  <c r="O92" i="13"/>
  <c r="O91" i="13"/>
  <c r="O73" i="13"/>
  <c r="AA73" i="13" s="1"/>
  <c r="O115" i="13"/>
  <c r="AA115" i="13" s="1"/>
  <c r="O112" i="13"/>
  <c r="AA112" i="13" s="1"/>
  <c r="O110" i="13"/>
  <c r="AA110" i="13" s="1"/>
  <c r="O107" i="13"/>
  <c r="AA107" i="13" s="1"/>
  <c r="M98" i="13"/>
  <c r="M96" i="13"/>
  <c r="M94" i="13"/>
  <c r="O90" i="13"/>
  <c r="O87" i="13"/>
  <c r="AA87" i="13" s="1"/>
  <c r="O85" i="13"/>
  <c r="AA85" i="13" s="1"/>
  <c r="O83" i="13"/>
  <c r="AA83" i="13" s="1"/>
  <c r="O81" i="13"/>
  <c r="AA81" i="13" s="1"/>
  <c r="O79" i="13"/>
  <c r="AA79" i="13" s="1"/>
  <c r="O77" i="13"/>
  <c r="AA77" i="13" s="1"/>
  <c r="M154" i="13"/>
  <c r="M135" i="13"/>
  <c r="Q135" i="13" s="1"/>
  <c r="O109" i="13"/>
  <c r="AA109" i="13" s="1"/>
  <c r="O88" i="13"/>
  <c r="AA88" i="13" s="1"/>
  <c r="M85" i="13"/>
  <c r="Q85" i="13" s="1"/>
  <c r="O80" i="13"/>
  <c r="AA80" i="13" s="1"/>
  <c r="M77" i="13"/>
  <c r="Q77" i="13" s="1"/>
  <c r="O72" i="13"/>
  <c r="AA72" i="13" s="1"/>
  <c r="O70" i="13"/>
  <c r="AA70" i="13" s="1"/>
  <c r="O69" i="13"/>
  <c r="AA69" i="13" s="1"/>
  <c r="M68" i="13"/>
  <c r="Q68" i="13" s="1"/>
  <c r="O67" i="13"/>
  <c r="AA67" i="13" s="1"/>
  <c r="O64" i="13"/>
  <c r="AA64" i="13" s="1"/>
  <c r="M63" i="13"/>
  <c r="Q63" i="13" s="1"/>
  <c r="O62" i="13"/>
  <c r="AA62" i="13" s="1"/>
  <c r="M61" i="13"/>
  <c r="Q61" i="13" s="1"/>
  <c r="O60" i="13"/>
  <c r="AA60" i="13" s="1"/>
  <c r="M58" i="13"/>
  <c r="Q58" i="13" s="1"/>
  <c r="O57" i="13"/>
  <c r="AA57" i="13" s="1"/>
  <c r="M56" i="13"/>
  <c r="Q56" i="13" s="1"/>
  <c r="O55" i="13"/>
  <c r="AA55" i="13" s="1"/>
  <c r="M54" i="13"/>
  <c r="Q54" i="13" s="1"/>
  <c r="O53" i="13"/>
  <c r="AA53" i="13" s="1"/>
  <c r="M51" i="13"/>
  <c r="Q51" i="13" s="1"/>
  <c r="O50" i="13"/>
  <c r="AA50" i="13" s="1"/>
  <c r="M49" i="13"/>
  <c r="Q49" i="13" s="1"/>
  <c r="O48" i="13"/>
  <c r="AA48" i="13" s="1"/>
  <c r="M47" i="13"/>
  <c r="Q47" i="13" s="1"/>
  <c r="O46" i="13"/>
  <c r="M44" i="13"/>
  <c r="Q44" i="13" s="1"/>
  <c r="M115" i="13"/>
  <c r="Q115" i="13" s="1"/>
  <c r="M112" i="13"/>
  <c r="Q112" i="13" s="1"/>
  <c r="O89" i="13"/>
  <c r="O86" i="13"/>
  <c r="AA86" i="13" s="1"/>
  <c r="M83" i="13"/>
  <c r="Q83" i="13" s="1"/>
  <c r="O78" i="13"/>
  <c r="AA78" i="13" s="1"/>
  <c r="M72" i="13"/>
  <c r="Q72" i="13" s="1"/>
  <c r="O71" i="13"/>
  <c r="AA71" i="13" s="1"/>
  <c r="M70" i="13"/>
  <c r="Q70" i="13" s="1"/>
  <c r="O65" i="13"/>
  <c r="AA65" i="13" s="1"/>
  <c r="O43" i="13"/>
  <c r="O128" i="13"/>
  <c r="AA128" i="13" s="1"/>
  <c r="M119" i="13"/>
  <c r="Q119" i="13" s="1"/>
  <c r="M110" i="13"/>
  <c r="Q110" i="13" s="1"/>
  <c r="O105" i="13"/>
  <c r="O84" i="13"/>
  <c r="AA84" i="13" s="1"/>
  <c r="M81" i="13"/>
  <c r="Q81" i="13" s="1"/>
  <c r="O76" i="13"/>
  <c r="AA76" i="13" s="1"/>
  <c r="O74" i="13"/>
  <c r="AA74" i="13" s="1"/>
  <c r="O68" i="13"/>
  <c r="AA68" i="13" s="1"/>
  <c r="O66" i="13"/>
  <c r="AA66" i="13" s="1"/>
  <c r="O63" i="13"/>
  <c r="AA63" i="13" s="1"/>
  <c r="O61" i="13"/>
  <c r="AA61" i="13" s="1"/>
  <c r="O58" i="13"/>
  <c r="AA58" i="13" s="1"/>
  <c r="O56" i="13"/>
  <c r="AA56" i="13" s="1"/>
  <c r="O54" i="13"/>
  <c r="AA54" i="13" s="1"/>
  <c r="O51" i="13"/>
  <c r="AA51" i="13" s="1"/>
  <c r="O49" i="13"/>
  <c r="AA49" i="13" s="1"/>
  <c r="M117" i="13"/>
  <c r="Q117" i="13" s="1"/>
  <c r="O111" i="13"/>
  <c r="AA111" i="13" s="1"/>
  <c r="O75" i="13"/>
  <c r="AA75" i="13" s="1"/>
  <c r="O44" i="13"/>
  <c r="AA44" i="13" s="1"/>
  <c r="O114" i="13"/>
  <c r="AA114" i="13" s="1"/>
  <c r="M107" i="13"/>
  <c r="Q107" i="13" s="1"/>
  <c r="M79" i="13"/>
  <c r="Q79" i="13" s="1"/>
  <c r="M71" i="13"/>
  <c r="Q71" i="13" s="1"/>
  <c r="M65" i="13"/>
  <c r="Q65" i="13" s="1"/>
  <c r="O45" i="13"/>
  <c r="AA45" i="13" s="1"/>
  <c r="M43" i="13"/>
  <c r="Q43" i="13" s="1"/>
  <c r="O59" i="13"/>
  <c r="AA59" i="13" s="1"/>
  <c r="O52" i="13"/>
  <c r="AA52" i="13" s="1"/>
  <c r="O47" i="13"/>
  <c r="AA47" i="13" s="1"/>
  <c r="M124" i="13"/>
  <c r="Q124" i="13" s="1"/>
  <c r="M90" i="13"/>
  <c r="M87" i="13"/>
  <c r="Q87" i="13" s="1"/>
  <c r="O82" i="13"/>
  <c r="AA82" i="13" s="1"/>
  <c r="M46" i="13"/>
  <c r="Q46" i="13" s="1"/>
  <c r="M57" i="13"/>
  <c r="Q57" i="13" s="1"/>
  <c r="M53" i="13"/>
  <c r="Q53" i="13" s="1"/>
  <c r="M45" i="13"/>
  <c r="Q45" i="13" s="1"/>
  <c r="M74" i="13"/>
  <c r="Q74" i="13" s="1"/>
  <c r="M89" i="13"/>
  <c r="M95" i="13"/>
  <c r="M82" i="13"/>
  <c r="Q82" i="13" s="1"/>
  <c r="M108" i="13"/>
  <c r="Q108" i="13" s="1"/>
  <c r="M123" i="13"/>
  <c r="Q123" i="13" s="1"/>
  <c r="M151" i="13"/>
  <c r="M128" i="13"/>
  <c r="Q128" i="13" s="1"/>
  <c r="M129" i="13"/>
  <c r="Q129" i="13" s="1"/>
  <c r="M137" i="13"/>
  <c r="Q137" i="13" s="1"/>
  <c r="M141" i="13"/>
  <c r="Q141" i="13" s="1"/>
  <c r="M145" i="13"/>
  <c r="Q145" i="13" s="1"/>
  <c r="M131" i="13"/>
  <c r="Q131" i="13" s="1"/>
  <c r="M52" i="13"/>
  <c r="Q52" i="13" s="1"/>
  <c r="M62" i="13"/>
  <c r="Q62" i="13" s="1"/>
  <c r="M125" i="13"/>
  <c r="Q125" i="13" s="1"/>
  <c r="M55" i="13"/>
  <c r="Q55" i="13" s="1"/>
  <c r="M127" i="13"/>
  <c r="Q127" i="13" s="1"/>
  <c r="M155" i="13"/>
  <c r="M118" i="13"/>
  <c r="Q118" i="13" s="1"/>
  <c r="M75" i="13"/>
  <c r="Q75" i="13" s="1"/>
  <c r="M50" i="13"/>
  <c r="Q50" i="13" s="1"/>
  <c r="M91" i="13"/>
  <c r="M60" i="13"/>
  <c r="Q60" i="13" s="1"/>
  <c r="M48" i="13"/>
  <c r="Q48" i="13" s="1"/>
  <c r="M67" i="13"/>
  <c r="Q67" i="13" s="1"/>
  <c r="M78" i="13"/>
  <c r="Q78" i="13" s="1"/>
  <c r="M99" i="13"/>
  <c r="M88" i="13"/>
  <c r="Q88" i="13" s="1"/>
  <c r="M92" i="13"/>
  <c r="M126" i="13"/>
  <c r="Q126" i="13" s="1"/>
  <c r="M116" i="13"/>
  <c r="Q116" i="13" s="1"/>
  <c r="M133" i="13"/>
  <c r="Q133" i="13" s="1"/>
  <c r="M149" i="13"/>
  <c r="M73" i="13"/>
  <c r="Q73" i="13" s="1"/>
  <c r="M97" i="13"/>
  <c r="M147" i="13"/>
  <c r="M139" i="13"/>
  <c r="Q139" i="13" s="1"/>
  <c r="M64" i="13"/>
  <c r="Q64" i="13" s="1"/>
  <c r="M69" i="13"/>
  <c r="Q69" i="13" s="1"/>
  <c r="M59" i="13"/>
  <c r="Q59" i="13" s="1"/>
  <c r="M66" i="13"/>
  <c r="Q66" i="13" s="1"/>
  <c r="M76" i="13"/>
  <c r="Q76" i="13" s="1"/>
  <c r="M86" i="13"/>
  <c r="Q86" i="13" s="1"/>
  <c r="M113" i="13"/>
  <c r="Q113" i="13" s="1"/>
  <c r="M80" i="13"/>
  <c r="Q80" i="13" s="1"/>
  <c r="M93" i="13"/>
  <c r="M106" i="13"/>
  <c r="Q106" i="13" s="1"/>
  <c r="M84" i="13"/>
  <c r="Q84" i="13" s="1"/>
  <c r="M120" i="13"/>
  <c r="Q120" i="13" s="1"/>
  <c r="M143" i="13"/>
  <c r="Q143" i="13" s="1"/>
  <c r="M134" i="13"/>
  <c r="Q134" i="13" s="1"/>
  <c r="M121" i="13"/>
  <c r="Q121" i="13" s="1"/>
  <c r="M114" i="13"/>
  <c r="Q114" i="13" s="1"/>
  <c r="S20" i="13"/>
  <c r="T20" i="13" s="1"/>
  <c r="V20" i="13" s="1"/>
  <c r="S29" i="13"/>
  <c r="T29" i="13" s="1"/>
  <c r="V29" i="13" s="1"/>
  <c r="S26" i="13"/>
  <c r="T26" i="13" s="1"/>
  <c r="V26" i="13" s="1"/>
  <c r="W26" i="13" s="1"/>
  <c r="X26" i="13" s="1"/>
  <c r="Y26" i="13" s="1"/>
  <c r="AA20" i="13"/>
  <c r="AA39" i="13" s="1"/>
  <c r="O8" i="13"/>
  <c r="O39" i="13"/>
  <c r="S30" i="13"/>
  <c r="T30" i="13" s="1"/>
  <c r="V30" i="13" s="1"/>
  <c r="R40" i="7"/>
  <c r="R41" i="7"/>
  <c r="R39" i="7"/>
  <c r="R26" i="7"/>
  <c r="R27" i="7"/>
  <c r="R28" i="7"/>
  <c r="P20" i="7"/>
  <c r="Q20" i="7"/>
  <c r="H20" i="7"/>
  <c r="W30" i="13" l="1"/>
  <c r="X30" i="13" s="1"/>
  <c r="Y30" i="13" s="1"/>
  <c r="AB30" i="13"/>
  <c r="W31" i="13"/>
  <c r="X31" i="13" s="1"/>
  <c r="Y31" i="13" s="1"/>
  <c r="AB31" i="13"/>
  <c r="W25" i="13"/>
  <c r="X25" i="13" s="1"/>
  <c r="Y25" i="13" s="1"/>
  <c r="AB25" i="13"/>
  <c r="W29" i="13"/>
  <c r="X29" i="13" s="1"/>
  <c r="Y29" i="13" s="1"/>
  <c r="AB29" i="13"/>
  <c r="AB27" i="13"/>
  <c r="W27" i="13"/>
  <c r="X27" i="13" s="1"/>
  <c r="Y27" i="13" s="1"/>
  <c r="AB20" i="13"/>
  <c r="W20" i="13"/>
  <c r="W21" i="13"/>
  <c r="X21" i="13" s="1"/>
  <c r="Y21" i="13" s="1"/>
  <c r="AB21" i="13"/>
  <c r="S114" i="13"/>
  <c r="T114" i="13" s="1"/>
  <c r="V114" i="13" s="1"/>
  <c r="S66" i="13"/>
  <c r="T66" i="13" s="1"/>
  <c r="V66" i="13" s="1"/>
  <c r="S127" i="13"/>
  <c r="T127" i="13" s="1"/>
  <c r="V127" i="13" s="1"/>
  <c r="S123" i="13"/>
  <c r="T123" i="13" s="1"/>
  <c r="V123" i="13" s="1"/>
  <c r="S80" i="13"/>
  <c r="T80" i="13" s="1"/>
  <c r="V80" i="13" s="1"/>
  <c r="S50" i="13"/>
  <c r="T50" i="13" s="1"/>
  <c r="V50" i="13" s="1"/>
  <c r="S137" i="13"/>
  <c r="T137" i="13" s="1"/>
  <c r="V137" i="13" s="1"/>
  <c r="S44" i="13"/>
  <c r="T44" i="13" s="1"/>
  <c r="V44" i="13" s="1"/>
  <c r="S54" i="13"/>
  <c r="T54" i="13" s="1"/>
  <c r="V54" i="13" s="1"/>
  <c r="S63" i="13"/>
  <c r="T63" i="13" s="1"/>
  <c r="V63" i="13" s="1"/>
  <c r="S111" i="13"/>
  <c r="T111" i="13" s="1"/>
  <c r="V111" i="13" s="1"/>
  <c r="S138" i="13"/>
  <c r="T138" i="13" s="1"/>
  <c r="V138" i="13" s="1"/>
  <c r="S144" i="13"/>
  <c r="T144" i="13" s="1"/>
  <c r="V144" i="13" s="1"/>
  <c r="AB23" i="13"/>
  <c r="W23" i="13"/>
  <c r="X23" i="13" s="1"/>
  <c r="Y23" i="13" s="1"/>
  <c r="AB24" i="13"/>
  <c r="W24" i="13"/>
  <c r="X24" i="13" s="1"/>
  <c r="Y24" i="13" s="1"/>
  <c r="W22" i="13"/>
  <c r="X22" i="13" s="1"/>
  <c r="Y22" i="13" s="1"/>
  <c r="AB22" i="13"/>
  <c r="W28" i="13"/>
  <c r="X28" i="13" s="1"/>
  <c r="Y28" i="13" s="1"/>
  <c r="AB28" i="13"/>
  <c r="S121" i="13"/>
  <c r="T121" i="13" s="1"/>
  <c r="V121" i="13" s="1"/>
  <c r="S113" i="13"/>
  <c r="T113" i="13" s="1"/>
  <c r="V113" i="13" s="1"/>
  <c r="S88" i="13"/>
  <c r="T88" i="13" s="1"/>
  <c r="V88" i="13" s="1"/>
  <c r="W88" i="13" s="1"/>
  <c r="X88" i="13" s="1"/>
  <c r="Y88" i="13" s="1"/>
  <c r="S75" i="13"/>
  <c r="T75" i="13" s="1"/>
  <c r="V75" i="13" s="1"/>
  <c r="S131" i="13"/>
  <c r="T131" i="13" s="1"/>
  <c r="V131" i="13" s="1"/>
  <c r="S129" i="13"/>
  <c r="T129" i="13" s="1"/>
  <c r="V129" i="13" s="1"/>
  <c r="S74" i="13"/>
  <c r="T74" i="13" s="1"/>
  <c r="V74" i="13" s="1"/>
  <c r="S124" i="13"/>
  <c r="T124" i="13" s="1"/>
  <c r="V124" i="13" s="1"/>
  <c r="S79" i="13"/>
  <c r="T79" i="13" s="1"/>
  <c r="V79" i="13" s="1"/>
  <c r="O101" i="13"/>
  <c r="AA43" i="13"/>
  <c r="O9" i="13"/>
  <c r="S142" i="13"/>
  <c r="T142" i="13" s="1"/>
  <c r="V142" i="13" s="1"/>
  <c r="S132" i="13"/>
  <c r="T132" i="13" s="1"/>
  <c r="V132" i="13" s="1"/>
  <c r="S134" i="13"/>
  <c r="T134" i="13" s="1"/>
  <c r="V134" i="13" s="1"/>
  <c r="S106" i="13"/>
  <c r="T106" i="13" s="1"/>
  <c r="V106" i="13" s="1"/>
  <c r="S86" i="13"/>
  <c r="T86" i="13" s="1"/>
  <c r="V86" i="13" s="1"/>
  <c r="S69" i="13"/>
  <c r="T69" i="13" s="1"/>
  <c r="V69" i="13" s="1"/>
  <c r="S116" i="13"/>
  <c r="T116" i="13" s="1"/>
  <c r="V116" i="13" s="1"/>
  <c r="S60" i="13"/>
  <c r="T60" i="13" s="1"/>
  <c r="V60" i="13" s="1"/>
  <c r="S118" i="13"/>
  <c r="T118" i="13" s="1"/>
  <c r="V118" i="13" s="1"/>
  <c r="T125" i="13"/>
  <c r="V125" i="13" s="1"/>
  <c r="S125" i="13"/>
  <c r="S145" i="13"/>
  <c r="T145" i="13" s="1"/>
  <c r="V145" i="13" s="1"/>
  <c r="S128" i="13"/>
  <c r="T128" i="13" s="1"/>
  <c r="V128" i="13" s="1"/>
  <c r="S82" i="13"/>
  <c r="T82" i="13" s="1"/>
  <c r="V82" i="13" s="1"/>
  <c r="S45" i="13"/>
  <c r="T45" i="13" s="1"/>
  <c r="V45" i="13" s="1"/>
  <c r="S107" i="13"/>
  <c r="T107" i="13" s="1"/>
  <c r="V107" i="13" s="1"/>
  <c r="S110" i="13"/>
  <c r="T110" i="13" s="1"/>
  <c r="V110" i="13" s="1"/>
  <c r="S112" i="13"/>
  <c r="T112" i="13" s="1"/>
  <c r="V112" i="13" s="1"/>
  <c r="S47" i="13"/>
  <c r="T47" i="13" s="1"/>
  <c r="V47" i="13" s="1"/>
  <c r="S51" i="13"/>
  <c r="T51" i="13"/>
  <c r="V51" i="13" s="1"/>
  <c r="S56" i="13"/>
  <c r="T56" i="13" s="1"/>
  <c r="V56" i="13" s="1"/>
  <c r="S61" i="13"/>
  <c r="T61" i="13" s="1"/>
  <c r="V61" i="13" s="1"/>
  <c r="S105" i="13"/>
  <c r="T105" i="13" s="1"/>
  <c r="V105" i="13" s="1"/>
  <c r="S122" i="13"/>
  <c r="T122" i="13" s="1"/>
  <c r="V122" i="13" s="1"/>
  <c r="S146" i="13"/>
  <c r="T146" i="13" s="1"/>
  <c r="V146" i="13" s="1"/>
  <c r="S136" i="13"/>
  <c r="T136" i="13" s="1"/>
  <c r="V136" i="13" s="1"/>
  <c r="S120" i="13"/>
  <c r="T120" i="13" s="1"/>
  <c r="V120" i="13" s="1"/>
  <c r="S139" i="13"/>
  <c r="T139" i="13" s="1"/>
  <c r="V139" i="13" s="1"/>
  <c r="S67" i="13"/>
  <c r="T67" i="13" s="1"/>
  <c r="V67" i="13" s="1"/>
  <c r="T52" i="13"/>
  <c r="V52" i="13" s="1"/>
  <c r="S52" i="13"/>
  <c r="S57" i="13"/>
  <c r="T57" i="13" s="1"/>
  <c r="V57" i="13" s="1"/>
  <c r="S71" i="13"/>
  <c r="T71" i="13" s="1"/>
  <c r="V71" i="13" s="1"/>
  <c r="S49" i="13"/>
  <c r="T49" i="13" s="1"/>
  <c r="V49" i="13" s="1"/>
  <c r="S58" i="13"/>
  <c r="T58" i="13" s="1"/>
  <c r="V58" i="13" s="1"/>
  <c r="S135" i="13"/>
  <c r="T135" i="13" s="1"/>
  <c r="V135" i="13" s="1"/>
  <c r="T130" i="13"/>
  <c r="V130" i="13" s="1"/>
  <c r="S130" i="13"/>
  <c r="S84" i="13"/>
  <c r="T84" i="13" s="1"/>
  <c r="V84" i="13" s="1"/>
  <c r="T59" i="13"/>
  <c r="V59" i="13" s="1"/>
  <c r="S59" i="13"/>
  <c r="S133" i="13"/>
  <c r="T133" i="13" s="1"/>
  <c r="V133" i="13" s="1"/>
  <c r="T48" i="13"/>
  <c r="V48" i="13" s="1"/>
  <c r="S48" i="13"/>
  <c r="S55" i="13"/>
  <c r="T55" i="13" s="1"/>
  <c r="V55" i="13" s="1"/>
  <c r="S108" i="13"/>
  <c r="T108" i="13" s="1"/>
  <c r="V108" i="13" s="1"/>
  <c r="S46" i="13"/>
  <c r="T46" i="13" s="1"/>
  <c r="V46" i="13" s="1"/>
  <c r="S43" i="13"/>
  <c r="T43" i="13" s="1"/>
  <c r="V43" i="13" s="1"/>
  <c r="O158" i="13"/>
  <c r="AA105" i="13"/>
  <c r="AA158" i="13" s="1"/>
  <c r="T72" i="13"/>
  <c r="V72" i="13" s="1"/>
  <c r="S72" i="13"/>
  <c r="AA46" i="13"/>
  <c r="O10" i="13"/>
  <c r="O7" i="13" s="1"/>
  <c r="T85" i="13"/>
  <c r="V85" i="13" s="1"/>
  <c r="S85" i="13"/>
  <c r="S143" i="13"/>
  <c r="T143" i="13" s="1"/>
  <c r="V143" i="13" s="1"/>
  <c r="S76" i="13"/>
  <c r="T76" i="13" s="1"/>
  <c r="V76" i="13" s="1"/>
  <c r="S64" i="13"/>
  <c r="T64" i="13" s="1"/>
  <c r="V64" i="13" s="1"/>
  <c r="S73" i="13"/>
  <c r="T73" i="13" s="1"/>
  <c r="V73" i="13" s="1"/>
  <c r="S126" i="13"/>
  <c r="T126" i="13" s="1"/>
  <c r="V126" i="13" s="1"/>
  <c r="S78" i="13"/>
  <c r="T78" i="13" s="1"/>
  <c r="V78" i="13" s="1"/>
  <c r="S62" i="13"/>
  <c r="T62" i="13" s="1"/>
  <c r="V62" i="13" s="1"/>
  <c r="T141" i="13"/>
  <c r="V141" i="13" s="1"/>
  <c r="S141" i="13"/>
  <c r="S53" i="13"/>
  <c r="T53" i="13" s="1"/>
  <c r="V53" i="13" s="1"/>
  <c r="S87" i="13"/>
  <c r="T87" i="13" s="1"/>
  <c r="V87" i="13" s="1"/>
  <c r="S65" i="13"/>
  <c r="T65" i="13" s="1"/>
  <c r="V65" i="13" s="1"/>
  <c r="S117" i="13"/>
  <c r="T117" i="13" s="1"/>
  <c r="V117" i="13" s="1"/>
  <c r="S81" i="13"/>
  <c r="T81" i="13" s="1"/>
  <c r="V81" i="13" s="1"/>
  <c r="S119" i="13"/>
  <c r="T119" i="13" s="1"/>
  <c r="V119" i="13" s="1"/>
  <c r="S70" i="13"/>
  <c r="T70" i="13" s="1"/>
  <c r="V70" i="13" s="1"/>
  <c r="S83" i="13"/>
  <c r="T83" i="13" s="1"/>
  <c r="V83" i="13" s="1"/>
  <c r="S115" i="13"/>
  <c r="T115" i="13" s="1"/>
  <c r="V115" i="13" s="1"/>
  <c r="S68" i="13"/>
  <c r="T68" i="13" s="1"/>
  <c r="V68" i="13" s="1"/>
  <c r="S77" i="13"/>
  <c r="T77" i="13" s="1"/>
  <c r="V77" i="13" s="1"/>
  <c r="S109" i="13"/>
  <c r="T109" i="13" s="1"/>
  <c r="V109" i="13" s="1"/>
  <c r="S140" i="13"/>
  <c r="T140" i="13" s="1"/>
  <c r="V140" i="13" s="1"/>
  <c r="R20" i="7"/>
  <c r="AB140" i="13" l="1"/>
  <c r="W140" i="13"/>
  <c r="X140" i="13" s="1"/>
  <c r="Y140" i="13" s="1"/>
  <c r="W70" i="13"/>
  <c r="X70" i="13" s="1"/>
  <c r="Y70" i="13" s="1"/>
  <c r="AB70" i="13"/>
  <c r="W46" i="13"/>
  <c r="X46" i="13" s="1"/>
  <c r="Y46" i="13" s="1"/>
  <c r="AB46" i="13"/>
  <c r="W135" i="13"/>
  <c r="X135" i="13" s="1"/>
  <c r="Y135" i="13" s="1"/>
  <c r="AB135" i="13"/>
  <c r="AB67" i="13"/>
  <c r="W67" i="13"/>
  <c r="X67" i="13" s="1"/>
  <c r="Y67" i="13" s="1"/>
  <c r="AB112" i="13"/>
  <c r="W112" i="13"/>
  <c r="X112" i="13" s="1"/>
  <c r="Y112" i="13" s="1"/>
  <c r="AB118" i="13"/>
  <c r="W118" i="13"/>
  <c r="X118" i="13" s="1"/>
  <c r="Y118" i="13" s="1"/>
  <c r="AB134" i="13"/>
  <c r="W134" i="13"/>
  <c r="X134" i="13" s="1"/>
  <c r="Y134" i="13" s="1"/>
  <c r="AB79" i="13"/>
  <c r="W79" i="13"/>
  <c r="X79" i="13" s="1"/>
  <c r="Y79" i="13" s="1"/>
  <c r="AB129" i="13"/>
  <c r="W129" i="13"/>
  <c r="X129" i="13" s="1"/>
  <c r="Y129" i="13" s="1"/>
  <c r="AB113" i="13"/>
  <c r="W113" i="13"/>
  <c r="X113" i="13" s="1"/>
  <c r="Y113" i="13" s="1"/>
  <c r="AB111" i="13"/>
  <c r="W111" i="13"/>
  <c r="X111" i="13" s="1"/>
  <c r="Y111" i="13" s="1"/>
  <c r="AB44" i="13"/>
  <c r="W44" i="13"/>
  <c r="X44" i="13" s="1"/>
  <c r="Y44" i="13" s="1"/>
  <c r="AB80" i="13"/>
  <c r="W80" i="13"/>
  <c r="X80" i="13" s="1"/>
  <c r="Y80" i="13" s="1"/>
  <c r="AB66" i="13"/>
  <c r="W66" i="13"/>
  <c r="X66" i="13" s="1"/>
  <c r="Y66" i="13" s="1"/>
  <c r="AB115" i="13"/>
  <c r="W115" i="13"/>
  <c r="X115" i="13" s="1"/>
  <c r="Y115" i="13" s="1"/>
  <c r="W62" i="13"/>
  <c r="X62" i="13" s="1"/>
  <c r="Y62" i="13" s="1"/>
  <c r="AB62" i="13"/>
  <c r="AB108" i="13"/>
  <c r="AC108" i="13" s="1"/>
  <c r="W108" i="13"/>
  <c r="X108" i="13" s="1"/>
  <c r="Y108" i="13" s="1"/>
  <c r="AB84" i="13"/>
  <c r="W84" i="13"/>
  <c r="X84" i="13" s="1"/>
  <c r="Y84" i="13" s="1"/>
  <c r="AB58" i="13"/>
  <c r="W58" i="13"/>
  <c r="X58" i="13" s="1"/>
  <c r="Y58" i="13" s="1"/>
  <c r="W57" i="13"/>
  <c r="X57" i="13" s="1"/>
  <c r="Y57" i="13" s="1"/>
  <c r="AB57" i="13"/>
  <c r="AB136" i="13"/>
  <c r="W136" i="13"/>
  <c r="X136" i="13" s="1"/>
  <c r="Y136" i="13" s="1"/>
  <c r="AB145" i="13"/>
  <c r="W145" i="13"/>
  <c r="X145" i="13" s="1"/>
  <c r="Y145" i="13" s="1"/>
  <c r="AB131" i="13"/>
  <c r="W131" i="13"/>
  <c r="X131" i="13" s="1"/>
  <c r="Y131" i="13" s="1"/>
  <c r="AB121" i="13"/>
  <c r="W121" i="13"/>
  <c r="X121" i="13" s="1"/>
  <c r="Y121" i="13" s="1"/>
  <c r="AB63" i="13"/>
  <c r="W63" i="13"/>
  <c r="X63" i="13" s="1"/>
  <c r="Y63" i="13" s="1"/>
  <c r="AB137" i="13"/>
  <c r="W137" i="13"/>
  <c r="X137" i="13" s="1"/>
  <c r="Y137" i="13" s="1"/>
  <c r="AB114" i="13"/>
  <c r="W114" i="13"/>
  <c r="X114" i="13" s="1"/>
  <c r="Y114" i="13" s="1"/>
  <c r="AB55" i="13"/>
  <c r="W55" i="13"/>
  <c r="X55" i="13" s="1"/>
  <c r="Y55" i="13" s="1"/>
  <c r="AB146" i="13"/>
  <c r="W146" i="13"/>
  <c r="X146" i="13" s="1"/>
  <c r="Y146" i="13" s="1"/>
  <c r="AB82" i="13"/>
  <c r="W82" i="13"/>
  <c r="X82" i="13" s="1"/>
  <c r="Y82" i="13" s="1"/>
  <c r="AB86" i="13"/>
  <c r="W86" i="13"/>
  <c r="X86" i="13" s="1"/>
  <c r="Y86" i="13" s="1"/>
  <c r="AB75" i="13"/>
  <c r="W75" i="13"/>
  <c r="X75" i="13" s="1"/>
  <c r="Y75" i="13" s="1"/>
  <c r="AB144" i="13"/>
  <c r="W144" i="13"/>
  <c r="X144" i="13" s="1"/>
  <c r="Y144" i="13" s="1"/>
  <c r="AB68" i="13"/>
  <c r="W68" i="13"/>
  <c r="X68" i="13" s="1"/>
  <c r="Y68" i="13" s="1"/>
  <c r="AB126" i="13"/>
  <c r="W126" i="13"/>
  <c r="X126" i="13" s="1"/>
  <c r="Y126" i="13" s="1"/>
  <c r="AB71" i="13"/>
  <c r="W71" i="13"/>
  <c r="X71" i="13" s="1"/>
  <c r="Y71" i="13" s="1"/>
  <c r="AB56" i="13"/>
  <c r="W56" i="13"/>
  <c r="X56" i="13" s="1"/>
  <c r="Y56" i="13" s="1"/>
  <c r="AB53" i="13"/>
  <c r="W53" i="13"/>
  <c r="X53" i="13" s="1"/>
  <c r="Y53" i="13" s="1"/>
  <c r="AB143" i="13"/>
  <c r="W143" i="13"/>
  <c r="X143" i="13" s="1"/>
  <c r="Y143" i="13" s="1"/>
  <c r="AB77" i="13"/>
  <c r="W77" i="13"/>
  <c r="X77" i="13" s="1"/>
  <c r="Y77" i="13" s="1"/>
  <c r="AB65" i="13"/>
  <c r="W65" i="13"/>
  <c r="X65" i="13" s="1"/>
  <c r="Y65" i="13" s="1"/>
  <c r="W64" i="13"/>
  <c r="X64" i="13" s="1"/>
  <c r="Y64" i="13" s="1"/>
  <c r="AB64" i="13"/>
  <c r="AB43" i="13"/>
  <c r="W43" i="13"/>
  <c r="AB122" i="13"/>
  <c r="W122" i="13"/>
  <c r="X122" i="13" s="1"/>
  <c r="Y122" i="13" s="1"/>
  <c r="AB47" i="13"/>
  <c r="W47" i="13"/>
  <c r="X47" i="13" s="1"/>
  <c r="Y47" i="13" s="1"/>
  <c r="AB107" i="13"/>
  <c r="AC107" i="13" s="1"/>
  <c r="W107" i="13"/>
  <c r="X107" i="13" s="1"/>
  <c r="Y107" i="13" s="1"/>
  <c r="AB116" i="13"/>
  <c r="W116" i="13"/>
  <c r="X116" i="13" s="1"/>
  <c r="Y116" i="13" s="1"/>
  <c r="W106" i="13"/>
  <c r="X106" i="13" s="1"/>
  <c r="Y106" i="13" s="1"/>
  <c r="AB106" i="13"/>
  <c r="AC106" i="13" s="1"/>
  <c r="AB74" i="13"/>
  <c r="W74" i="13"/>
  <c r="X74" i="13" s="1"/>
  <c r="Y74" i="13" s="1"/>
  <c r="AB138" i="13"/>
  <c r="W138" i="13"/>
  <c r="X138" i="13" s="1"/>
  <c r="Y138" i="13" s="1"/>
  <c r="AB127" i="13"/>
  <c r="W127" i="13"/>
  <c r="X127" i="13" s="1"/>
  <c r="Y127" i="13" s="1"/>
  <c r="AB117" i="13"/>
  <c r="W117" i="13"/>
  <c r="X117" i="13" s="1"/>
  <c r="Y117" i="13" s="1"/>
  <c r="AB78" i="13"/>
  <c r="W78" i="13"/>
  <c r="X78" i="13" s="1"/>
  <c r="Y78" i="13" s="1"/>
  <c r="AB85" i="13"/>
  <c r="W85" i="13"/>
  <c r="X85" i="13" s="1"/>
  <c r="Y85" i="13" s="1"/>
  <c r="AB130" i="13"/>
  <c r="W130" i="13"/>
  <c r="X130" i="13" s="1"/>
  <c r="Y130" i="13" s="1"/>
  <c r="AB139" i="13"/>
  <c r="W139" i="13"/>
  <c r="X139" i="13" s="1"/>
  <c r="Y139" i="13" s="1"/>
  <c r="AB61" i="13"/>
  <c r="W61" i="13"/>
  <c r="X61" i="13" s="1"/>
  <c r="Y61" i="13" s="1"/>
  <c r="AB124" i="13"/>
  <c r="W124" i="13"/>
  <c r="X124" i="13" s="1"/>
  <c r="Y124" i="13" s="1"/>
  <c r="AB133" i="13"/>
  <c r="W133" i="13"/>
  <c r="X133" i="13" s="1"/>
  <c r="Y133" i="13" s="1"/>
  <c r="AB49" i="13"/>
  <c r="W49" i="13"/>
  <c r="X49" i="13" s="1"/>
  <c r="Y49" i="13" s="1"/>
  <c r="AB120" i="13"/>
  <c r="W120" i="13"/>
  <c r="X120" i="13" s="1"/>
  <c r="Y120" i="13" s="1"/>
  <c r="AB109" i="13"/>
  <c r="W109" i="13"/>
  <c r="X109" i="13" s="1"/>
  <c r="Y109" i="13" s="1"/>
  <c r="AB119" i="13"/>
  <c r="W119" i="13"/>
  <c r="X119" i="13" s="1"/>
  <c r="Y119" i="13" s="1"/>
  <c r="AB87" i="13"/>
  <c r="W87" i="13"/>
  <c r="X87" i="13" s="1"/>
  <c r="Y87" i="13" s="1"/>
  <c r="AB73" i="13"/>
  <c r="W73" i="13"/>
  <c r="X73" i="13" s="1"/>
  <c r="Y73" i="13" s="1"/>
  <c r="W72" i="13"/>
  <c r="X72" i="13" s="1"/>
  <c r="Y72" i="13" s="1"/>
  <c r="AB72" i="13"/>
  <c r="AB59" i="13"/>
  <c r="W59" i="13"/>
  <c r="X59" i="13" s="1"/>
  <c r="Y59" i="13" s="1"/>
  <c r="AB52" i="13"/>
  <c r="W52" i="13"/>
  <c r="X52" i="13" s="1"/>
  <c r="Y52" i="13" s="1"/>
  <c r="AB51" i="13"/>
  <c r="W51" i="13"/>
  <c r="X51" i="13" s="1"/>
  <c r="Y51" i="13" s="1"/>
  <c r="AB142" i="13"/>
  <c r="W142" i="13"/>
  <c r="X142" i="13" s="1"/>
  <c r="Y142" i="13" s="1"/>
  <c r="AB81" i="13"/>
  <c r="W81" i="13"/>
  <c r="X81" i="13" s="1"/>
  <c r="Y81" i="13" s="1"/>
  <c r="O163" i="13"/>
  <c r="AB83" i="13"/>
  <c r="W83" i="13"/>
  <c r="X83" i="13" s="1"/>
  <c r="Y83" i="13" s="1"/>
  <c r="AB141" i="13"/>
  <c r="W141" i="13"/>
  <c r="X141" i="13" s="1"/>
  <c r="Y141" i="13" s="1"/>
  <c r="AB76" i="13"/>
  <c r="W76" i="13"/>
  <c r="X76" i="13" s="1"/>
  <c r="Y76" i="13" s="1"/>
  <c r="AB48" i="13"/>
  <c r="W48" i="13"/>
  <c r="X48" i="13" s="1"/>
  <c r="Y48" i="13" s="1"/>
  <c r="AB54" i="13"/>
  <c r="W54" i="13"/>
  <c r="X54" i="13" s="1"/>
  <c r="Y54" i="13" s="1"/>
  <c r="X20" i="13"/>
  <c r="W39" i="13"/>
  <c r="AB105" i="13"/>
  <c r="AC105" i="13" s="1"/>
  <c r="W105" i="13"/>
  <c r="AB110" i="13"/>
  <c r="W110" i="13"/>
  <c r="X110" i="13" s="1"/>
  <c r="Y110" i="13" s="1"/>
  <c r="AB45" i="13"/>
  <c r="W45" i="13"/>
  <c r="X45" i="13" s="1"/>
  <c r="Y45" i="13" s="1"/>
  <c r="AB128" i="13"/>
  <c r="W128" i="13"/>
  <c r="X128" i="13" s="1"/>
  <c r="Y128" i="13" s="1"/>
  <c r="AB125" i="13"/>
  <c r="W125" i="13"/>
  <c r="X125" i="13" s="1"/>
  <c r="Y125" i="13" s="1"/>
  <c r="AB60" i="13"/>
  <c r="W60" i="13"/>
  <c r="X60" i="13" s="1"/>
  <c r="Y60" i="13" s="1"/>
  <c r="W69" i="13"/>
  <c r="X69" i="13" s="1"/>
  <c r="Y69" i="13" s="1"/>
  <c r="AB69" i="13"/>
  <c r="AB132" i="13"/>
  <c r="W132" i="13"/>
  <c r="X132" i="13" s="1"/>
  <c r="Y132" i="13" s="1"/>
  <c r="AA101" i="13"/>
  <c r="AA163" i="13" s="1"/>
  <c r="AB50" i="13"/>
  <c r="W50" i="13"/>
  <c r="X50" i="13" s="1"/>
  <c r="Y50" i="13" s="1"/>
  <c r="AB123" i="13"/>
  <c r="W123" i="13"/>
  <c r="X123" i="13" s="1"/>
  <c r="Y123" i="13" s="1"/>
  <c r="W101" i="13" l="1"/>
  <c r="X43" i="13"/>
  <c r="X39" i="13"/>
  <c r="Y20" i="13"/>
  <c r="Y39" i="13" s="1"/>
  <c r="W158" i="13"/>
  <c r="X105" i="13"/>
  <c r="G9" i="7"/>
  <c r="G8" i="7"/>
  <c r="G6" i="7"/>
  <c r="G5" i="7"/>
  <c r="G4" i="7"/>
  <c r="P9" i="7"/>
  <c r="P8" i="7"/>
  <c r="P7" i="7"/>
  <c r="G7" i="7"/>
  <c r="P6" i="7"/>
  <c r="P5" i="7"/>
  <c r="Q4" i="7"/>
  <c r="P4" i="7"/>
  <c r="Q3" i="7"/>
  <c r="P3" i="7"/>
  <c r="G3" i="7"/>
  <c r="P2" i="7"/>
  <c r="G2" i="7"/>
  <c r="W163" i="13" l="1"/>
  <c r="X158" i="13"/>
  <c r="Y105" i="13"/>
  <c r="Y158" i="13" s="1"/>
  <c r="Y43" i="13"/>
  <c r="Y101" i="13" s="1"/>
  <c r="AA102" i="13" s="1"/>
  <c r="X101" i="13"/>
  <c r="R3" i="7"/>
  <c r="R4" i="7"/>
  <c r="X163" i="13" l="1"/>
  <c r="Y163" i="13"/>
  <c r="P21" i="7" l="1"/>
  <c r="P23" i="7"/>
  <c r="P24" i="7"/>
  <c r="P25" i="7"/>
  <c r="P14" i="7"/>
  <c r="P13" i="7"/>
  <c r="D31" i="7"/>
  <c r="F31" i="7"/>
  <c r="H25" i="7"/>
  <c r="H24" i="7"/>
  <c r="H23" i="7"/>
  <c r="H21" i="7"/>
  <c r="Q10" i="7" l="1"/>
  <c r="R10" i="7" s="1"/>
  <c r="E24" i="10"/>
  <c r="O32" i="7" s="1"/>
  <c r="O13" i="7"/>
  <c r="Q21" i="7"/>
  <c r="R21" i="7" s="1"/>
  <c r="Q23" i="7"/>
  <c r="R23" i="7" s="1"/>
  <c r="Q24" i="7"/>
  <c r="R24" i="7" s="1"/>
  <c r="Q25" i="7"/>
  <c r="R25" i="7" s="1"/>
  <c r="H15" i="7"/>
  <c r="H16" i="7"/>
  <c r="E8" i="10"/>
  <c r="O2" i="7" s="1"/>
  <c r="Q2" i="7" s="1"/>
  <c r="R2" i="7" s="1"/>
  <c r="H19" i="7"/>
  <c r="H18" i="7"/>
  <c r="H17" i="7"/>
  <c r="H14" i="7"/>
  <c r="P19" i="7"/>
  <c r="P18" i="7"/>
  <c r="P17" i="7"/>
  <c r="P16" i="7"/>
  <c r="P15" i="7"/>
  <c r="H13" i="7"/>
  <c r="Q17" i="7" l="1"/>
  <c r="R17" i="7" s="1"/>
  <c r="Q16" i="7"/>
  <c r="Q13" i="7"/>
  <c r="R13" i="7" s="1"/>
  <c r="Q19" i="7"/>
  <c r="R19" i="7" s="1"/>
  <c r="Q15" i="7"/>
  <c r="R15" i="7" s="1"/>
  <c r="Q18" i="7"/>
  <c r="R18" i="7" s="1"/>
  <c r="Q14" i="7"/>
  <c r="R14" i="7" s="1"/>
  <c r="Q6" i="7"/>
  <c r="R6" i="7" s="1"/>
  <c r="Q7" i="7"/>
  <c r="R7" i="7" s="1"/>
  <c r="Q8" i="7"/>
  <c r="R8" i="7" s="1"/>
  <c r="Q5" i="7"/>
  <c r="R5" i="7" s="1"/>
  <c r="Q9" i="7"/>
  <c r="R9" i="7" s="1"/>
  <c r="P31" i="7"/>
  <c r="H31" i="7"/>
  <c r="D69" i="10"/>
  <c r="R16" i="7" l="1"/>
  <c r="R31" i="7" s="1"/>
  <c r="Q31" i="7"/>
  <c r="B54" i="4"/>
  <c r="D43" i="7" l="1"/>
  <c r="D12" i="7" l="1"/>
  <c r="D44" i="7" s="1"/>
  <c r="F43" i="7" l="1"/>
  <c r="B51" i="4" l="1"/>
  <c r="D106" i="7" l="1"/>
  <c r="P12" i="7" l="1"/>
  <c r="B3" i="4" l="1"/>
  <c r="B4" i="4"/>
  <c r="B5" i="4"/>
  <c r="B6" i="4"/>
  <c r="D5" i="4" l="1"/>
  <c r="C4" i="4"/>
  <c r="E4" i="4"/>
  <c r="G4" i="4"/>
  <c r="F5" i="4"/>
  <c r="C5" i="4"/>
  <c r="D4" i="4"/>
  <c r="F4" i="4"/>
  <c r="H4" i="4"/>
  <c r="C6" i="4"/>
  <c r="H6" i="4"/>
  <c r="E5" i="4"/>
  <c r="G5" i="4"/>
  <c r="H5" i="4"/>
  <c r="C3" i="4"/>
  <c r="D3" i="4"/>
  <c r="E3" i="4"/>
  <c r="F3" i="4"/>
  <c r="G3" i="4"/>
  <c r="H3" i="4"/>
  <c r="G6" i="4" l="1"/>
  <c r="F6" i="4"/>
  <c r="E6" i="4"/>
  <c r="D6" i="4"/>
  <c r="G47" i="4" l="1"/>
  <c r="G48" i="4"/>
  <c r="B49" i="4"/>
  <c r="B52" i="4" s="1"/>
  <c r="C48" i="4"/>
  <c r="C47" i="4"/>
  <c r="B9" i="4"/>
  <c r="B8" i="4"/>
  <c r="B7" i="4"/>
  <c r="E47" i="7" l="1"/>
  <c r="F47" i="7" s="1"/>
  <c r="H47" i="7" s="1"/>
  <c r="E10" i="7"/>
  <c r="F10" i="7" s="1"/>
  <c r="H10" i="7" s="1"/>
  <c r="E6" i="7"/>
  <c r="F6" i="7" s="1"/>
  <c r="H6" i="7" s="1"/>
  <c r="E2" i="7"/>
  <c r="F2" i="7" s="1"/>
  <c r="H2" i="7" s="1"/>
  <c r="E9" i="7"/>
  <c r="F9" i="7" s="1"/>
  <c r="H9" i="7" s="1"/>
  <c r="E7" i="7"/>
  <c r="F7" i="7" s="1"/>
  <c r="H7" i="7" s="1"/>
  <c r="E4" i="7"/>
  <c r="F4" i="7" s="1"/>
  <c r="H4" i="7" s="1"/>
  <c r="E3" i="7"/>
  <c r="F3" i="7" s="1"/>
  <c r="H3" i="7" s="1"/>
  <c r="E8" i="7"/>
  <c r="F8" i="7" s="1"/>
  <c r="H8" i="7" s="1"/>
  <c r="E5" i="7"/>
  <c r="F5" i="7" s="1"/>
  <c r="H5" i="7" s="1"/>
  <c r="G50" i="4"/>
  <c r="G52" i="4" s="1"/>
  <c r="H8" i="4"/>
  <c r="G8" i="4"/>
  <c r="F8" i="4"/>
  <c r="E8" i="4"/>
  <c r="D8" i="4"/>
  <c r="C8" i="4"/>
  <c r="H7" i="4"/>
  <c r="C7" i="4"/>
  <c r="G7" i="4"/>
  <c r="F7" i="4"/>
  <c r="E7" i="4"/>
  <c r="D7" i="4"/>
  <c r="H9" i="4"/>
  <c r="G9" i="4"/>
  <c r="F9" i="4"/>
  <c r="E9" i="4"/>
  <c r="D9" i="4"/>
  <c r="C9" i="4"/>
  <c r="C49" i="4"/>
  <c r="P33" i="7" l="1"/>
  <c r="Q33" i="7"/>
  <c r="H33" i="7"/>
  <c r="H36" i="7"/>
  <c r="Q36" i="7"/>
  <c r="P36" i="7"/>
  <c r="H37" i="7"/>
  <c r="P37" i="7"/>
  <c r="Q37" i="7"/>
  <c r="H34" i="7"/>
  <c r="P34" i="7"/>
  <c r="Q34" i="7"/>
  <c r="P38" i="7"/>
  <c r="H38" i="7"/>
  <c r="Q38" i="7"/>
  <c r="B53" i="4"/>
  <c r="B55" i="4" s="1"/>
  <c r="W100" i="7" s="1"/>
  <c r="H12" i="7" l="1"/>
  <c r="F12" i="7"/>
  <c r="F44" i="7" s="1"/>
  <c r="D107" i="7" s="1"/>
  <c r="R36" i="7"/>
  <c r="R37" i="7"/>
  <c r="R38" i="7"/>
  <c r="R34" i="7"/>
  <c r="R33" i="7"/>
  <c r="H32" i="7"/>
  <c r="P32" i="7"/>
  <c r="Q32" i="7"/>
  <c r="H35" i="7"/>
  <c r="Q35" i="7"/>
  <c r="P35" i="7"/>
  <c r="P43" i="7" l="1"/>
  <c r="H43" i="7"/>
  <c r="Q43" i="7"/>
  <c r="R32" i="7"/>
  <c r="R35" i="7"/>
  <c r="P44" i="7" l="1"/>
  <c r="H44" i="7"/>
  <c r="D108" i="7" s="1"/>
  <c r="I22" i="7" s="1"/>
  <c r="J22" i="7" s="1"/>
  <c r="K22" i="7" s="1"/>
  <c r="L22" i="7" s="1"/>
  <c r="N22" i="7" s="1"/>
  <c r="R43" i="7"/>
  <c r="I10" i="7" l="1"/>
  <c r="J10" i="7" s="1"/>
  <c r="K10" i="7" s="1"/>
  <c r="L10" i="7" s="1"/>
  <c r="N10" i="7" s="1"/>
  <c r="I48" i="7"/>
  <c r="J48" i="7" s="1"/>
  <c r="K48" i="7" s="1"/>
  <c r="L48" i="7" s="1"/>
  <c r="N48" i="7" s="1"/>
  <c r="I52" i="7"/>
  <c r="J52" i="7" s="1"/>
  <c r="K52" i="7" s="1"/>
  <c r="L52" i="7" s="1"/>
  <c r="N52" i="7" s="1"/>
  <c r="I56" i="7"/>
  <c r="J56" i="7" s="1"/>
  <c r="K56" i="7" s="1"/>
  <c r="L56" i="7" s="1"/>
  <c r="N56" i="7" s="1"/>
  <c r="I60" i="7"/>
  <c r="J60" i="7" s="1"/>
  <c r="K60" i="7" s="1"/>
  <c r="L60" i="7" s="1"/>
  <c r="N60" i="7" s="1"/>
  <c r="I64" i="7"/>
  <c r="J64" i="7" s="1"/>
  <c r="K64" i="7" s="1"/>
  <c r="L64" i="7" s="1"/>
  <c r="N64" i="7" s="1"/>
  <c r="I68" i="7"/>
  <c r="J68" i="7" s="1"/>
  <c r="K68" i="7" s="1"/>
  <c r="L68" i="7" s="1"/>
  <c r="N68" i="7" s="1"/>
  <c r="I72" i="7"/>
  <c r="J72" i="7" s="1"/>
  <c r="K72" i="7" s="1"/>
  <c r="L72" i="7" s="1"/>
  <c r="N72" i="7" s="1"/>
  <c r="I76" i="7"/>
  <c r="J76" i="7" s="1"/>
  <c r="K76" i="7" s="1"/>
  <c r="L76" i="7" s="1"/>
  <c r="N76" i="7" s="1"/>
  <c r="I80" i="7"/>
  <c r="J80" i="7" s="1"/>
  <c r="K80" i="7" s="1"/>
  <c r="L80" i="7" s="1"/>
  <c r="N80" i="7" s="1"/>
  <c r="I84" i="7"/>
  <c r="J84" i="7" s="1"/>
  <c r="K84" i="7" s="1"/>
  <c r="L84" i="7" s="1"/>
  <c r="N84" i="7" s="1"/>
  <c r="I88" i="7"/>
  <c r="J88" i="7" s="1"/>
  <c r="K88" i="7" s="1"/>
  <c r="L88" i="7" s="1"/>
  <c r="N88" i="7" s="1"/>
  <c r="I92" i="7"/>
  <c r="J92" i="7" s="1"/>
  <c r="K92" i="7" s="1"/>
  <c r="L92" i="7" s="1"/>
  <c r="N92" i="7" s="1"/>
  <c r="I96" i="7"/>
  <c r="J96" i="7" s="1"/>
  <c r="K96" i="7" s="1"/>
  <c r="L96" i="7" s="1"/>
  <c r="N96" i="7" s="1"/>
  <c r="I51" i="7"/>
  <c r="J51" i="7" s="1"/>
  <c r="K51" i="7" s="1"/>
  <c r="L51" i="7" s="1"/>
  <c r="N51" i="7" s="1"/>
  <c r="I59" i="7"/>
  <c r="J59" i="7" s="1"/>
  <c r="K59" i="7" s="1"/>
  <c r="L59" i="7" s="1"/>
  <c r="N59" i="7" s="1"/>
  <c r="I71" i="7"/>
  <c r="J71" i="7" s="1"/>
  <c r="K71" i="7" s="1"/>
  <c r="L71" i="7" s="1"/>
  <c r="N71" i="7" s="1"/>
  <c r="I87" i="7"/>
  <c r="J87" i="7" s="1"/>
  <c r="K87" i="7" s="1"/>
  <c r="L87" i="7" s="1"/>
  <c r="N87" i="7" s="1"/>
  <c r="I49" i="7"/>
  <c r="J49" i="7" s="1"/>
  <c r="K49" i="7" s="1"/>
  <c r="L49" i="7" s="1"/>
  <c r="N49" i="7" s="1"/>
  <c r="I53" i="7"/>
  <c r="J53" i="7" s="1"/>
  <c r="K53" i="7" s="1"/>
  <c r="L53" i="7" s="1"/>
  <c r="N53" i="7" s="1"/>
  <c r="I57" i="7"/>
  <c r="J57" i="7" s="1"/>
  <c r="K57" i="7" s="1"/>
  <c r="L57" i="7" s="1"/>
  <c r="N57" i="7" s="1"/>
  <c r="I61" i="7"/>
  <c r="J61" i="7" s="1"/>
  <c r="K61" i="7" s="1"/>
  <c r="L61" i="7" s="1"/>
  <c r="N61" i="7" s="1"/>
  <c r="I65" i="7"/>
  <c r="J65" i="7" s="1"/>
  <c r="K65" i="7" s="1"/>
  <c r="L65" i="7" s="1"/>
  <c r="N65" i="7" s="1"/>
  <c r="I69" i="7"/>
  <c r="J69" i="7" s="1"/>
  <c r="K69" i="7" s="1"/>
  <c r="L69" i="7" s="1"/>
  <c r="N69" i="7" s="1"/>
  <c r="I73" i="7"/>
  <c r="J73" i="7" s="1"/>
  <c r="K73" i="7" s="1"/>
  <c r="L73" i="7" s="1"/>
  <c r="N73" i="7" s="1"/>
  <c r="I77" i="7"/>
  <c r="J77" i="7" s="1"/>
  <c r="K77" i="7" s="1"/>
  <c r="L77" i="7" s="1"/>
  <c r="N77" i="7" s="1"/>
  <c r="I81" i="7"/>
  <c r="J81" i="7" s="1"/>
  <c r="K81" i="7" s="1"/>
  <c r="L81" i="7" s="1"/>
  <c r="N81" i="7" s="1"/>
  <c r="I85" i="7"/>
  <c r="J85" i="7" s="1"/>
  <c r="K85" i="7" s="1"/>
  <c r="L85" i="7" s="1"/>
  <c r="N85" i="7" s="1"/>
  <c r="I89" i="7"/>
  <c r="J89" i="7" s="1"/>
  <c r="K89" i="7" s="1"/>
  <c r="L89" i="7" s="1"/>
  <c r="N89" i="7" s="1"/>
  <c r="I93" i="7"/>
  <c r="J93" i="7" s="1"/>
  <c r="K93" i="7" s="1"/>
  <c r="L93" i="7" s="1"/>
  <c r="N93" i="7" s="1"/>
  <c r="I97" i="7"/>
  <c r="J97" i="7" s="1"/>
  <c r="K97" i="7" s="1"/>
  <c r="L97" i="7" s="1"/>
  <c r="N97" i="7" s="1"/>
  <c r="I55" i="7"/>
  <c r="J55" i="7" s="1"/>
  <c r="K55" i="7" s="1"/>
  <c r="L55" i="7" s="1"/>
  <c r="N55" i="7" s="1"/>
  <c r="I63" i="7"/>
  <c r="J63" i="7" s="1"/>
  <c r="K63" i="7" s="1"/>
  <c r="L63" i="7" s="1"/>
  <c r="N63" i="7" s="1"/>
  <c r="I75" i="7"/>
  <c r="J75" i="7" s="1"/>
  <c r="K75" i="7" s="1"/>
  <c r="L75" i="7" s="1"/>
  <c r="N75" i="7" s="1"/>
  <c r="I83" i="7"/>
  <c r="J83" i="7" s="1"/>
  <c r="K83" i="7" s="1"/>
  <c r="L83" i="7" s="1"/>
  <c r="N83" i="7" s="1"/>
  <c r="I91" i="7"/>
  <c r="J91" i="7" s="1"/>
  <c r="K91" i="7" s="1"/>
  <c r="L91" i="7" s="1"/>
  <c r="N91" i="7" s="1"/>
  <c r="I50" i="7"/>
  <c r="J50" i="7" s="1"/>
  <c r="K50" i="7" s="1"/>
  <c r="L50" i="7" s="1"/>
  <c r="N50" i="7" s="1"/>
  <c r="I54" i="7"/>
  <c r="J54" i="7" s="1"/>
  <c r="K54" i="7" s="1"/>
  <c r="L54" i="7" s="1"/>
  <c r="N54" i="7" s="1"/>
  <c r="I58" i="7"/>
  <c r="J58" i="7" s="1"/>
  <c r="K58" i="7" s="1"/>
  <c r="L58" i="7" s="1"/>
  <c r="N58" i="7" s="1"/>
  <c r="I62" i="7"/>
  <c r="J62" i="7" s="1"/>
  <c r="K62" i="7" s="1"/>
  <c r="L62" i="7" s="1"/>
  <c r="N62" i="7" s="1"/>
  <c r="I66" i="7"/>
  <c r="J66" i="7" s="1"/>
  <c r="K66" i="7" s="1"/>
  <c r="L66" i="7" s="1"/>
  <c r="N66" i="7" s="1"/>
  <c r="I70" i="7"/>
  <c r="J70" i="7" s="1"/>
  <c r="K70" i="7" s="1"/>
  <c r="L70" i="7" s="1"/>
  <c r="N70" i="7" s="1"/>
  <c r="I74" i="7"/>
  <c r="J74" i="7" s="1"/>
  <c r="K74" i="7" s="1"/>
  <c r="L74" i="7" s="1"/>
  <c r="N74" i="7" s="1"/>
  <c r="I78" i="7"/>
  <c r="J78" i="7" s="1"/>
  <c r="K78" i="7" s="1"/>
  <c r="L78" i="7" s="1"/>
  <c r="N78" i="7" s="1"/>
  <c r="I82" i="7"/>
  <c r="J82" i="7" s="1"/>
  <c r="K82" i="7" s="1"/>
  <c r="L82" i="7" s="1"/>
  <c r="N82" i="7" s="1"/>
  <c r="I86" i="7"/>
  <c r="J86" i="7" s="1"/>
  <c r="K86" i="7" s="1"/>
  <c r="L86" i="7" s="1"/>
  <c r="N86" i="7" s="1"/>
  <c r="I90" i="7"/>
  <c r="J90" i="7" s="1"/>
  <c r="K90" i="7" s="1"/>
  <c r="L90" i="7" s="1"/>
  <c r="N90" i="7" s="1"/>
  <c r="I94" i="7"/>
  <c r="J94" i="7" s="1"/>
  <c r="K94" i="7" s="1"/>
  <c r="L94" i="7" s="1"/>
  <c r="N94" i="7" s="1"/>
  <c r="I98" i="7"/>
  <c r="J98" i="7" s="1"/>
  <c r="K98" i="7" s="1"/>
  <c r="L98" i="7" s="1"/>
  <c r="N98" i="7" s="1"/>
  <c r="I47" i="7"/>
  <c r="J47" i="7" s="1"/>
  <c r="K47" i="7" s="1"/>
  <c r="L47" i="7" s="1"/>
  <c r="N47" i="7" s="1"/>
  <c r="I67" i="7"/>
  <c r="J67" i="7" s="1"/>
  <c r="K67" i="7" s="1"/>
  <c r="L67" i="7" s="1"/>
  <c r="N67" i="7" s="1"/>
  <c r="I79" i="7"/>
  <c r="J79" i="7" s="1"/>
  <c r="K79" i="7" s="1"/>
  <c r="L79" i="7" s="1"/>
  <c r="N79" i="7" s="1"/>
  <c r="I95" i="7"/>
  <c r="J95" i="7" s="1"/>
  <c r="K95" i="7" s="1"/>
  <c r="L95" i="7" s="1"/>
  <c r="N95" i="7" s="1"/>
  <c r="S10" i="7"/>
  <c r="T10" i="7" s="1"/>
  <c r="U10" i="7"/>
  <c r="V10" i="7" s="1"/>
  <c r="W10" i="7" s="1"/>
  <c r="I41" i="7"/>
  <c r="J41" i="7" s="1"/>
  <c r="K41" i="7" s="1"/>
  <c r="L41" i="7" s="1"/>
  <c r="N41" i="7" s="1"/>
  <c r="I39" i="7"/>
  <c r="J39" i="7" s="1"/>
  <c r="K39" i="7" s="1"/>
  <c r="L39" i="7" s="1"/>
  <c r="N39" i="7" s="1"/>
  <c r="I40" i="7"/>
  <c r="J40" i="7" s="1"/>
  <c r="K40" i="7" s="1"/>
  <c r="L40" i="7" s="1"/>
  <c r="N40" i="7" s="1"/>
  <c r="I28" i="7"/>
  <c r="J28" i="7" s="1"/>
  <c r="K28" i="7" s="1"/>
  <c r="L28" i="7" s="1"/>
  <c r="N28" i="7" s="1"/>
  <c r="I27" i="7"/>
  <c r="J27" i="7" s="1"/>
  <c r="K27" i="7" s="1"/>
  <c r="L27" i="7" s="1"/>
  <c r="N27" i="7" s="1"/>
  <c r="I26" i="7"/>
  <c r="J26" i="7" s="1"/>
  <c r="K26" i="7" s="1"/>
  <c r="L26" i="7" s="1"/>
  <c r="N26" i="7" s="1"/>
  <c r="I20" i="7"/>
  <c r="J20" i="7" s="1"/>
  <c r="K20" i="7" s="1"/>
  <c r="L20" i="7" s="1"/>
  <c r="N20" i="7" s="1"/>
  <c r="I7" i="7"/>
  <c r="J7" i="7" s="1"/>
  <c r="K7" i="7" s="1"/>
  <c r="L7" i="7" s="1"/>
  <c r="N7" i="7" s="1"/>
  <c r="I3" i="7"/>
  <c r="J3" i="7" s="1"/>
  <c r="K3" i="7" s="1"/>
  <c r="L3" i="7" s="1"/>
  <c r="N3" i="7" s="1"/>
  <c r="I6" i="7"/>
  <c r="J6" i="7" s="1"/>
  <c r="K6" i="7" s="1"/>
  <c r="L6" i="7" s="1"/>
  <c r="N6" i="7" s="1"/>
  <c r="I8" i="7"/>
  <c r="J8" i="7" s="1"/>
  <c r="K8" i="7" s="1"/>
  <c r="L8" i="7" s="1"/>
  <c r="N8" i="7" s="1"/>
  <c r="I4" i="7"/>
  <c r="J4" i="7" s="1"/>
  <c r="K4" i="7" s="1"/>
  <c r="L4" i="7" s="1"/>
  <c r="N4" i="7" s="1"/>
  <c r="I9" i="7"/>
  <c r="J9" i="7" s="1"/>
  <c r="K9" i="7" s="1"/>
  <c r="L9" i="7" s="1"/>
  <c r="N9" i="7" s="1"/>
  <c r="I5" i="7"/>
  <c r="J5" i="7" s="1"/>
  <c r="K5" i="7" s="1"/>
  <c r="L5" i="7" s="1"/>
  <c r="N5" i="7" s="1"/>
  <c r="I2" i="7"/>
  <c r="J2" i="7" s="1"/>
  <c r="K2" i="7" s="1"/>
  <c r="L2" i="7" s="1"/>
  <c r="N2" i="7" s="1"/>
  <c r="I25" i="7"/>
  <c r="J25" i="7" s="1"/>
  <c r="K25" i="7" s="1"/>
  <c r="L25" i="7" s="1"/>
  <c r="N25" i="7" s="1"/>
  <c r="I21" i="7"/>
  <c r="J21" i="7" s="1"/>
  <c r="K21" i="7" s="1"/>
  <c r="L21" i="7" s="1"/>
  <c r="N21" i="7" s="1"/>
  <c r="I23" i="7"/>
  <c r="J23" i="7" s="1"/>
  <c r="K23" i="7" s="1"/>
  <c r="L23" i="7" s="1"/>
  <c r="N23" i="7" s="1"/>
  <c r="I24" i="7"/>
  <c r="J24" i="7" s="1"/>
  <c r="K24" i="7" s="1"/>
  <c r="L24" i="7" s="1"/>
  <c r="N24" i="7" s="1"/>
  <c r="I19" i="7"/>
  <c r="J19" i="7" s="1"/>
  <c r="K19" i="7" s="1"/>
  <c r="L19" i="7" s="1"/>
  <c r="N19" i="7" s="1"/>
  <c r="I15" i="7"/>
  <c r="J15" i="7" s="1"/>
  <c r="K15" i="7" s="1"/>
  <c r="L15" i="7" s="1"/>
  <c r="N15" i="7" s="1"/>
  <c r="I13" i="7"/>
  <c r="I16" i="7"/>
  <c r="J16" i="7" s="1"/>
  <c r="K16" i="7" s="1"/>
  <c r="L16" i="7" s="1"/>
  <c r="N16" i="7" s="1"/>
  <c r="I14" i="7"/>
  <c r="J14" i="7" s="1"/>
  <c r="K14" i="7" s="1"/>
  <c r="L14" i="7" s="1"/>
  <c r="N14" i="7" s="1"/>
  <c r="I17" i="7"/>
  <c r="J17" i="7" s="1"/>
  <c r="K17" i="7" s="1"/>
  <c r="L17" i="7" s="1"/>
  <c r="N17" i="7" s="1"/>
  <c r="I18" i="7"/>
  <c r="J18" i="7" s="1"/>
  <c r="K18" i="7" s="1"/>
  <c r="L18" i="7" s="1"/>
  <c r="N18" i="7" s="1"/>
  <c r="I35" i="7"/>
  <c r="J35" i="7" s="1"/>
  <c r="K35" i="7" s="1"/>
  <c r="L35" i="7" s="1"/>
  <c r="N35" i="7" s="1"/>
  <c r="S35" i="7" s="1"/>
  <c r="T35" i="7" s="1"/>
  <c r="I32" i="7"/>
  <c r="J32" i="7" s="1"/>
  <c r="K32" i="7" s="1"/>
  <c r="L32" i="7" s="1"/>
  <c r="I37" i="7"/>
  <c r="J37" i="7" s="1"/>
  <c r="K37" i="7" s="1"/>
  <c r="L37" i="7" s="1"/>
  <c r="N37" i="7" s="1"/>
  <c r="I36" i="7"/>
  <c r="J36" i="7" s="1"/>
  <c r="I33" i="7"/>
  <c r="J33" i="7" s="1"/>
  <c r="K33" i="7" s="1"/>
  <c r="L33" i="7" s="1"/>
  <c r="I34" i="7"/>
  <c r="J34" i="7" s="1"/>
  <c r="K34" i="7" s="1"/>
  <c r="L34" i="7" s="1"/>
  <c r="N34" i="7" s="1"/>
  <c r="U34" i="7" s="1"/>
  <c r="V34" i="7" s="1"/>
  <c r="W34" i="7" s="1"/>
  <c r="I38" i="7"/>
  <c r="J38" i="7" s="1"/>
  <c r="K38" i="7" s="1"/>
  <c r="L38" i="7" s="1"/>
  <c r="N38" i="7" s="1"/>
  <c r="U38" i="7" s="1"/>
  <c r="V38" i="7" s="1"/>
  <c r="W38" i="7" s="1"/>
  <c r="K36" i="7" l="1"/>
  <c r="L36" i="7" s="1"/>
  <c r="N36" i="7" s="1"/>
  <c r="S40" i="7"/>
  <c r="T40" i="7" s="1"/>
  <c r="U40" i="7"/>
  <c r="V40" i="7" s="1"/>
  <c r="W40" i="7" s="1"/>
  <c r="U39" i="7"/>
  <c r="V39" i="7" s="1"/>
  <c r="W39" i="7" s="1"/>
  <c r="S39" i="7"/>
  <c r="T39" i="7" s="1"/>
  <c r="U41" i="7"/>
  <c r="V41" i="7" s="1"/>
  <c r="W41" i="7" s="1"/>
  <c r="S41" i="7"/>
  <c r="T41" i="7" s="1"/>
  <c r="U26" i="7"/>
  <c r="V26" i="7" s="1"/>
  <c r="W26" i="7" s="1"/>
  <c r="S26" i="7"/>
  <c r="T26" i="7" s="1"/>
  <c r="U27" i="7"/>
  <c r="V27" i="7" s="1"/>
  <c r="W27" i="7" s="1"/>
  <c r="S27" i="7"/>
  <c r="T27" i="7" s="1"/>
  <c r="U28" i="7"/>
  <c r="V28" i="7" s="1"/>
  <c r="W28" i="7" s="1"/>
  <c r="S28" i="7"/>
  <c r="T28" i="7" s="1"/>
  <c r="S20" i="7"/>
  <c r="T20" i="7" s="1"/>
  <c r="U20" i="7"/>
  <c r="V20" i="7" s="1"/>
  <c r="W20" i="7" s="1"/>
  <c r="S2" i="7"/>
  <c r="T2" i="7" s="1"/>
  <c r="U2" i="7"/>
  <c r="V2" i="7" s="1"/>
  <c r="W2" i="7" s="1"/>
  <c r="U8" i="7"/>
  <c r="V8" i="7" s="1"/>
  <c r="W8" i="7" s="1"/>
  <c r="S8" i="7"/>
  <c r="T8" i="7" s="1"/>
  <c r="S5" i="7"/>
  <c r="T5" i="7" s="1"/>
  <c r="U5" i="7"/>
  <c r="V5" i="7" s="1"/>
  <c r="W5" i="7" s="1"/>
  <c r="S6" i="7"/>
  <c r="T6" i="7" s="1"/>
  <c r="U6" i="7"/>
  <c r="V6" i="7" s="1"/>
  <c r="W6" i="7" s="1"/>
  <c r="S9" i="7"/>
  <c r="T9" i="7" s="1"/>
  <c r="U9" i="7"/>
  <c r="V9" i="7" s="1"/>
  <c r="W9" i="7" s="1"/>
  <c r="U3" i="7"/>
  <c r="V3" i="7" s="1"/>
  <c r="W3" i="7" s="1"/>
  <c r="S3" i="7"/>
  <c r="T3" i="7" s="1"/>
  <c r="U4" i="7"/>
  <c r="V4" i="7" s="1"/>
  <c r="W4" i="7" s="1"/>
  <c r="S4" i="7"/>
  <c r="T4" i="7" s="1"/>
  <c r="U7" i="7"/>
  <c r="V7" i="7" s="1"/>
  <c r="W7" i="7" s="1"/>
  <c r="S7" i="7"/>
  <c r="T7" i="7" s="1"/>
  <c r="S24" i="7"/>
  <c r="T24" i="7" s="1"/>
  <c r="U24" i="7"/>
  <c r="V24" i="7" s="1"/>
  <c r="W24" i="7" s="1"/>
  <c r="S23" i="7"/>
  <c r="T23" i="7" s="1"/>
  <c r="U23" i="7"/>
  <c r="V23" i="7" s="1"/>
  <c r="W23" i="7" s="1"/>
  <c r="S21" i="7"/>
  <c r="T21" i="7" s="1"/>
  <c r="U21" i="7"/>
  <c r="V21" i="7" s="1"/>
  <c r="W21" i="7" s="1"/>
  <c r="U25" i="7"/>
  <c r="V25" i="7" s="1"/>
  <c r="W25" i="7" s="1"/>
  <c r="S25" i="7"/>
  <c r="T25" i="7" s="1"/>
  <c r="J13" i="7"/>
  <c r="K13" i="7" s="1"/>
  <c r="L13" i="7" s="1"/>
  <c r="N13" i="7" s="1"/>
  <c r="I31" i="7"/>
  <c r="U14" i="7"/>
  <c r="V14" i="7" s="1"/>
  <c r="W14" i="7" s="1"/>
  <c r="S14" i="7"/>
  <c r="T14" i="7" s="1"/>
  <c r="U35" i="7"/>
  <c r="V35" i="7" s="1"/>
  <c r="W35" i="7" s="1"/>
  <c r="U17" i="7"/>
  <c r="V17" i="7" s="1"/>
  <c r="W17" i="7" s="1"/>
  <c r="S17" i="7"/>
  <c r="T17" i="7" s="1"/>
  <c r="S15" i="7"/>
  <c r="T15" i="7" s="1"/>
  <c r="U15" i="7"/>
  <c r="V15" i="7" s="1"/>
  <c r="W15" i="7" s="1"/>
  <c r="S16" i="7"/>
  <c r="T16" i="7" s="1"/>
  <c r="U16" i="7"/>
  <c r="V16" i="7" s="1"/>
  <c r="W16" i="7" s="1"/>
  <c r="U18" i="7"/>
  <c r="V18" i="7" s="1"/>
  <c r="W18" i="7" s="1"/>
  <c r="S18" i="7"/>
  <c r="T18" i="7" s="1"/>
  <c r="S19" i="7"/>
  <c r="T19" i="7" s="1"/>
  <c r="U19" i="7"/>
  <c r="V19" i="7" s="1"/>
  <c r="W19" i="7" s="1"/>
  <c r="S38" i="7"/>
  <c r="T38" i="7" s="1"/>
  <c r="S34" i="7"/>
  <c r="T34" i="7" s="1"/>
  <c r="I12" i="7"/>
  <c r="I43" i="7"/>
  <c r="N32" i="7"/>
  <c r="U32" i="7" s="1"/>
  <c r="N33" i="7"/>
  <c r="S33" i="7" s="1"/>
  <c r="T33" i="7" s="1"/>
  <c r="U37" i="7"/>
  <c r="V37" i="7" s="1"/>
  <c r="W37" i="7" s="1"/>
  <c r="S36" i="7" l="1"/>
  <c r="T36" i="7" s="1"/>
  <c r="U36" i="7"/>
  <c r="V36" i="7" s="1"/>
  <c r="W36" i="7" s="1"/>
  <c r="U13" i="7"/>
  <c r="V13" i="7" s="1"/>
  <c r="S13" i="7"/>
  <c r="I44" i="7"/>
  <c r="V32" i="7"/>
  <c r="S32" i="7"/>
  <c r="U33" i="7"/>
  <c r="V33" i="7" s="1"/>
  <c r="W33" i="7" s="1"/>
  <c r="S37" i="7"/>
  <c r="T37" i="7" s="1"/>
  <c r="S31" i="7" l="1"/>
  <c r="T13" i="7"/>
  <c r="T31" i="7" s="1"/>
  <c r="V31" i="7"/>
  <c r="W13" i="7"/>
  <c r="W31" i="7" s="1"/>
  <c r="S12" i="7"/>
  <c r="W12" i="7"/>
  <c r="V12" i="7"/>
  <c r="T32" i="7"/>
  <c r="T43" i="7" s="1"/>
  <c r="S43" i="7"/>
  <c r="W32" i="7"/>
  <c r="W43" i="7" s="1"/>
  <c r="V43" i="7"/>
  <c r="S44" i="7" l="1"/>
  <c r="W44" i="7"/>
  <c r="V44" i="7"/>
  <c r="B64" i="4" l="1"/>
  <c r="B65" i="4" s="1"/>
  <c r="W101" i="7"/>
  <c r="Q12" i="7" l="1"/>
  <c r="Q44" i="7" s="1"/>
  <c r="T12" i="7" l="1"/>
  <c r="T44" i="7" s="1"/>
  <c r="R12" i="7"/>
  <c r="R44" i="7" s="1"/>
  <c r="B60" i="4" s="1"/>
  <c r="B61" i="4" s="1"/>
  <c r="C65" i="4" s="1"/>
  <c r="D37" i="10" l="1"/>
  <c r="D39" i="10"/>
  <c r="D40" i="10"/>
  <c r="D41" i="10"/>
  <c r="D42" i="10"/>
  <c r="D43" i="10"/>
  <c r="D44" i="10"/>
  <c r="D45" i="10"/>
  <c r="D46" i="10"/>
</calcChain>
</file>

<file path=xl/comments1.xml><?xml version="1.0" encoding="utf-8"?>
<comments xmlns="http://schemas.openxmlformats.org/spreadsheetml/2006/main">
  <authors>
    <author>Cramer, Diane</author>
  </authors>
  <commentList>
    <comment ref="M15" authorId="0" shapeId="0">
      <text>
        <r>
          <rPr>
            <b/>
            <sz val="9"/>
            <color indexed="81"/>
            <rFont val="Tahoma"/>
            <charset val="1"/>
          </rPr>
          <t>Cramer, Diane:</t>
        </r>
        <r>
          <rPr>
            <sz val="9"/>
            <color indexed="81"/>
            <rFont val="Tahoma"/>
            <charset val="1"/>
          </rPr>
          <t xml:space="preserve">
correct rate for this size per current tariff</t>
        </r>
      </text>
    </comment>
    <comment ref="C22" authorId="0" shapeId="0">
      <text>
        <r>
          <rPr>
            <b/>
            <sz val="9"/>
            <color indexed="81"/>
            <rFont val="Tahoma"/>
            <charset val="1"/>
          </rPr>
          <t>Cramer, Diane:</t>
        </r>
        <r>
          <rPr>
            <sz val="9"/>
            <color indexed="81"/>
            <rFont val="Tahoma"/>
            <charset val="1"/>
          </rPr>
          <t xml:space="preserve">
Added this size</t>
        </r>
      </text>
    </comment>
    <comment ref="M81" authorId="0" shapeId="0">
      <text>
        <r>
          <rPr>
            <b/>
            <sz val="9"/>
            <color indexed="81"/>
            <rFont val="Tahoma"/>
            <charset val="1"/>
          </rPr>
          <t>Cramer, Diane:</t>
        </r>
        <r>
          <rPr>
            <sz val="9"/>
            <color indexed="81"/>
            <rFont val="Tahoma"/>
            <charset val="1"/>
          </rPr>
          <t xml:space="preserve">
Not sure where got this rate</t>
        </r>
      </text>
    </comment>
  </commentList>
</comments>
</file>

<file path=xl/comments2.xml><?xml version="1.0" encoding="utf-8"?>
<comments xmlns="http://schemas.openxmlformats.org/spreadsheetml/2006/main">
  <authors>
    <author>Allied Waste</author>
  </authors>
  <commentList>
    <comment ref="L5" authorId="0" shapeId="0">
      <text>
        <r>
          <rPr>
            <b/>
            <sz val="8"/>
            <color indexed="81"/>
            <rFont val="Tahoma"/>
            <family val="2"/>
          </rPr>
          <t>Allied Waste: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These are regulated garbage disposal tons
</t>
        </r>
      </text>
    </comment>
  </commentList>
</comments>
</file>

<file path=xl/sharedStrings.xml><?xml version="1.0" encoding="utf-8"?>
<sst xmlns="http://schemas.openxmlformats.org/spreadsheetml/2006/main" count="544" uniqueCount="307">
  <si>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</si>
  <si>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</si>
  <si>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</si>
  <si>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</si>
  <si>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</si>
  <si>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</si>
  <si>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</si>
  <si>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</si>
  <si>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</si>
  <si>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</si>
  <si>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</si>
  <si>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</si>
  <si>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</si>
  <si>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</si>
  <si>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</si>
  <si>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</si>
  <si>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</si>
  <si>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</si>
  <si>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</si>
  <si>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</si>
  <si>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</si>
  <si>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</si>
  <si>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</si>
  <si>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</si>
  <si>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</si>
  <si>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</si>
  <si>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</si>
  <si>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</si>
  <si>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</si>
  <si>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</si>
  <si>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</si>
  <si>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</si>
  <si>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</si>
  <si>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</si>
  <si>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</si>
  <si>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</si>
  <si>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</si>
  <si>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</si>
  <si>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</si>
  <si>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</si>
  <si>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</si>
  <si>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</si>
  <si>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</si>
  <si>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</si>
  <si>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 xml:space="preserve"> Company Over/(Under) collecting</t>
  </si>
  <si>
    <t>Tariff Rate Increase</t>
  </si>
  <si>
    <t>Company Increased Revenue</t>
  </si>
  <si>
    <t>Revised Tariff Rate</t>
  </si>
  <si>
    <t>Revised Revenue Increase</t>
  </si>
  <si>
    <t>Revised Revenue</t>
  </si>
  <si>
    <t>1 unit</t>
  </si>
  <si>
    <t>2 units</t>
  </si>
  <si>
    <t>3 units</t>
  </si>
  <si>
    <t>n/a</t>
  </si>
  <si>
    <t>Revenue from Revised Rates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</si>
  <si>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</si>
  <si>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</si>
  <si>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</si>
  <si>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</si>
  <si>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</si>
  <si>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</si>
  <si>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</si>
  <si>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</si>
  <si>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</si>
  <si>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</si>
  <si>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</si>
  <si>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</si>
  <si>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</si>
  <si>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</si>
  <si>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</si>
  <si>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</si>
  <si>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</si>
  <si>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</si>
  <si>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</si>
  <si>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</si>
  <si>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</si>
  <si>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</si>
  <si>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</si>
  <si>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</si>
  <si>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</si>
  <si>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</si>
  <si>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</si>
  <si>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</si>
  <si>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</si>
  <si>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</si>
  <si>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</si>
  <si>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</si>
  <si>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</si>
  <si>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</si>
  <si>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</si>
  <si>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</si>
  <si>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</si>
  <si>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</si>
  <si>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</si>
  <si>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</si>
  <si>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Staff Revised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</si>
  <si>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</si>
  <si>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</si>
  <si>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</si>
  <si>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</si>
  <si>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</si>
  <si>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35 gallon Can</t>
  </si>
  <si>
    <t>Current</t>
  </si>
  <si>
    <t>Proposed</t>
  </si>
  <si>
    <t>Tariff</t>
  </si>
  <si>
    <t>Company</t>
  </si>
  <si>
    <t>Proposed Increase</t>
  </si>
  <si>
    <t>Each</t>
  </si>
  <si>
    <t>1 Can Monthly</t>
  </si>
  <si>
    <t>Annual</t>
  </si>
  <si>
    <t>Unit</t>
  </si>
  <si>
    <t>Revenue</t>
  </si>
  <si>
    <t>Per ton</t>
  </si>
  <si>
    <t>* not on meeks - calculated by staff in previous cases</t>
  </si>
  <si>
    <t>1 Mini Can</t>
  </si>
  <si>
    <t>1 Can wk</t>
  </si>
  <si>
    <t>2  Can wk</t>
  </si>
  <si>
    <t>3 Can wk</t>
  </si>
  <si>
    <t>4 Can wk</t>
  </si>
  <si>
    <t>32 Gal Tote wk</t>
  </si>
  <si>
    <t>6 yd  On Call</t>
  </si>
  <si>
    <t>6 yd 1xweek</t>
  </si>
  <si>
    <t>6 yd 2xweek</t>
  </si>
  <si>
    <t>8 yd   On Call</t>
  </si>
  <si>
    <t>8 yd  1xweek</t>
  </si>
  <si>
    <t>8 yd  2xweek</t>
  </si>
  <si>
    <t xml:space="preserve">32 Gal Toter 1xweek </t>
  </si>
  <si>
    <t xml:space="preserve">64 Gal Toter 1xweek  </t>
  </si>
  <si>
    <t>96 Gal Toter 1xweek</t>
  </si>
  <si>
    <t>1 yd  1xweek</t>
  </si>
  <si>
    <t>2yd On Call</t>
  </si>
  <si>
    <t>2 yd 1xweek</t>
  </si>
  <si>
    <t>2 yd 2xweek</t>
  </si>
  <si>
    <t>3 yd  On Call</t>
  </si>
  <si>
    <t>3 yd 1xweek</t>
  </si>
  <si>
    <t>3 yd 2xweek</t>
  </si>
  <si>
    <t>3 yd 3xweek</t>
  </si>
  <si>
    <t>4 yd On Call</t>
  </si>
  <si>
    <t>4 yd 1xweek</t>
  </si>
  <si>
    <t>4 yd 2xweek</t>
  </si>
  <si>
    <t>4 yd 3xweek</t>
  </si>
  <si>
    <t>Multi-Family</t>
  </si>
  <si>
    <t>King County</t>
  </si>
  <si>
    <t>King County TS</t>
  </si>
  <si>
    <t>20 Gallon Can</t>
  </si>
  <si>
    <t>1 Can</t>
  </si>
  <si>
    <t>2 Can</t>
  </si>
  <si>
    <t>3 Can</t>
  </si>
  <si>
    <t>32 Gal Toter</t>
  </si>
  <si>
    <t>64 Gal Toter</t>
  </si>
  <si>
    <t>96 Gal Toter</t>
  </si>
  <si>
    <t>4 Can</t>
  </si>
  <si>
    <t>32 Gallon First Pickup</t>
  </si>
  <si>
    <t>96 Gallon First Pickup</t>
  </si>
  <si>
    <t>1 Yard First Pickup</t>
  </si>
  <si>
    <t>1.5 Yard First Pickup</t>
  </si>
  <si>
    <t>2 Yard First Pickup</t>
  </si>
  <si>
    <t>3 Yard First Pickup</t>
  </si>
  <si>
    <t>4 Yard First Pickup</t>
  </si>
  <si>
    <t>6 Yard First Pickup</t>
  </si>
  <si>
    <t>8 Yard First Pickup</t>
  </si>
  <si>
    <t>DF Effective 1/1/2017</t>
  </si>
  <si>
    <t>5 Can wk</t>
  </si>
  <si>
    <t>6 Can wk</t>
  </si>
  <si>
    <t>64 Gal Tote wk</t>
  </si>
  <si>
    <t>96 Gal Tote wk</t>
  </si>
  <si>
    <t>Adj Factor</t>
  </si>
  <si>
    <t>C.O.S.</t>
  </si>
  <si>
    <t>INPUTS</t>
  </si>
  <si>
    <t>RES/COMM</t>
  </si>
  <si>
    <t>COMM'L</t>
  </si>
  <si>
    <t>DROPBOX</t>
  </si>
  <si>
    <t>TOTAL ALL SERVICES</t>
  </si>
  <si>
    <t xml:space="preserve"> RESIDENTIAL</t>
  </si>
  <si>
    <t xml:space="preserve"> COMM. CANS</t>
  </si>
  <si>
    <t>Current Disposal Rate</t>
  </si>
  <si>
    <t>Current B&amp;O Tax Rate</t>
  </si>
  <si>
    <t xml:space="preserve"> CONTAINERS</t>
  </si>
  <si>
    <t>Current WUTC Fee Rate</t>
  </si>
  <si>
    <t>Difference</t>
  </si>
  <si>
    <t>Total Revenue Tax</t>
  </si>
  <si>
    <t>Per Lb Difference</t>
  </si>
  <si>
    <t>No. of</t>
  </si>
  <si>
    <t>Pickup</t>
  </si>
  <si>
    <t xml:space="preserve">Current </t>
  </si>
  <si>
    <t>adjust</t>
  </si>
  <si>
    <t>Calculated</t>
  </si>
  <si>
    <t>Actual</t>
  </si>
  <si>
    <t xml:space="preserve"> </t>
  </si>
  <si>
    <t>Cust.</t>
  </si>
  <si>
    <t>Freq</t>
  </si>
  <si>
    <t>Monthly</t>
  </si>
  <si>
    <t>Lbs.</t>
  </si>
  <si>
    <t xml:space="preserve">unit </t>
  </si>
  <si>
    <t>Disposal</t>
  </si>
  <si>
    <t xml:space="preserve">PER </t>
  </si>
  <si>
    <t>PER</t>
  </si>
  <si>
    <t>Rev Tax</t>
  </si>
  <si>
    <t>TOTAL</t>
  </si>
  <si>
    <t>Current Rates</t>
  </si>
  <si>
    <t>Per</t>
  </si>
  <si>
    <t>Tons</t>
  </si>
  <si>
    <t>PICKUP</t>
  </si>
  <si>
    <t>MONTH</t>
  </si>
  <si>
    <t>Impact</t>
  </si>
  <si>
    <t xml:space="preserve">MONTHLY </t>
  </si>
  <si>
    <t>w/Disposal Increase</t>
  </si>
  <si>
    <t>Monthly Revenue</t>
  </si>
  <si>
    <t>Annual Revenue</t>
  </si>
  <si>
    <t>Annual Disposal</t>
  </si>
  <si>
    <t>Year</t>
  </si>
  <si>
    <t>Rate</t>
  </si>
  <si>
    <t>CHANGE</t>
  </si>
  <si>
    <t xml:space="preserve">RESIDENTIAL </t>
  </si>
  <si>
    <t>Mini Can Rental</t>
  </si>
  <si>
    <t>1 Can Rental</t>
  </si>
  <si>
    <t>32 Gal Toter Rental</t>
  </si>
  <si>
    <t>total residential</t>
  </si>
  <si>
    <t>#</t>
  </si>
  <si>
    <t>pu</t>
  </si>
  <si>
    <t>yds</t>
  </si>
  <si>
    <t>Total Yds</t>
  </si>
  <si>
    <t>1 yd  on call</t>
  </si>
  <si>
    <t>1.5 yd On Call</t>
  </si>
  <si>
    <t>1.5 yd 1xweek</t>
  </si>
  <si>
    <t>1.5 yd 2xweek</t>
  </si>
  <si>
    <t>1.5 yd 3xweek</t>
  </si>
  <si>
    <t>2 yd Comp Week (5x Comp)</t>
  </si>
  <si>
    <t>2 yd 3xweek</t>
  </si>
  <si>
    <t>2 yd 4xweek</t>
  </si>
  <si>
    <t>3 yd Comp Week</t>
  </si>
  <si>
    <t>3 yd Comp Week (5x Comp)</t>
  </si>
  <si>
    <t>4 yd Comp Week</t>
  </si>
  <si>
    <t>4 yd Comp Week (5x Comp)</t>
  </si>
  <si>
    <t>4 yd 4xweek</t>
  </si>
  <si>
    <t>5 yd Comp Week</t>
  </si>
  <si>
    <t>5 yd Comp Week (5x Comp)</t>
  </si>
  <si>
    <t>6 yd Comp Week</t>
  </si>
  <si>
    <t>6 yd Comp Week (5x Comp)</t>
  </si>
  <si>
    <t>6 yd 3xweek</t>
  </si>
  <si>
    <t>6 yd 4xweek</t>
  </si>
  <si>
    <t>8 yd  3xweek</t>
  </si>
  <si>
    <t>8 yd  4xweek</t>
  </si>
  <si>
    <t>8 yd  5xweek</t>
  </si>
  <si>
    <t>32 Gal Toter Rent</t>
  </si>
  <si>
    <t>64 Gal Toter Rent</t>
  </si>
  <si>
    <t>96 Gal Toter Rent</t>
  </si>
  <si>
    <t>1 yd Rent</t>
  </si>
  <si>
    <t>1.5 yd Rent</t>
  </si>
  <si>
    <t>2 yd Rent</t>
  </si>
  <si>
    <t>3 yd Rent</t>
  </si>
  <si>
    <t>4 yd Rent</t>
  </si>
  <si>
    <t>6 yd Rent</t>
  </si>
  <si>
    <t>8 yd Rent</t>
  </si>
  <si>
    <t>1 Yard Special Pickup</t>
  </si>
  <si>
    <t>2 Yard Special Pickup</t>
  </si>
  <si>
    <t>3 Yard Special Pickup</t>
  </si>
  <si>
    <t>4 Yard Special Pickup</t>
  </si>
  <si>
    <t>6 Yard Special Pickup</t>
  </si>
  <si>
    <t>8 Yard Special Pickup</t>
  </si>
  <si>
    <t>Alternative to 32 Gal. - Blue Bag</t>
  </si>
  <si>
    <t>Fiorito dba Kent Maridian Disposal</t>
  </si>
  <si>
    <t>Kent-Meridian Disposal</t>
  </si>
  <si>
    <t>Jan 1, 2017 Disposal Rate</t>
  </si>
  <si>
    <t>Tariff 27</t>
  </si>
  <si>
    <t>64 Gal Toter Rental</t>
  </si>
  <si>
    <t>96 Gal Toter Rental</t>
  </si>
  <si>
    <t>COMMERCIAL-Tariff 27</t>
  </si>
  <si>
    <t>2 yd Comp Week</t>
  </si>
  <si>
    <t>4 yd 5xweek</t>
  </si>
  <si>
    <t>1.25 yd Rent</t>
  </si>
  <si>
    <t xml:space="preserve">  Commercial Subtotal-Tariff 27 </t>
  </si>
  <si>
    <t>Multi-Family-Tariff 27</t>
  </si>
  <si>
    <t>1.5 yd on call</t>
  </si>
  <si>
    <t xml:space="preserve">  Multi-Family Subtotal-Tariff 27 </t>
  </si>
  <si>
    <t>no customers</t>
  </si>
  <si>
    <t>Item 100, pg 21 Appendix A</t>
  </si>
  <si>
    <t>Item 100, pg 22</t>
  </si>
  <si>
    <t>32 Gallon or Bag, Extra</t>
  </si>
  <si>
    <t>Item 105, pg 25</t>
  </si>
  <si>
    <t>20 Gallon</t>
  </si>
  <si>
    <t>64 Gallon</t>
  </si>
  <si>
    <t>20 Gallon Special</t>
  </si>
  <si>
    <t>64 Gallon Special</t>
  </si>
  <si>
    <t>32 Gallon Special Pickup</t>
  </si>
  <si>
    <t>96 Gallon Special Pickup</t>
  </si>
  <si>
    <t>1.5 Yard Special Pickup</t>
  </si>
  <si>
    <t>1 Yard</t>
  </si>
  <si>
    <t>2 Yard</t>
  </si>
  <si>
    <t>3 Yard</t>
  </si>
  <si>
    <t>4 Yard</t>
  </si>
  <si>
    <t>5 Yard</t>
  </si>
  <si>
    <t>6 Yard</t>
  </si>
  <si>
    <t>Item 106, pg 28 Compacted</t>
  </si>
  <si>
    <t>Item 106, pg 29 Compacted</t>
  </si>
  <si>
    <t xml:space="preserve">Item 150, pg 38 </t>
  </si>
  <si>
    <t>Bulky</t>
  </si>
  <si>
    <t>Per Yard</t>
  </si>
  <si>
    <t>Loose Material</t>
  </si>
  <si>
    <t>32 Gallon Special</t>
  </si>
  <si>
    <t>96 Gallon Special</t>
  </si>
  <si>
    <t>Item 255, pg 41 Compacted</t>
  </si>
  <si>
    <t>Item 255, pg 42 Compacted</t>
  </si>
  <si>
    <t>No Customers</t>
  </si>
  <si>
    <t>Item 230, pg 38</t>
  </si>
  <si>
    <t>Item 240, pg 39</t>
  </si>
  <si>
    <t>Item 245, pg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</si>
</sst>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#,##0.000_);\(#,##0.000\)"/>
    <numFmt numFmtId="173" formatCode="#,##0.0_);\(#,##0.0\)"/>
    <numFmt numFmtId="174" formatCode="0.000"/>
    <numFmt numFmtId="175" formatCode="0.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theme="3" tint="0.3999755851924192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2"/>
      <name val="Arial"/>
      <family val="2"/>
    </font>
    <font>
      <sz val="12"/>
      <name val="SWISS"/>
    </font>
    <font>
      <b/>
      <sz val="8"/>
      <color indexed="45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sz val="10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9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4" borderId="4" applyNumberFormat="0" applyAlignment="0" applyProtection="0"/>
    <xf numFmtId="0" fontId="32" fillId="24" borderId="4" applyNumberFormat="0" applyAlignment="0" applyProtection="0"/>
    <xf numFmtId="0" fontId="17" fillId="25" borderId="5" applyNumberFormat="0" applyAlignment="0" applyProtection="0"/>
    <xf numFmtId="0" fontId="17" fillId="26" borderId="6" applyNumberFormat="0" applyAlignment="0" applyProtection="0"/>
    <xf numFmtId="0" fontId="2" fillId="27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8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9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9" borderId="0">
      <alignment horizontal="right"/>
      <protection locked="0"/>
    </xf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3" borderId="4" applyNumberFormat="0" applyAlignment="0" applyProtection="0"/>
    <xf numFmtId="0" fontId="41" fillId="13" borderId="4" applyNumberFormat="0" applyAlignment="0" applyProtection="0"/>
    <xf numFmtId="3" fontId="10" fillId="31" borderId="0">
      <protection locked="0"/>
    </xf>
    <xf numFmtId="4" fontId="10" fillId="31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3" borderId="0" applyNumberFormat="0" applyBorder="0" applyAlignment="0" applyProtection="0"/>
    <xf numFmtId="0" fontId="43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10" borderId="15" applyNumberFormat="0" applyFont="0" applyAlignment="0" applyProtection="0"/>
    <xf numFmtId="0" fontId="18" fillId="10" borderId="15" applyNumberFormat="0" applyFont="0" applyAlignment="0" applyProtection="0"/>
    <xf numFmtId="171" fontId="44" fillId="0" borderId="0" applyNumberFormat="0"/>
    <xf numFmtId="0" fontId="29" fillId="24" borderId="16" applyNumberFormat="0" applyAlignment="0" applyProtection="0"/>
    <xf numFmtId="0" fontId="24" fillId="24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8" fillId="12" borderId="0" applyNumberFormat="0" applyBorder="0" applyAlignment="0" applyProtection="0"/>
    <xf numFmtId="0" fontId="8" fillId="32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16" borderId="0" applyNumberFormat="0" applyBorder="0" applyAlignment="0" applyProtection="0"/>
    <xf numFmtId="0" fontId="48" fillId="24" borderId="4" applyNumberFormat="0" applyAlignment="0" applyProtection="0"/>
    <xf numFmtId="0" fontId="48" fillId="12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7" applyNumberFormat="0" applyFill="0" applyAlignment="0" applyProtection="0"/>
    <xf numFmtId="0" fontId="50" fillId="0" borderId="28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9" applyNumberFormat="0" applyFill="0" applyAlignment="0" applyProtection="0"/>
    <xf numFmtId="0" fontId="52" fillId="0" borderId="30" applyNumberFormat="0" applyFill="0" applyAlignment="0" applyProtection="0"/>
    <xf numFmtId="0" fontId="53" fillId="0" borderId="31" applyNumberFormat="0" applyFill="0" applyAlignment="0" applyProtection="0"/>
    <xf numFmtId="0" fontId="54" fillId="13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10" borderId="15" applyNumberFormat="0" applyFont="0" applyAlignment="0" applyProtection="0"/>
    <xf numFmtId="0" fontId="49" fillId="10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32" applyNumberFormat="0" applyFill="0" applyAlignment="0" applyProtection="0"/>
    <xf numFmtId="0" fontId="31" fillId="0" borderId="33" applyNumberFormat="0" applyFill="0" applyAlignment="0" applyProtection="0"/>
    <xf numFmtId="0" fontId="58" fillId="0" borderId="0"/>
    <xf numFmtId="43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38" borderId="0" applyProtection="0"/>
  </cellStyleXfs>
  <cellXfs count="334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Font="1"/>
    <xf numFmtId="44" fontId="3" fillId="0" borderId="0" xfId="0" applyNumberFormat="1" applyFont="1"/>
    <xf numFmtId="165" fontId="0" fillId="5" borderId="0" xfId="2" applyNumberFormat="1" applyFont="1" applyFill="1"/>
    <xf numFmtId="44" fontId="0" fillId="5" borderId="0" xfId="2" applyFont="1" applyFill="1"/>
    <xf numFmtId="44" fontId="0" fillId="5" borderId="1" xfId="2" applyFont="1" applyFill="1" applyBorder="1"/>
    <xf numFmtId="165" fontId="0" fillId="5" borderId="1" xfId="2" applyNumberFormat="1" applyFont="1" applyFill="1" applyBorder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169" fontId="0" fillId="5" borderId="0" xfId="2" applyNumberFormat="1" applyFont="1" applyFill="1"/>
    <xf numFmtId="166" fontId="0" fillId="0" borderId="0" xfId="1" applyNumberFormat="1" applyFont="1"/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/>
    <xf numFmtId="0" fontId="3" fillId="6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43" fontId="0" fillId="0" borderId="0" xfId="1" applyFont="1" applyBorder="1" applyAlignment="1">
      <alignment horizontal="right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0" fillId="6" borderId="1" xfId="0" applyFont="1" applyFill="1" applyBorder="1" applyAlignment="1">
      <alignment vertical="center" textRotation="90"/>
    </xf>
    <xf numFmtId="0" fontId="12" fillId="6" borderId="1" xfId="4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43" fontId="0" fillId="6" borderId="1" xfId="1" applyFont="1" applyFill="1" applyBorder="1"/>
    <xf numFmtId="166" fontId="3" fillId="0" borderId="1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166" fontId="0" fillId="5" borderId="0" xfId="1" applyNumberFormat="1" applyFont="1" applyFill="1" applyBorder="1" applyAlignment="1">
      <alignment horizontal="righ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44" fontId="0" fillId="2" borderId="0" xfId="2" applyFont="1" applyFill="1" applyBorder="1"/>
    <xf numFmtId="44" fontId="3" fillId="6" borderId="1" xfId="2" applyFont="1" applyFill="1" applyBorder="1"/>
    <xf numFmtId="44" fontId="0" fillId="6" borderId="1" xfId="2" applyFont="1" applyFill="1" applyBorder="1"/>
    <xf numFmtId="44" fontId="3" fillId="0" borderId="0" xfId="2" applyFont="1" applyBorder="1" applyAlignment="1">
      <alignment horizontal="right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1" fillId="0" borderId="0" xfId="274" applyFont="1" applyBorder="1" applyAlignment="1">
      <alignment horizontal="left"/>
    </xf>
    <xf numFmtId="0" fontId="9" fillId="0" borderId="0" xfId="4" applyFont="1" applyFill="1" applyBorder="1" applyAlignment="1">
      <alignment horizontal="left"/>
    </xf>
    <xf numFmtId="44" fontId="0" fillId="0" borderId="0" xfId="2" applyFont="1" applyBorder="1"/>
    <xf numFmtId="0" fontId="3" fillId="0" borderId="20" xfId="0" applyFont="1" applyBorder="1"/>
    <xf numFmtId="0" fontId="0" fillId="6" borderId="25" xfId="0" applyFont="1" applyFill="1" applyBorder="1" applyAlignment="1">
      <alignment horizontal="center"/>
    </xf>
    <xf numFmtId="0" fontId="0" fillId="0" borderId="21" xfId="0" applyFont="1" applyBorder="1"/>
    <xf numFmtId="44" fontId="0" fillId="0" borderId="22" xfId="2" applyFont="1" applyBorder="1"/>
    <xf numFmtId="0" fontId="0" fillId="0" borderId="22" xfId="0" applyFont="1" applyBorder="1"/>
    <xf numFmtId="0" fontId="3" fillId="0" borderId="21" xfId="0" applyFont="1" applyBorder="1"/>
    <xf numFmtId="0" fontId="0" fillId="6" borderId="26" xfId="0" applyFont="1" applyFill="1" applyBorder="1" applyAlignment="1">
      <alignment horizontal="center"/>
    </xf>
    <xf numFmtId="44" fontId="1" fillId="0" borderId="22" xfId="2" applyFont="1" applyBorder="1"/>
    <xf numFmtId="0" fontId="0" fillId="0" borderId="23" xfId="0" applyFont="1" applyBorder="1" applyAlignment="1">
      <alignment horizontal="left"/>
    </xf>
    <xf numFmtId="44" fontId="0" fillId="0" borderId="24" xfId="2" applyFont="1" applyBorder="1"/>
    <xf numFmtId="164" fontId="0" fillId="0" borderId="0" xfId="0" applyNumberFormat="1" applyFont="1" applyFill="1" applyBorder="1"/>
    <xf numFmtId="0" fontId="3" fillId="6" borderId="1" xfId="0" applyFont="1" applyFill="1" applyBorder="1" applyAlignment="1">
      <alignment wrapText="1"/>
    </xf>
    <xf numFmtId="0" fontId="57" fillId="0" borderId="0" xfId="1" applyNumberFormat="1" applyFont="1" applyBorder="1" applyAlignment="1">
      <alignment horizontal="left"/>
    </xf>
    <xf numFmtId="0" fontId="0" fillId="0" borderId="0" xfId="1" applyNumberFormat="1" applyFont="1" applyBorder="1"/>
    <xf numFmtId="0" fontId="3" fillId="6" borderId="0" xfId="0" applyFont="1" applyFill="1" applyBorder="1" applyAlignment="1">
      <alignment horizontal="center" wrapText="1"/>
    </xf>
    <xf numFmtId="166" fontId="3" fillId="6" borderId="0" xfId="1" applyNumberFormat="1" applyFont="1" applyFill="1" applyBorder="1" applyAlignment="1">
      <alignment horizontal="center" wrapText="1"/>
    </xf>
    <xf numFmtId="43" fontId="0" fillId="0" borderId="0" xfId="1" applyNumberFormat="1" applyFont="1" applyBorder="1"/>
    <xf numFmtId="0" fontId="59" fillId="0" borderId="0" xfId="389" applyFont="1" applyFill="1" applyBorder="1"/>
    <xf numFmtId="43" fontId="1" fillId="0" borderId="0" xfId="1" applyFont="1"/>
    <xf numFmtId="0" fontId="59" fillId="0" borderId="0" xfId="390" applyFont="1"/>
    <xf numFmtId="0" fontId="60" fillId="0" borderId="0" xfId="389" applyFont="1" applyBorder="1"/>
    <xf numFmtId="43" fontId="49" fillId="0" borderId="0" xfId="1" applyFont="1" applyFill="1" applyBorder="1"/>
    <xf numFmtId="43" fontId="2" fillId="0" borderId="0" xfId="1" applyFont="1"/>
    <xf numFmtId="0" fontId="2" fillId="0" borderId="0" xfId="390"/>
    <xf numFmtId="43" fontId="59" fillId="0" borderId="0" xfId="1" applyFont="1" applyFill="1" applyAlignment="1">
      <alignment horizontal="center"/>
    </xf>
    <xf numFmtId="43" fontId="59" fillId="0" borderId="0" xfId="1" applyFont="1" applyAlignment="1">
      <alignment horizontal="center"/>
    </xf>
    <xf numFmtId="0" fontId="2" fillId="0" borderId="0" xfId="390" applyAlignment="1">
      <alignment horizontal="center"/>
    </xf>
    <xf numFmtId="0" fontId="59" fillId="0" borderId="0" xfId="390" applyFont="1" applyAlignment="1">
      <alignment horizontal="center"/>
    </xf>
    <xf numFmtId="14" fontId="2" fillId="0" borderId="0" xfId="390" applyNumberFormat="1" applyAlignment="1">
      <alignment horizontal="center"/>
    </xf>
    <xf numFmtId="14" fontId="3" fillId="0" borderId="0" xfId="1" applyNumberFormat="1" applyFont="1" applyAlignment="1">
      <alignment horizontal="center"/>
    </xf>
    <xf numFmtId="14" fontId="3" fillId="0" borderId="0" xfId="1" applyNumberFormat="1" applyFont="1"/>
    <xf numFmtId="14" fontId="3" fillId="0" borderId="0" xfId="0" applyNumberFormat="1" applyFont="1"/>
    <xf numFmtId="43" fontId="2" fillId="0" borderId="0" xfId="1" applyFont="1" applyFill="1"/>
    <xf numFmtId="4" fontId="2" fillId="0" borderId="0" xfId="390" applyNumberFormat="1"/>
    <xf numFmtId="0" fontId="2" fillId="0" borderId="0" xfId="390" applyFill="1"/>
    <xf numFmtId="4" fontId="2" fillId="0" borderId="0" xfId="390" applyNumberFormat="1" applyFill="1"/>
    <xf numFmtId="0" fontId="2" fillId="0" borderId="0" xfId="390" applyFont="1"/>
    <xf numFmtId="44" fontId="2" fillId="0" borderId="0" xfId="10" applyFont="1" applyFill="1"/>
    <xf numFmtId="43" fontId="61" fillId="0" borderId="0" xfId="1" applyFont="1"/>
    <xf numFmtId="43" fontId="2" fillId="0" borderId="0" xfId="390" applyNumberFormat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/>
    <xf numFmtId="166" fontId="3" fillId="6" borderId="1" xfId="1" applyNumberFormat="1" applyFont="1" applyFill="1" applyBorder="1" applyAlignment="1">
      <alignment horizontal="left" wrapText="1" indent="2"/>
    </xf>
    <xf numFmtId="166" fontId="0" fillId="6" borderId="1" xfId="1" applyNumberFormat="1" applyFont="1" applyFill="1" applyBorder="1" applyAlignment="1">
      <alignment horizontal="left" indent="2"/>
    </xf>
    <xf numFmtId="166" fontId="3" fillId="6" borderId="1" xfId="1" applyNumberFormat="1" applyFont="1" applyFill="1" applyBorder="1" applyAlignment="1">
      <alignment horizontal="left" indent="2"/>
    </xf>
    <xf numFmtId="166" fontId="3" fillId="0" borderId="0" xfId="1" applyNumberFormat="1" applyFont="1" applyBorder="1" applyAlignment="1">
      <alignment horizontal="left" indent="2"/>
    </xf>
    <xf numFmtId="166" fontId="0" fillId="0" borderId="0" xfId="1" applyNumberFormat="1" applyFont="1" applyBorder="1" applyAlignment="1">
      <alignment horizontal="left" indent="2"/>
    </xf>
    <xf numFmtId="166" fontId="0" fillId="0" borderId="0" xfId="1" applyNumberFormat="1" applyFont="1" applyFill="1" applyBorder="1" applyAlignment="1">
      <alignment horizontal="left" indent="2"/>
    </xf>
    <xf numFmtId="166" fontId="11" fillId="0" borderId="0" xfId="1" applyNumberFormat="1" applyFont="1" applyFill="1" applyBorder="1" applyAlignment="1">
      <alignment horizontal="left" indent="2"/>
    </xf>
    <xf numFmtId="0" fontId="0" fillId="0" borderId="0" xfId="0" applyFont="1" applyAlignment="1">
      <alignment horizontal="left" vertical="top" indent="1"/>
    </xf>
    <xf numFmtId="0" fontId="0" fillId="0" borderId="0" xfId="0" applyFont="1" applyFill="1" applyBorder="1" applyAlignment="1">
      <alignment vertical="center"/>
    </xf>
    <xf numFmtId="166" fontId="11" fillId="0" borderId="0" xfId="373" applyNumberFormat="1" applyFont="1"/>
    <xf numFmtId="37" fontId="11" fillId="0" borderId="0" xfId="4" applyNumberFormat="1" applyFont="1" applyAlignment="1" applyProtection="1">
      <alignment horizontal="right"/>
    </xf>
    <xf numFmtId="166" fontId="11" fillId="0" borderId="0" xfId="1" applyNumberFormat="1" applyFont="1" applyAlignment="1">
      <alignment horizontal="left" indent="2"/>
    </xf>
    <xf numFmtId="44" fontId="11" fillId="0" borderId="0" xfId="10" applyFont="1"/>
    <xf numFmtId="0" fontId="11" fillId="0" borderId="0" xfId="4" applyFont="1" applyFill="1" applyBorder="1" applyAlignment="1">
      <alignment horizontal="left"/>
    </xf>
    <xf numFmtId="166" fontId="11" fillId="0" borderId="0" xfId="1" applyNumberFormat="1" applyFont="1"/>
    <xf numFmtId="166" fontId="11" fillId="0" borderId="0" xfId="1" applyNumberFormat="1" applyFont="1" applyFill="1"/>
    <xf numFmtId="166" fontId="11" fillId="0" borderId="0" xfId="1" applyNumberFormat="1" applyFont="1" applyFill="1" applyAlignment="1">
      <alignment horizontal="left" indent="2"/>
    </xf>
    <xf numFmtId="44" fontId="0" fillId="0" borderId="0" xfId="0" applyNumberFormat="1" applyFont="1" applyFill="1" applyBorder="1"/>
    <xf numFmtId="44" fontId="3" fillId="6" borderId="1" xfId="2" applyFont="1" applyFill="1" applyBorder="1" applyAlignment="1">
      <alignment horizontal="right"/>
    </xf>
    <xf numFmtId="0" fontId="0" fillId="0" borderId="0" xfId="0" applyFont="1" applyBorder="1" applyAlignment="1">
      <alignment horizontal="left" vertical="top" indent="1"/>
    </xf>
    <xf numFmtId="166" fontId="11" fillId="0" borderId="0" xfId="373" applyNumberFormat="1" applyFont="1" applyBorder="1"/>
    <xf numFmtId="37" fontId="11" fillId="0" borderId="0" xfId="4" applyNumberFormat="1" applyFont="1" applyBorder="1" applyAlignment="1" applyProtection="1">
      <alignment horizontal="right"/>
    </xf>
    <xf numFmtId="166" fontId="11" fillId="0" borderId="0" xfId="1" applyNumberFormat="1" applyFont="1" applyBorder="1" applyAlignment="1">
      <alignment horizontal="left" indent="2"/>
    </xf>
    <xf numFmtId="44" fontId="11" fillId="0" borderId="0" xfId="10" applyFont="1" applyBorder="1"/>
    <xf numFmtId="0" fontId="11" fillId="0" borderId="0" xfId="0" applyFont="1"/>
    <xf numFmtId="44" fontId="64" fillId="0" borderId="0" xfId="2" applyFont="1" applyFill="1" applyAlignment="1">
      <alignment horizontal="center"/>
    </xf>
    <xf numFmtId="0" fontId="49" fillId="0" borderId="0" xfId="4" applyFont="1" applyFill="1" applyAlignment="1">
      <alignment horizontal="left"/>
    </xf>
    <xf numFmtId="3" fontId="64" fillId="0" borderId="0" xfId="4" applyNumberFormat="1" applyFont="1" applyFill="1" applyAlignment="1">
      <alignment horizontal="center"/>
    </xf>
    <xf numFmtId="0" fontId="49" fillId="0" borderId="0" xfId="391" applyNumberFormat="1" applyFont="1" applyFill="1"/>
    <xf numFmtId="41" fontId="49" fillId="0" borderId="0" xfId="391" applyNumberFormat="1" applyFont="1" applyFill="1"/>
    <xf numFmtId="0" fontId="49" fillId="0" borderId="0" xfId="391" applyNumberFormat="1" applyFont="1" applyFill="1" applyBorder="1"/>
    <xf numFmtId="0" fontId="49" fillId="0" borderId="0" xfId="391" applyNumberFormat="1" applyFont="1" applyFill="1" applyAlignment="1">
      <alignment horizontal="center"/>
    </xf>
    <xf numFmtId="37" fontId="49" fillId="0" borderId="0" xfId="391" applyNumberFormat="1" applyFont="1" applyFill="1"/>
    <xf numFmtId="172" fontId="49" fillId="0" borderId="0" xfId="391" applyNumberFormat="1" applyFont="1" applyFill="1"/>
    <xf numFmtId="166" fontId="49" fillId="0" borderId="0" xfId="1" applyNumberFormat="1" applyFont="1" applyFill="1"/>
    <xf numFmtId="43" fontId="49" fillId="0" borderId="0" xfId="1" applyFont="1" applyFill="1"/>
    <xf numFmtId="43" fontId="49" fillId="0" borderId="0" xfId="391" applyNumberFormat="1" applyFont="1" applyFill="1"/>
    <xf numFmtId="3" fontId="49" fillId="0" borderId="0" xfId="391" applyNumberFormat="1" applyFont="1" applyFill="1"/>
    <xf numFmtId="37" fontId="64" fillId="0" borderId="0" xfId="391" applyNumberFormat="1" applyFont="1" applyFill="1"/>
    <xf numFmtId="37" fontId="66" fillId="0" borderId="0" xfId="391" applyNumberFormat="1" applyFont="1" applyFill="1"/>
    <xf numFmtId="0" fontId="49" fillId="0" borderId="34" xfId="391" applyNumberFormat="1" applyFont="1" applyFill="1" applyBorder="1"/>
    <xf numFmtId="37" fontId="49" fillId="0" borderId="34" xfId="391" applyNumberFormat="1" applyFont="1" applyFill="1" applyBorder="1"/>
    <xf numFmtId="37" fontId="49" fillId="0" borderId="34" xfId="391" applyNumberFormat="1" applyFont="1" applyFill="1" applyBorder="1" applyAlignment="1"/>
    <xf numFmtId="41" fontId="49" fillId="0" borderId="34" xfId="391" applyNumberFormat="1" applyFont="1" applyFill="1" applyBorder="1"/>
    <xf numFmtId="0" fontId="49" fillId="0" borderId="35" xfId="391" applyNumberFormat="1" applyFont="1" applyFill="1" applyBorder="1"/>
    <xf numFmtId="10" fontId="49" fillId="0" borderId="0" xfId="3" applyNumberFormat="1" applyFont="1" applyFill="1"/>
    <xf numFmtId="166" fontId="49" fillId="0" borderId="0" xfId="1" applyNumberFormat="1" applyFont="1" applyFill="1" applyAlignment="1">
      <alignment horizontal="center"/>
    </xf>
    <xf numFmtId="0" fontId="49" fillId="0" borderId="36" xfId="391" applyNumberFormat="1" applyFont="1" applyFill="1" applyBorder="1"/>
    <xf numFmtId="0" fontId="49" fillId="0" borderId="0" xfId="391" applyNumberFormat="1" applyFont="1" applyFill="1" applyAlignment="1">
      <alignment horizontal="right"/>
    </xf>
    <xf numFmtId="44" fontId="49" fillId="4" borderId="37" xfId="2" applyFont="1" applyFill="1" applyBorder="1"/>
    <xf numFmtId="168" fontId="49" fillId="4" borderId="37" xfId="391" applyNumberFormat="1" applyFont="1" applyFill="1" applyBorder="1"/>
    <xf numFmtId="37" fontId="49" fillId="0" borderId="0" xfId="391" applyNumberFormat="1" applyFont="1" applyFill="1" applyBorder="1"/>
    <xf numFmtId="41" fontId="49" fillId="0" borderId="0" xfId="391" applyNumberFormat="1" applyFont="1" applyFill="1" applyBorder="1"/>
    <xf numFmtId="0" fontId="49" fillId="0" borderId="0" xfId="391" applyNumberFormat="1" applyFont="1" applyFill="1" applyBorder="1" applyAlignment="1">
      <alignment horizontal="right"/>
    </xf>
    <xf numFmtId="166" fontId="66" fillId="0" borderId="0" xfId="1" applyNumberFormat="1" applyFont="1" applyFill="1" applyAlignment="1">
      <alignment horizontal="center"/>
    </xf>
    <xf numFmtId="44" fontId="49" fillId="0" borderId="0" xfId="2" applyFont="1" applyFill="1"/>
    <xf numFmtId="168" fontId="49" fillId="0" borderId="0" xfId="391" applyNumberFormat="1" applyFont="1" applyFill="1"/>
    <xf numFmtId="0" fontId="49" fillId="0" borderId="2" xfId="391" applyNumberFormat="1" applyFont="1" applyFill="1" applyBorder="1"/>
    <xf numFmtId="37" fontId="67" fillId="0" borderId="2" xfId="391" applyNumberFormat="1" applyFont="1" applyFill="1" applyBorder="1"/>
    <xf numFmtId="166" fontId="67" fillId="0" borderId="2" xfId="1" applyNumberFormat="1" applyFont="1" applyFill="1" applyBorder="1"/>
    <xf numFmtId="41" fontId="67" fillId="0" borderId="2" xfId="391" applyNumberFormat="1" applyFont="1" applyFill="1" applyBorder="1"/>
    <xf numFmtId="165" fontId="49" fillId="0" borderId="0" xfId="2" applyNumberFormat="1" applyFont="1" applyFill="1"/>
    <xf numFmtId="0" fontId="49" fillId="0" borderId="38" xfId="391" applyNumberFormat="1" applyFont="1" applyFill="1" applyBorder="1"/>
    <xf numFmtId="2" fontId="49" fillId="0" borderId="0" xfId="391" applyNumberFormat="1" applyFont="1" applyFill="1" applyAlignment="1">
      <alignment horizontal="center"/>
    </xf>
    <xf numFmtId="41" fontId="49" fillId="0" borderId="0" xfId="391" applyNumberFormat="1" applyFont="1" applyFill="1" applyAlignment="1">
      <alignment horizontal="center"/>
    </xf>
    <xf numFmtId="0" fontId="49" fillId="39" borderId="39" xfId="391" applyNumberFormat="1" applyFont="1" applyFill="1" applyBorder="1"/>
    <xf numFmtId="0" fontId="49" fillId="0" borderId="39" xfId="391" applyNumberFormat="1" applyFont="1" applyFill="1" applyBorder="1"/>
    <xf numFmtId="0" fontId="49" fillId="39" borderId="40" xfId="391" applyNumberFormat="1" applyFont="1" applyFill="1" applyBorder="1" applyAlignment="1">
      <alignment horizontal="center"/>
    </xf>
    <xf numFmtId="0" fontId="60" fillId="39" borderId="40" xfId="391" applyNumberFormat="1" applyFont="1" applyFill="1" applyBorder="1" applyAlignment="1">
      <alignment horizontal="center"/>
    </xf>
    <xf numFmtId="0" fontId="49" fillId="0" borderId="40" xfId="391" applyNumberFormat="1" applyFont="1" applyFill="1" applyBorder="1" applyAlignment="1">
      <alignment horizontal="center"/>
    </xf>
    <xf numFmtId="37" fontId="49" fillId="0" borderId="0" xfId="391" applyNumberFormat="1" applyFont="1" applyFill="1" applyAlignment="1">
      <alignment horizontal="center"/>
    </xf>
    <xf numFmtId="0" fontId="49" fillId="39" borderId="41" xfId="391" applyNumberFormat="1" applyFont="1" applyFill="1" applyBorder="1"/>
    <xf numFmtId="0" fontId="60" fillId="39" borderId="41" xfId="391" applyNumberFormat="1" applyFont="1" applyFill="1" applyBorder="1" applyAlignment="1">
      <alignment horizontal="center"/>
    </xf>
    <xf numFmtId="0" fontId="49" fillId="0" borderId="41" xfId="391" applyNumberFormat="1" applyFont="1" applyFill="1" applyBorder="1"/>
    <xf numFmtId="0" fontId="49" fillId="0" borderId="41" xfId="391" applyNumberFormat="1" applyFont="1" applyFill="1" applyBorder="1" applyAlignment="1">
      <alignment horizontal="center"/>
    </xf>
    <xf numFmtId="37" fontId="67" fillId="0" borderId="0" xfId="391" applyNumberFormat="1" applyFont="1" applyFill="1" applyBorder="1"/>
    <xf numFmtId="41" fontId="67" fillId="0" borderId="0" xfId="391" applyNumberFormat="1" applyFont="1" applyFill="1" applyBorder="1"/>
    <xf numFmtId="0" fontId="49" fillId="0" borderId="42" xfId="391" applyNumberFormat="1" applyFont="1" applyFill="1" applyBorder="1"/>
    <xf numFmtId="43" fontId="64" fillId="0" borderId="0" xfId="1" applyFont="1" applyFill="1" applyProtection="1"/>
    <xf numFmtId="2" fontId="49" fillId="0" borderId="0" xfId="391" applyNumberFormat="1" applyFont="1" applyFill="1"/>
    <xf numFmtId="44" fontId="49" fillId="0" borderId="0" xfId="391" applyNumberFormat="1" applyFont="1" applyFill="1"/>
    <xf numFmtId="44" fontId="49" fillId="0" borderId="43" xfId="391" applyNumberFormat="1" applyFont="1" applyFill="1" applyBorder="1"/>
    <xf numFmtId="164" fontId="49" fillId="0" borderId="0" xfId="391" applyNumberFormat="1" applyFont="1" applyFill="1"/>
    <xf numFmtId="164" fontId="49" fillId="0" borderId="0" xfId="2" applyNumberFormat="1" applyFont="1" applyFill="1"/>
    <xf numFmtId="164" fontId="49" fillId="0" borderId="36" xfId="391" applyNumberFormat="1" applyFont="1" applyFill="1" applyBorder="1"/>
    <xf numFmtId="171" fontId="49" fillId="0" borderId="0" xfId="3" applyNumberFormat="1" applyFont="1" applyFill="1" applyBorder="1"/>
    <xf numFmtId="44" fontId="68" fillId="0" borderId="0" xfId="391" applyNumberFormat="1" applyFont="1" applyFill="1"/>
    <xf numFmtId="4" fontId="64" fillId="0" borderId="0" xfId="4" applyNumberFormat="1" applyFont="1" applyFill="1" applyAlignment="1">
      <alignment horizontal="center"/>
    </xf>
    <xf numFmtId="0" fontId="64" fillId="0" borderId="0" xfId="391" applyFont="1" applyFill="1" applyAlignment="1">
      <alignment horizontal="center"/>
    </xf>
    <xf numFmtId="39" fontId="64" fillId="0" borderId="0" xfId="391" applyNumberFormat="1" applyFont="1" applyFill="1" applyAlignment="1" applyProtection="1">
      <alignment horizontal="center"/>
    </xf>
    <xf numFmtId="41" fontId="49" fillId="0" borderId="0" xfId="1" applyNumberFormat="1" applyFont="1" applyFill="1"/>
    <xf numFmtId="164" fontId="49" fillId="0" borderId="36" xfId="2" applyNumberFormat="1" applyFont="1" applyFill="1" applyBorder="1"/>
    <xf numFmtId="10" fontId="49" fillId="0" borderId="36" xfId="3" applyNumberFormat="1" applyFont="1" applyFill="1" applyBorder="1"/>
    <xf numFmtId="0" fontId="60" fillId="0" borderId="2" xfId="391" applyNumberFormat="1" applyFont="1" applyFill="1" applyBorder="1"/>
    <xf numFmtId="41" fontId="60" fillId="0" borderId="2" xfId="391" applyNumberFormat="1" applyFont="1" applyFill="1" applyBorder="1"/>
    <xf numFmtId="37" fontId="60" fillId="0" borderId="2" xfId="391" applyNumberFormat="1" applyFont="1" applyFill="1" applyBorder="1"/>
    <xf numFmtId="0" fontId="60" fillId="0" borderId="38" xfId="391" applyNumberFormat="1" applyFont="1" applyFill="1" applyBorder="1"/>
    <xf numFmtId="0" fontId="60" fillId="0" borderId="0" xfId="391" applyNumberFormat="1" applyFont="1" applyFill="1" applyBorder="1"/>
    <xf numFmtId="0" fontId="69" fillId="0" borderId="0" xfId="391" applyNumberFormat="1" applyFont="1" applyFill="1" applyAlignment="1">
      <alignment horizontal="center"/>
    </xf>
    <xf numFmtId="0" fontId="60" fillId="0" borderId="0" xfId="391" applyNumberFormat="1" applyFont="1" applyFill="1"/>
    <xf numFmtId="0" fontId="49" fillId="0" borderId="0" xfId="0" applyFont="1" applyFill="1"/>
    <xf numFmtId="37" fontId="70" fillId="0" borderId="0" xfId="4" applyNumberFormat="1" applyFont="1" applyAlignment="1" applyProtection="1"/>
    <xf numFmtId="1" fontId="64" fillId="0" borderId="0" xfId="391" applyNumberFormat="1" applyFont="1" applyFill="1" applyAlignment="1">
      <alignment horizontal="center"/>
    </xf>
    <xf numFmtId="44" fontId="64" fillId="0" borderId="0" xfId="2" applyFont="1" applyFill="1" applyAlignment="1" applyProtection="1">
      <alignment horizontal="center"/>
    </xf>
    <xf numFmtId="173" fontId="49" fillId="0" borderId="0" xfId="391" applyNumberFormat="1" applyFont="1" applyFill="1"/>
    <xf numFmtId="171" fontId="49" fillId="0" borderId="0" xfId="3" applyNumberFormat="1" applyFont="1" applyFill="1"/>
    <xf numFmtId="166" fontId="49" fillId="0" borderId="0" xfId="391" applyNumberFormat="1" applyFont="1" applyFill="1"/>
    <xf numFmtId="0" fontId="49" fillId="0" borderId="0" xfId="4" applyFont="1" applyFill="1" applyBorder="1" applyAlignment="1" applyProtection="1">
      <alignment horizontal="left"/>
    </xf>
    <xf numFmtId="37" fontId="49" fillId="0" borderId="0" xfId="391" applyNumberFormat="1" applyFont="1" applyFill="1" applyAlignment="1" applyProtection="1">
      <alignment horizontal="center"/>
    </xf>
    <xf numFmtId="4" fontId="64" fillId="0" borderId="0" xfId="4" applyNumberFormat="1" applyFont="1" applyFill="1" applyAlignment="1" applyProtection="1">
      <alignment horizontal="center"/>
    </xf>
    <xf numFmtId="174" fontId="64" fillId="0" borderId="0" xfId="391" applyNumberFormat="1" applyFont="1" applyFill="1" applyProtection="1"/>
    <xf numFmtId="0" fontId="49" fillId="0" borderId="0" xfId="4" applyFont="1" applyFill="1" applyBorder="1" applyAlignment="1" applyProtection="1">
      <alignment horizontal="center"/>
    </xf>
    <xf numFmtId="171" fontId="49" fillId="0" borderId="36" xfId="3" applyNumberFormat="1" applyFont="1" applyFill="1" applyBorder="1"/>
    <xf numFmtId="0" fontId="60" fillId="0" borderId="1" xfId="4" applyFont="1" applyFill="1" applyBorder="1" applyProtection="1"/>
    <xf numFmtId="0" fontId="69" fillId="0" borderId="0" xfId="4" applyFont="1" applyFill="1" applyBorder="1" applyAlignment="1" applyProtection="1">
      <alignment horizontal="center"/>
    </xf>
    <xf numFmtId="1" fontId="49" fillId="0" borderId="0" xfId="391" applyNumberFormat="1" applyFont="1" applyFill="1"/>
    <xf numFmtId="2" fontId="64" fillId="0" borderId="0" xfId="391" applyNumberFormat="1" applyFont="1" applyFill="1"/>
    <xf numFmtId="175" fontId="64" fillId="0" borderId="0" xfId="391" applyNumberFormat="1" applyFont="1" applyFill="1" applyAlignment="1">
      <alignment horizontal="center"/>
    </xf>
    <xf numFmtId="0" fontId="49" fillId="0" borderId="0" xfId="4" applyFont="1" applyFill="1"/>
    <xf numFmtId="41" fontId="60" fillId="0" borderId="0" xfId="391" applyNumberFormat="1" applyFont="1" applyFill="1" applyBorder="1"/>
    <xf numFmtId="37" fontId="60" fillId="0" borderId="0" xfId="391" applyNumberFormat="1" applyFont="1" applyFill="1" applyBorder="1"/>
    <xf numFmtId="0" fontId="60" fillId="0" borderId="44" xfId="391" applyNumberFormat="1" applyFont="1" applyFill="1" applyBorder="1"/>
    <xf numFmtId="0" fontId="49" fillId="0" borderId="44" xfId="391" applyNumberFormat="1" applyFont="1" applyFill="1" applyBorder="1"/>
    <xf numFmtId="43" fontId="49" fillId="0" borderId="44" xfId="391" applyNumberFormat="1" applyFont="1" applyFill="1" applyBorder="1"/>
    <xf numFmtId="37" fontId="49" fillId="0" borderId="44" xfId="391" applyNumberFormat="1" applyFont="1" applyFill="1" applyBorder="1"/>
    <xf numFmtId="164" fontId="49" fillId="0" borderId="44" xfId="2" applyNumberFormat="1" applyFont="1" applyFill="1" applyBorder="1"/>
    <xf numFmtId="164" fontId="49" fillId="0" borderId="45" xfId="2" applyNumberFormat="1" applyFont="1" applyFill="1" applyBorder="1"/>
    <xf numFmtId="0" fontId="0" fillId="0" borderId="0" xfId="0" applyFont="1" applyFill="1" applyBorder="1" applyAlignment="1">
      <alignment horizontal="center" vertical="center" textRotation="90"/>
    </xf>
    <xf numFmtId="4" fontId="2" fillId="0" borderId="0" xfId="390" applyNumberFormat="1" applyFont="1"/>
    <xf numFmtId="0" fontId="59" fillId="0" borderId="0" xfId="390" applyFont="1" applyFill="1"/>
    <xf numFmtId="37" fontId="49" fillId="0" borderId="0" xfId="4" applyNumberFormat="1" applyFont="1" applyAlignment="1" applyProtection="1">
      <alignment horizontal="right"/>
    </xf>
    <xf numFmtId="1" fontId="49" fillId="0" borderId="0" xfId="4" applyNumberFormat="1" applyFont="1" applyAlignment="1" applyProtection="1">
      <alignment horizontal="right"/>
    </xf>
    <xf numFmtId="0" fontId="49" fillId="0" borderId="0" xfId="0" applyFont="1"/>
    <xf numFmtId="0" fontId="64" fillId="0" borderId="0" xfId="0" applyFont="1" applyAlignment="1"/>
    <xf numFmtId="44" fontId="64" fillId="0" borderId="0" xfId="2" applyFont="1" applyFill="1"/>
    <xf numFmtId="37" fontId="49" fillId="0" borderId="0" xfId="4" applyNumberFormat="1" applyFont="1" applyAlignment="1" applyProtection="1"/>
    <xf numFmtId="0" fontId="0" fillId="5" borderId="0" xfId="0" applyFill="1"/>
    <xf numFmtId="0" fontId="59" fillId="0" borderId="0" xfId="390" applyFont="1" applyBorder="1"/>
    <xf numFmtId="0" fontId="0" fillId="5" borderId="0" xfId="0" applyFont="1" applyFill="1" applyAlignment="1">
      <alignment horizontal="left" vertical="top" indent="1"/>
    </xf>
    <xf numFmtId="0" fontId="2" fillId="5" borderId="0" xfId="390" applyFont="1" applyFill="1"/>
    <xf numFmtId="43" fontId="2" fillId="5" borderId="0" xfId="1" applyFont="1" applyFill="1"/>
    <xf numFmtId="0" fontId="0" fillId="5" borderId="0" xfId="0" applyFont="1" applyFill="1" applyBorder="1" applyAlignment="1">
      <alignment horizontal="left" vertical="top" indent="1"/>
    </xf>
    <xf numFmtId="0" fontId="11" fillId="5" borderId="0" xfId="4" applyFont="1" applyFill="1" applyBorder="1" applyAlignment="1">
      <alignment horizontal="left"/>
    </xf>
    <xf numFmtId="0" fontId="2" fillId="5" borderId="0" xfId="390" applyFill="1"/>
    <xf numFmtId="43" fontId="61" fillId="0" borderId="0" xfId="1" applyFont="1" applyFill="1"/>
    <xf numFmtId="0" fontId="0" fillId="0" borderId="0" xfId="0" applyFill="1"/>
    <xf numFmtId="0" fontId="0" fillId="6" borderId="46" xfId="0" applyFont="1" applyFill="1" applyBorder="1"/>
    <xf numFmtId="0" fontId="0" fillId="6" borderId="34" xfId="0" applyFont="1" applyFill="1" applyBorder="1" applyAlignment="1">
      <alignment horizontal="center"/>
    </xf>
    <xf numFmtId="0" fontId="3" fillId="6" borderId="34" xfId="0" applyFont="1" applyFill="1" applyBorder="1"/>
    <xf numFmtId="0" fontId="0" fillId="6" borderId="34" xfId="0" applyFont="1" applyFill="1" applyBorder="1" applyAlignment="1">
      <alignment horizontal="right"/>
    </xf>
    <xf numFmtId="0" fontId="0" fillId="6" borderId="34" xfId="0" applyFont="1" applyFill="1" applyBorder="1"/>
    <xf numFmtId="166" fontId="0" fillId="6" borderId="34" xfId="1" applyNumberFormat="1" applyFont="1" applyFill="1" applyBorder="1" applyAlignment="1">
      <alignment horizontal="left" indent="2"/>
    </xf>
    <xf numFmtId="166" fontId="0" fillId="6" borderId="34" xfId="1" applyNumberFormat="1" applyFont="1" applyFill="1" applyBorder="1"/>
    <xf numFmtId="44" fontId="0" fillId="6" borderId="34" xfId="1" applyNumberFormat="1" applyFont="1" applyFill="1" applyBorder="1"/>
    <xf numFmtId="0" fontId="0" fillId="6" borderId="35" xfId="0" applyFont="1" applyFill="1" applyBorder="1"/>
    <xf numFmtId="0" fontId="0" fillId="0" borderId="43" xfId="0" applyFont="1" applyBorder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0" fontId="0" fillId="0" borderId="43" xfId="0" applyFont="1" applyFill="1" applyBorder="1" applyAlignment="1">
      <alignment vertical="center" textRotation="90"/>
    </xf>
    <xf numFmtId="0" fontId="0" fillId="0" borderId="47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166" fontId="11" fillId="0" borderId="1" xfId="373" applyNumberFormat="1" applyFont="1" applyBorder="1"/>
    <xf numFmtId="43" fontId="0" fillId="0" borderId="1" xfId="1" applyNumberFormat="1" applyFont="1" applyFill="1" applyBorder="1"/>
    <xf numFmtId="37" fontId="11" fillId="0" borderId="1" xfId="4" applyNumberFormat="1" applyFont="1" applyBorder="1" applyAlignment="1" applyProtection="1">
      <alignment horizontal="right"/>
    </xf>
    <xf numFmtId="166" fontId="11" fillId="0" borderId="1" xfId="1" applyNumberFormat="1" applyFont="1" applyBorder="1" applyAlignment="1">
      <alignment horizontal="left" indent="2"/>
    </xf>
    <xf numFmtId="166" fontId="0" fillId="0" borderId="1" xfId="1" applyNumberFormat="1" applyFont="1" applyFill="1" applyBorder="1"/>
    <xf numFmtId="166" fontId="0" fillId="0" borderId="1" xfId="1" applyNumberFormat="1" applyFont="1" applyFill="1" applyBorder="1" applyAlignment="1">
      <alignment horizontal="center" wrapText="1"/>
    </xf>
    <xf numFmtId="44" fontId="0" fillId="0" borderId="1" xfId="2" applyFont="1" applyFill="1" applyBorder="1"/>
    <xf numFmtId="44" fontId="11" fillId="0" borderId="1" xfId="10" applyFont="1" applyBorder="1"/>
    <xf numFmtId="44" fontId="11" fillId="0" borderId="48" xfId="10" applyFont="1" applyBorder="1"/>
    <xf numFmtId="3" fontId="64" fillId="0" borderId="0" xfId="4" applyNumberFormat="1" applyFont="1" applyFill="1" applyBorder="1" applyAlignment="1">
      <alignment horizontal="center"/>
    </xf>
    <xf numFmtId="44" fontId="64" fillId="0" borderId="0" xfId="2" applyFont="1" applyFill="1" applyBorder="1" applyAlignment="1">
      <alignment horizontal="center"/>
    </xf>
    <xf numFmtId="0" fontId="2" fillId="0" borderId="0" xfId="390" applyBorder="1"/>
    <xf numFmtId="0" fontId="2" fillId="0" borderId="0" xfId="378" applyFill="1" applyBorder="1"/>
    <xf numFmtId="0" fontId="2" fillId="0" borderId="0" xfId="390" applyFill="1" applyBorder="1"/>
    <xf numFmtId="0" fontId="0" fillId="0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 wrapText="1"/>
    </xf>
    <xf numFmtId="44" fontId="0" fillId="5" borderId="0" xfId="2" applyFont="1" applyFill="1" applyBorder="1"/>
    <xf numFmtId="44" fontId="3" fillId="5" borderId="1" xfId="2" applyFont="1" applyFill="1" applyBorder="1"/>
    <xf numFmtId="44" fontId="3" fillId="5" borderId="0" xfId="2" applyFont="1" applyFill="1" applyBorder="1" applyAlignment="1">
      <alignment horizontal="right"/>
    </xf>
    <xf numFmtId="0" fontId="0" fillId="5" borderId="0" xfId="0" applyFont="1" applyFill="1" applyBorder="1"/>
    <xf numFmtId="0" fontId="0" fillId="5" borderId="34" xfId="0" applyFont="1" applyFill="1" applyBorder="1"/>
    <xf numFmtId="0" fontId="0" fillId="5" borderId="0" xfId="0" applyFont="1" applyFill="1" applyBorder="1" applyAlignment="1">
      <alignment horizontal="right" wrapText="1"/>
    </xf>
    <xf numFmtId="164" fontId="0" fillId="5" borderId="0" xfId="2" applyNumberFormat="1" applyFont="1" applyFill="1" applyBorder="1"/>
    <xf numFmtId="44" fontId="0" fillId="40" borderId="0" xfId="2" applyFont="1" applyFill="1" applyBorder="1"/>
    <xf numFmtId="0" fontId="11" fillId="40" borderId="0" xfId="4" applyFont="1" applyFill="1" applyBorder="1" applyAlignment="1">
      <alignment horizontal="left"/>
    </xf>
    <xf numFmtId="0" fontId="11" fillId="40" borderId="0" xfId="0" applyFont="1" applyFill="1"/>
    <xf numFmtId="0" fontId="0" fillId="40" borderId="0" xfId="0" applyFont="1" applyFill="1" applyBorder="1" applyAlignment="1">
      <alignment horizontal="left"/>
    </xf>
    <xf numFmtId="0" fontId="0" fillId="40" borderId="0" xfId="0" applyFont="1" applyFill="1" applyBorder="1"/>
    <xf numFmtId="166" fontId="11" fillId="40" borderId="0" xfId="373" applyNumberFormat="1" applyFont="1" applyFill="1" applyBorder="1"/>
    <xf numFmtId="43" fontId="0" fillId="40" borderId="0" xfId="1" applyNumberFormat="1" applyFont="1" applyFill="1" applyBorder="1"/>
    <xf numFmtId="37" fontId="11" fillId="40" borderId="0" xfId="4" applyNumberFormat="1" applyFont="1" applyFill="1" applyBorder="1" applyAlignment="1" applyProtection="1">
      <alignment horizontal="right"/>
    </xf>
    <xf numFmtId="166" fontId="11" fillId="40" borderId="0" xfId="1" applyNumberFormat="1" applyFont="1" applyFill="1" applyBorder="1" applyAlignment="1">
      <alignment horizontal="left" indent="2"/>
    </xf>
    <xf numFmtId="166" fontId="0" fillId="40" borderId="0" xfId="1" applyNumberFormat="1" applyFont="1" applyFill="1" applyBorder="1"/>
    <xf numFmtId="166" fontId="0" fillId="40" borderId="0" xfId="1" applyNumberFormat="1" applyFont="1" applyFill="1" applyBorder="1" applyAlignment="1">
      <alignment horizontal="center" wrapText="1"/>
    </xf>
    <xf numFmtId="44" fontId="11" fillId="40" borderId="0" xfId="10" applyFont="1" applyFill="1" applyBorder="1"/>
    <xf numFmtId="0" fontId="0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</cellXfs>
  <cellStyles count="392">
    <cellStyle name="20% - Accent1 2" xfId="40"/>
    <cellStyle name="20% - Accent1 2 2" xfId="299"/>
    <cellStyle name="20% - Accent1 3" xfId="39"/>
    <cellStyle name="20% - Accent1 3 2" xfId="300"/>
    <cellStyle name="20% - Accent2 2" xfId="42"/>
    <cellStyle name="20% - Accent2 3" xfId="41"/>
    <cellStyle name="20% - Accent3 2" xfId="44"/>
    <cellStyle name="20% - Accent3 3" xfId="43"/>
    <cellStyle name="20% - Accent4 2" xfId="46"/>
    <cellStyle name="20% - Accent4 2 2" xfId="301"/>
    <cellStyle name="20% - Accent4 3" xfId="45"/>
    <cellStyle name="20% - Accent4 3 2" xfId="302"/>
    <cellStyle name="20% - Accent5 2" xfId="48"/>
    <cellStyle name="20% - Accent5 3" xfId="47"/>
    <cellStyle name="20% - Accent6 2" xfId="50"/>
    <cellStyle name="20% - Accent6 3" xfId="49"/>
    <cellStyle name="40% - Accent1 2" xfId="52"/>
    <cellStyle name="40% - Accent1 3" xfId="51"/>
    <cellStyle name="40% - Accent1 3 2" xfId="303"/>
    <cellStyle name="40% - Accent2 2" xfId="54"/>
    <cellStyle name="40% - Accent2 3" xfId="53"/>
    <cellStyle name="40% - Accent3 2" xfId="56"/>
    <cellStyle name="40% - Accent3 3" xfId="55"/>
    <cellStyle name="40% - Accent4 2" xfId="58"/>
    <cellStyle name="40% - Accent4 3" xfId="57"/>
    <cellStyle name="40% - Accent4 3 2" xfId="304"/>
    <cellStyle name="40% - Accent5 2" xfId="60"/>
    <cellStyle name="40% - Accent5 3" xfId="59"/>
    <cellStyle name="40% - Accent6 2" xfId="62"/>
    <cellStyle name="40% - Accent6 3" xfId="61"/>
    <cellStyle name="40% - Accent6 3 2" xfId="305"/>
    <cellStyle name="60% - Accent1 2" xfId="64"/>
    <cellStyle name="60% - Accent1 2 2" xfId="306"/>
    <cellStyle name="60% - Accent1 3" xfId="63"/>
    <cellStyle name="60% - Accent1 3 2" xfId="307"/>
    <cellStyle name="60% - Accent2 2" xfId="66"/>
    <cellStyle name="60% - Accent2 3" xfId="65"/>
    <cellStyle name="60% - Accent3 2" xfId="68"/>
    <cellStyle name="60% - Accent3 3" xfId="67"/>
    <cellStyle name="60% - Accent3 3 2" xfId="308"/>
    <cellStyle name="60% - Accent4 2" xfId="70"/>
    <cellStyle name="60% - Accent4 3" xfId="69"/>
    <cellStyle name="60% - Accent4 3 2" xfId="309"/>
    <cellStyle name="60% - Accent5 2" xfId="72"/>
    <cellStyle name="60% - Accent5 2 2" xfId="310"/>
    <cellStyle name="60% - Accent5 3" xfId="71"/>
    <cellStyle name="60% - Accent6 2" xfId="74"/>
    <cellStyle name="60% - Accent6 3" xfId="73"/>
    <cellStyle name="Accent1 2" xfId="76"/>
    <cellStyle name="Accent1 2 2" xfId="311"/>
    <cellStyle name="Accent1 3" xfId="75"/>
    <cellStyle name="Accent1 3 2" xfId="312"/>
    <cellStyle name="Accent2 2" xfId="78"/>
    <cellStyle name="Accent2 3" xfId="77"/>
    <cellStyle name="Accent3 2" xfId="80"/>
    <cellStyle name="Accent3 2 2" xfId="313"/>
    <cellStyle name="Accent3 3" xfId="79"/>
    <cellStyle name="Accent4 2" xfId="82"/>
    <cellStyle name="Accent4 3" xfId="81"/>
    <cellStyle name="Accent5 2" xfId="84"/>
    <cellStyle name="Accent5 3" xfId="83"/>
    <cellStyle name="Accent6 2" xfId="86"/>
    <cellStyle name="Accent6 2 2" xfId="314"/>
    <cellStyle name="Accent6 3" xfId="85"/>
    <cellStyle name="Accounting" xfId="87"/>
    <cellStyle name="Accounting 2" xfId="88"/>
    <cellStyle name="Accounting 3" xfId="89"/>
    <cellStyle name="Accounting_2011-11" xfId="90"/>
    <cellStyle name="Bad 2" xfId="92"/>
    <cellStyle name="Bad 3" xfId="91"/>
    <cellStyle name="Budget" xfId="93"/>
    <cellStyle name="Budget 2" xfId="94"/>
    <cellStyle name="Budget 3" xfId="95"/>
    <cellStyle name="Budget_2011-11" xfId="96"/>
    <cellStyle name="Calculation 2" xfId="98"/>
    <cellStyle name="Calculation 2 2" xfId="315"/>
    <cellStyle name="Calculation 3" xfId="97"/>
    <cellStyle name="Calculation 3 2" xfId="316"/>
    <cellStyle name="Check Cell 2" xfId="100"/>
    <cellStyle name="Check Cell 3" xfId="99"/>
    <cellStyle name="combo" xfId="101"/>
    <cellStyle name="Comma" xfId="1" builtinId="3"/>
    <cellStyle name="Comma 10" xfId="103"/>
    <cellStyle name="Comma 11" xfId="104"/>
    <cellStyle name="Comma 12" xfId="102"/>
    <cellStyle name="Comma 12 2" xfId="277"/>
    <cellStyle name="Comma 12 3" xfId="282"/>
    <cellStyle name="Comma 13" xfId="283"/>
    <cellStyle name="Comma 14" xfId="284"/>
    <cellStyle name="Comma 15" xfId="285"/>
    <cellStyle name="Comma 16" xfId="286"/>
    <cellStyle name="Comma 17" xfId="317"/>
    <cellStyle name="Comma 18" xfId="318"/>
    <cellStyle name="Comma 19" xfId="319"/>
    <cellStyle name="Comma 2" xfId="5"/>
    <cellStyle name="Comma 2 2" xfId="6"/>
    <cellStyle name="Comma 2 2 2" xfId="320"/>
    <cellStyle name="Comma 2 3" xfId="105"/>
    <cellStyle name="Comma 2 4" xfId="321"/>
    <cellStyle name="Comma 2 6" xfId="7"/>
    <cellStyle name="Comma 2 6 2" xfId="8"/>
    <cellStyle name="Comma 20" xfId="370"/>
    <cellStyle name="Comma 3" xfId="9"/>
    <cellStyle name="Comma 3 2" xfId="106"/>
    <cellStyle name="Comma 3 2 2" xfId="107"/>
    <cellStyle name="Comma 3 3" xfId="287"/>
    <cellStyle name="Comma 3 4" xfId="322"/>
    <cellStyle name="Comma 4" xfId="108"/>
    <cellStyle name="Comma 4 2" xfId="109"/>
    <cellStyle name="Comma 4 2 2" xfId="288"/>
    <cellStyle name="Comma 4 3" xfId="110"/>
    <cellStyle name="Comma 4 3 2" xfId="289"/>
    <cellStyle name="Comma 4 4" xfId="290"/>
    <cellStyle name="Comma 4 5" xfId="111"/>
    <cellStyle name="Comma 4 6" xfId="280"/>
    <cellStyle name="Comma 5" xfId="112"/>
    <cellStyle name="Comma 6" xfId="113"/>
    <cellStyle name="Comma 6 2" xfId="323"/>
    <cellStyle name="Comma 7" xfId="114"/>
    <cellStyle name="Comma 8" xfId="115"/>
    <cellStyle name="Comma 9" xfId="116"/>
    <cellStyle name="Comma(2)" xfId="117"/>
    <cellStyle name="Comma0 - Style2" xfId="118"/>
    <cellStyle name="Comma1 - Style1" xfId="119"/>
    <cellStyle name="Comments" xfId="120"/>
    <cellStyle name="Currency" xfId="2" builtinId="4"/>
    <cellStyle name="Currency 10" xfId="324"/>
    <cellStyle name="Currency 11" xfId="371"/>
    <cellStyle name="Currency 2" xfId="10"/>
    <cellStyle name="Currency 2 2" xfId="11"/>
    <cellStyle name="Currency 2 2 2" xfId="123"/>
    <cellStyle name="Currency 2 3" xfId="122"/>
    <cellStyle name="Currency 2 3 2" xfId="325"/>
    <cellStyle name="Currency 2 6" xfId="12"/>
    <cellStyle name="Currency 2 6 2" xfId="13"/>
    <cellStyle name="Currency 3" xfId="14"/>
    <cellStyle name="Currency 3 2" xfId="125"/>
    <cellStyle name="Currency 3 3" xfId="124"/>
    <cellStyle name="Currency 3 4" xfId="291"/>
    <cellStyle name="Currency 4" xfId="15"/>
    <cellStyle name="Currency 4 2" xfId="16"/>
    <cellStyle name="Currency 5" xfId="121"/>
    <cellStyle name="Currency 5 2" xfId="276"/>
    <cellStyle name="Currency 5 3" xfId="292"/>
    <cellStyle name="Currency 6" xfId="293"/>
    <cellStyle name="Currency 7" xfId="294"/>
    <cellStyle name="Currency 8" xfId="326"/>
    <cellStyle name="Currency 9" xfId="327"/>
    <cellStyle name="Data Enter" xfId="126"/>
    <cellStyle name="date" xfId="328"/>
    <cellStyle name="Explanatory Text 2" xfId="128"/>
    <cellStyle name="Explanatory Text 3" xfId="127"/>
    <cellStyle name="FactSheet" xfId="129"/>
    <cellStyle name="fish" xfId="329"/>
    <cellStyle name="Good 2" xfId="131"/>
    <cellStyle name="Good 3" xfId="130"/>
    <cellStyle name="Heading 1 2" xfId="133"/>
    <cellStyle name="Heading 1 2 2" xfId="330"/>
    <cellStyle name="Heading 1 3" xfId="132"/>
    <cellStyle name="Heading 1 3 2" xfId="331"/>
    <cellStyle name="Heading 2 2" xfId="135"/>
    <cellStyle name="Heading 2 2 2" xfId="332"/>
    <cellStyle name="Heading 2 3" xfId="134"/>
    <cellStyle name="Heading 2 3 2" xfId="333"/>
    <cellStyle name="Heading 3 2" xfId="137"/>
    <cellStyle name="Heading 3 2 2" xfId="334"/>
    <cellStyle name="Heading 3 3" xfId="136"/>
    <cellStyle name="Heading 3 3 2" xfId="335"/>
    <cellStyle name="Heading 4 2" xfId="139"/>
    <cellStyle name="Heading 4 3" xfId="138"/>
    <cellStyle name="Hyperlink 2" xfId="140"/>
    <cellStyle name="Hyperlink 3" xfId="141"/>
    <cellStyle name="Hyperlink 3 2" xfId="295"/>
    <cellStyle name="Input 2" xfId="143"/>
    <cellStyle name="Input 3" xfId="142"/>
    <cellStyle name="input(0)" xfId="144"/>
    <cellStyle name="Input(2)" xfId="145"/>
    <cellStyle name="Linked Cell 2" xfId="147"/>
    <cellStyle name="Linked Cell 2 2" xfId="336"/>
    <cellStyle name="Linked Cell 3" xfId="146"/>
    <cellStyle name="Neutral 2" xfId="149"/>
    <cellStyle name="Neutral 2 2" xfId="337"/>
    <cellStyle name="Neutral 3" xfId="148"/>
    <cellStyle name="New_normal" xfId="150"/>
    <cellStyle name="Normal" xfId="0" builtinId="0"/>
    <cellStyle name="Normal - Style1" xfId="151"/>
    <cellStyle name="Normal - Style2" xfId="152"/>
    <cellStyle name="Normal - Style3" xfId="153"/>
    <cellStyle name="Normal - Style4" xfId="154"/>
    <cellStyle name="Normal - Style5" xfId="155"/>
    <cellStyle name="Normal 10" xfId="156"/>
    <cellStyle name="Normal 10 2" xfId="17"/>
    <cellStyle name="Normal 10 2 2" xfId="339"/>
    <cellStyle name="Normal 10 2 3" xfId="338"/>
    <cellStyle name="Normal 10_2112 DF Schedule" xfId="340"/>
    <cellStyle name="Normal 100" xfId="380"/>
    <cellStyle name="Normal 101" xfId="382"/>
    <cellStyle name="Normal 102" xfId="383"/>
    <cellStyle name="Normal 103" xfId="384"/>
    <cellStyle name="Normal 104" xfId="385"/>
    <cellStyle name="Normal 105" xfId="381"/>
    <cellStyle name="Normal 106" xfId="386"/>
    <cellStyle name="Normal 107" xfId="387"/>
    <cellStyle name="Normal 108" xfId="388"/>
    <cellStyle name="Normal 11" xfId="157"/>
    <cellStyle name="Normal 12" xfId="158"/>
    <cellStyle name="Normal 12 2" xfId="341"/>
    <cellStyle name="Normal 13" xfId="159"/>
    <cellStyle name="Normal 13 2" xfId="342"/>
    <cellStyle name="Normal 14" xfId="160"/>
    <cellStyle name="Normal 14 2" xfId="343"/>
    <cellStyle name="Normal 15" xfId="161"/>
    <cellStyle name="Normal 15 2" xfId="344"/>
    <cellStyle name="Normal 16" xfId="162"/>
    <cellStyle name="Normal 16 2" xfId="345"/>
    <cellStyle name="Normal 17" xfId="163"/>
    <cellStyle name="Normal 17 2" xfId="346"/>
    <cellStyle name="Normal 18" xfId="164"/>
    <cellStyle name="Normal 18 2" xfId="347"/>
    <cellStyle name="Normal 19" xfId="165"/>
    <cellStyle name="Normal 19 2" xfId="348"/>
    <cellStyle name="Normal 2" xfId="18"/>
    <cellStyle name="Normal 2 2" xfId="19"/>
    <cellStyle name="Normal 2 2 2" xfId="167"/>
    <cellStyle name="Normal 2 2 3" xfId="166"/>
    <cellStyle name="Normal 2 2_Actual_Fuel" xfId="168"/>
    <cellStyle name="Normal 2 3" xfId="169"/>
    <cellStyle name="Normal 2 3 2" xfId="170"/>
    <cellStyle name="Normal 2 3 3" xfId="296"/>
    <cellStyle name="Normal 2 4" xfId="297"/>
    <cellStyle name="Normal 2 5" xfId="298"/>
    <cellStyle name="Normal 2_2012-10" xfId="171"/>
    <cellStyle name="Normal 20" xfId="172"/>
    <cellStyle name="Normal 21" xfId="173"/>
    <cellStyle name="Normal 22" xfId="174"/>
    <cellStyle name="Normal 23" xfId="175"/>
    <cellStyle name="Normal 24" xfId="176"/>
    <cellStyle name="Normal 25" xfId="177"/>
    <cellStyle name="Normal 26" xfId="178"/>
    <cellStyle name="Normal 27" xfId="179"/>
    <cellStyle name="Normal 28" xfId="180"/>
    <cellStyle name="Normal 29" xfId="181"/>
    <cellStyle name="Normal 3" xfId="20"/>
    <cellStyle name="Normal 3 2" xfId="183"/>
    <cellStyle name="Normal 3 3" xfId="182"/>
    <cellStyle name="Normal 3 4" xfId="281"/>
    <cellStyle name="Normal 3_2012 PR" xfId="184"/>
    <cellStyle name="Normal 30" xfId="185"/>
    <cellStyle name="Normal 31" xfId="186"/>
    <cellStyle name="Normal 32" xfId="187"/>
    <cellStyle name="Normal 33" xfId="188"/>
    <cellStyle name="Normal 34" xfId="189"/>
    <cellStyle name="Normal 35" xfId="190"/>
    <cellStyle name="Normal 36" xfId="191"/>
    <cellStyle name="Normal 37" xfId="192"/>
    <cellStyle name="Normal 38" xfId="193"/>
    <cellStyle name="Normal 39" xfId="194"/>
    <cellStyle name="Normal 4" xfId="21"/>
    <cellStyle name="Normal 4 2" xfId="195"/>
    <cellStyle name="Normal 40" xfId="196"/>
    <cellStyle name="Normal 41" xfId="197"/>
    <cellStyle name="Normal 42" xfId="198"/>
    <cellStyle name="Normal 43" xfId="199"/>
    <cellStyle name="Normal 44" xfId="200"/>
    <cellStyle name="Normal 45" xfId="201"/>
    <cellStyle name="Normal 46" xfId="202"/>
    <cellStyle name="Normal 47" xfId="203"/>
    <cellStyle name="Normal 48" xfId="204"/>
    <cellStyle name="Normal 49" xfId="205"/>
    <cellStyle name="Normal 5" xfId="22"/>
    <cellStyle name="Normal 5 2" xfId="206"/>
    <cellStyle name="Normal 5_2112 DF Schedule" xfId="349"/>
    <cellStyle name="Normal 50" xfId="207"/>
    <cellStyle name="Normal 51" xfId="208"/>
    <cellStyle name="Normal 52" xfId="209"/>
    <cellStyle name="Normal 53" xfId="210"/>
    <cellStyle name="Normal 54" xfId="211"/>
    <cellStyle name="Normal 55" xfId="212"/>
    <cellStyle name="Normal 56" xfId="213"/>
    <cellStyle name="Normal 57" xfId="214"/>
    <cellStyle name="Normal 58" xfId="215"/>
    <cellStyle name="Normal 59" xfId="216"/>
    <cellStyle name="Normal 6" xfId="23"/>
    <cellStyle name="Normal 6 2" xfId="217"/>
    <cellStyle name="Normal 60" xfId="218"/>
    <cellStyle name="Normal 61" xfId="219"/>
    <cellStyle name="Normal 62" xfId="220"/>
    <cellStyle name="Normal 63" xfId="221"/>
    <cellStyle name="Normal 64" xfId="222"/>
    <cellStyle name="Normal 65" xfId="223"/>
    <cellStyle name="Normal 66" xfId="224"/>
    <cellStyle name="Normal 67" xfId="225"/>
    <cellStyle name="Normal 68" xfId="226"/>
    <cellStyle name="Normal 69" xfId="227"/>
    <cellStyle name="Normal 7" xfId="228"/>
    <cellStyle name="Normal 70" xfId="229"/>
    <cellStyle name="Normal 71" xfId="230"/>
    <cellStyle name="Normal 72" xfId="231"/>
    <cellStyle name="Normal 73" xfId="232"/>
    <cellStyle name="Normal 74" xfId="233"/>
    <cellStyle name="Normal 75" xfId="234"/>
    <cellStyle name="Normal 76" xfId="235"/>
    <cellStyle name="Normal 77" xfId="236"/>
    <cellStyle name="Normal 78" xfId="237"/>
    <cellStyle name="Normal 79" xfId="238"/>
    <cellStyle name="Normal 8" xfId="239"/>
    <cellStyle name="Normal 80" xfId="240"/>
    <cellStyle name="Normal 81" xfId="241"/>
    <cellStyle name="Normal 82" xfId="242"/>
    <cellStyle name="Normal 83" xfId="243"/>
    <cellStyle name="Normal 84" xfId="38"/>
    <cellStyle name="Normal 84 2" xfId="278"/>
    <cellStyle name="Normal 84 3" xfId="350"/>
    <cellStyle name="Normal 85" xfId="252"/>
    <cellStyle name="Normal 86" xfId="270"/>
    <cellStyle name="Normal 87" xfId="271"/>
    <cellStyle name="Normal 88" xfId="272"/>
    <cellStyle name="Normal 89" xfId="273"/>
    <cellStyle name="Normal 9" xfId="244"/>
    <cellStyle name="Normal 90" xfId="274"/>
    <cellStyle name="Normal 91" xfId="279"/>
    <cellStyle name="Normal 92" xfId="369"/>
    <cellStyle name="Normal 93" xfId="373"/>
    <cellStyle name="Normal 94" xfId="374"/>
    <cellStyle name="Normal 95" xfId="375"/>
    <cellStyle name="Normal 96" xfId="376"/>
    <cellStyle name="Normal 97" xfId="377"/>
    <cellStyle name="Normal 98" xfId="378"/>
    <cellStyle name="Normal 99" xfId="379"/>
    <cellStyle name="Normal_Book3" xfId="389"/>
    <cellStyle name="Normal_CostStudyTCII" xfId="391"/>
    <cellStyle name="Normal_Price out" xfId="4"/>
    <cellStyle name="Normal_Sheet1" xfId="390"/>
    <cellStyle name="Note 2" xfId="246"/>
    <cellStyle name="Note 2 2" xfId="351"/>
    <cellStyle name="Note 3" xfId="245"/>
    <cellStyle name="Note 3 2" xfId="352"/>
    <cellStyle name="Notes" xfId="247"/>
    <cellStyle name="Output 2" xfId="249"/>
    <cellStyle name="Output 3" xfId="248"/>
    <cellStyle name="Percent" xfId="3" builtinId="5"/>
    <cellStyle name="Percent 2" xfId="24"/>
    <cellStyle name="Percent 2 2" xfId="25"/>
    <cellStyle name="Percent 2 2 2" xfId="251"/>
    <cellStyle name="Percent 2 3" xfId="353"/>
    <cellStyle name="Percent 2 6" xfId="26"/>
    <cellStyle name="Percent 3" xfId="27"/>
    <cellStyle name="Percent 3 2" xfId="28"/>
    <cellStyle name="Percent 4" xfId="29"/>
    <cellStyle name="Percent 4 2" xfId="355"/>
    <cellStyle name="Percent 4 3" xfId="354"/>
    <cellStyle name="Percent 5" xfId="253"/>
    <cellStyle name="Percent 6" xfId="254"/>
    <cellStyle name="Percent 7" xfId="250"/>
    <cellStyle name="Percent 7 2" xfId="275"/>
    <cellStyle name="Percent 7 3" xfId="356"/>
    <cellStyle name="Percent 8" xfId="357"/>
    <cellStyle name="Percent 9" xfId="372"/>
    <cellStyle name="Percent(1)" xfId="255"/>
    <cellStyle name="Percent(2)" xfId="256"/>
    <cellStyle name="PRM" xfId="257"/>
    <cellStyle name="PRM 2" xfId="258"/>
    <cellStyle name="PRM 3" xfId="259"/>
    <cellStyle name="PRM_2011-11" xfId="260"/>
    <cellStyle name="PS_Comma" xfId="30"/>
    <cellStyle name="PSChar" xfId="31"/>
    <cellStyle name="PSDate" xfId="32"/>
    <cellStyle name="PSDec" xfId="33"/>
    <cellStyle name="PSHeading" xfId="34"/>
    <cellStyle name="PSInt" xfId="35"/>
    <cellStyle name="PSSpacer" xfId="36"/>
    <cellStyle name="STYL0 - Style1" xfId="358"/>
    <cellStyle name="STYL1 - Style2" xfId="359"/>
    <cellStyle name="STYL2 - Style3" xfId="360"/>
    <cellStyle name="STYL3 - Style4" xfId="361"/>
    <cellStyle name="STYL4 - Style5" xfId="362"/>
    <cellStyle name="STYL5 - Style6" xfId="363"/>
    <cellStyle name="STYL6 - Style7" xfId="364"/>
    <cellStyle name="STYL7 - Style8" xfId="365"/>
    <cellStyle name="Style 1" xfId="261"/>
    <cellStyle name="Style 1 2" xfId="262"/>
    <cellStyle name="STYLE1" xfId="263"/>
    <cellStyle name="sub heading" xfId="366"/>
    <cellStyle name="Title 2" xfId="265"/>
    <cellStyle name="Title 3" xfId="264"/>
    <cellStyle name="Total 2" xfId="267"/>
    <cellStyle name="Total 2 2" xfId="367"/>
    <cellStyle name="Total 3" xfId="266"/>
    <cellStyle name="Total 3 2" xfId="368"/>
    <cellStyle name="Warning Text 2" xfId="269"/>
    <cellStyle name="Warning Text 3" xfId="268"/>
    <cellStyle name="WM_STANDARD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amedi\AppData\Local\Microsoft\Windows\Temporary%20Internet%20Files\Content.Outlook\QUL3GDTI\Company%20Filed\TG-161217%20-%20FEI_R_KMD%20-%20KMD%20COS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Disposal"/>
      <sheetName val="Yardwaste Analysis"/>
      <sheetName val="Roll Off Average Cost"/>
    </sheetNames>
    <sheetDataSet>
      <sheetData sheetId="0"/>
      <sheetData sheetId="1">
        <row r="58">
          <cell r="R58">
            <v>3785.5674491783266</v>
          </cell>
        </row>
        <row r="63">
          <cell r="R63">
            <v>16888.814150156399</v>
          </cell>
        </row>
        <row r="69">
          <cell r="R69">
            <v>3061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zoomScaleNormal="100" workbookViewId="0">
      <selection activeCell="C57" sqref="C57"/>
    </sheetView>
  </sheetViews>
  <sheetFormatPr defaultColWidth="9.140625" defaultRowHeight="15"/>
  <cols>
    <col min="1" max="1" width="36.28515625" style="3" bestFit="1" customWidth="1"/>
    <col min="2" max="2" width="22.140625" style="3" bestFit="1" customWidth="1"/>
    <col min="3" max="3" width="19.5703125" style="3" customWidth="1"/>
    <col min="4" max="4" width="10.5703125" style="3" bestFit="1" customWidth="1"/>
    <col min="5" max="5" width="8.85546875" style="3" customWidth="1"/>
    <col min="6" max="6" width="11.42578125" style="3" bestFit="1" customWidth="1"/>
    <col min="7" max="7" width="10" style="3" bestFit="1" customWidth="1"/>
    <col min="8" max="8" width="8" style="3" bestFit="1" customWidth="1"/>
    <col min="9" max="9" width="15.85546875" style="3" bestFit="1" customWidth="1"/>
    <col min="10" max="10" width="12" style="3" bestFit="1" customWidth="1"/>
    <col min="11" max="16384" width="9.140625" style="3"/>
  </cols>
  <sheetData>
    <row r="1" spans="1:8">
      <c r="A1" s="329" t="s">
        <v>19</v>
      </c>
      <c r="B1" s="329"/>
      <c r="C1" s="329"/>
      <c r="D1" s="329"/>
      <c r="E1" s="329"/>
      <c r="F1" s="329"/>
      <c r="G1" s="329"/>
      <c r="H1" s="329"/>
    </row>
    <row r="2" spans="1:8">
      <c r="A2" s="3" t="s">
        <v>64</v>
      </c>
      <c r="B2" s="17" t="s">
        <v>50</v>
      </c>
      <c r="C2" s="17" t="s">
        <v>51</v>
      </c>
      <c r="D2" s="17" t="s">
        <v>52</v>
      </c>
      <c r="E2" s="18" t="s">
        <v>55</v>
      </c>
      <c r="F2" s="18" t="s">
        <v>56</v>
      </c>
      <c r="G2" s="18" t="s">
        <v>57</v>
      </c>
      <c r="H2" s="17" t="s">
        <v>60</v>
      </c>
    </row>
    <row r="3" spans="1:8">
      <c r="A3" s="3" t="s">
        <v>61</v>
      </c>
      <c r="B3" s="1">
        <f>52*5/12</f>
        <v>21.666666666666668</v>
      </c>
      <c r="C3" s="19">
        <f>$B$3*2</f>
        <v>43.333333333333336</v>
      </c>
      <c r="D3" s="19">
        <f>$B$3*3</f>
        <v>65</v>
      </c>
      <c r="E3" s="19">
        <f>$B$3*4</f>
        <v>86.666666666666671</v>
      </c>
      <c r="F3" s="19">
        <f>$B$3*5</f>
        <v>108.33333333333334</v>
      </c>
      <c r="G3" s="19">
        <f>$B$3*6</f>
        <v>130</v>
      </c>
      <c r="H3" s="19">
        <f>$B$3*7</f>
        <v>151.66666666666669</v>
      </c>
    </row>
    <row r="4" spans="1:8">
      <c r="A4" s="3" t="s">
        <v>97</v>
      </c>
      <c r="B4" s="1">
        <f>52*4/12</f>
        <v>17.333333333333332</v>
      </c>
      <c r="C4" s="19">
        <f>$B$4*2</f>
        <v>34.666666666666664</v>
      </c>
      <c r="D4" s="19">
        <f>$B$4*3</f>
        <v>52</v>
      </c>
      <c r="E4" s="19">
        <f>$B$4*4</f>
        <v>69.333333333333329</v>
      </c>
      <c r="F4" s="19">
        <f>$B$4*5</f>
        <v>86.666666666666657</v>
      </c>
      <c r="G4" s="19">
        <f>$B$4*6</f>
        <v>104</v>
      </c>
      <c r="H4" s="19">
        <f>$B$4*7</f>
        <v>121.33333333333333</v>
      </c>
    </row>
    <row r="5" spans="1:8">
      <c r="A5" s="3" t="s">
        <v>62</v>
      </c>
      <c r="B5" s="1">
        <f>52*3/12</f>
        <v>13</v>
      </c>
      <c r="C5" s="19">
        <f>$B$5*2</f>
        <v>26</v>
      </c>
      <c r="D5" s="19">
        <f>$B$5*3</f>
        <v>39</v>
      </c>
      <c r="E5" s="19">
        <f>$B$5*4</f>
        <v>52</v>
      </c>
      <c r="F5" s="19">
        <f>$B$5*5</f>
        <v>65</v>
      </c>
      <c r="G5" s="19">
        <f>$B$5*6</f>
        <v>78</v>
      </c>
      <c r="H5" s="19">
        <f>$B$5*7</f>
        <v>91</v>
      </c>
    </row>
    <row r="6" spans="1:8">
      <c r="A6" s="3" t="s">
        <v>63</v>
      </c>
      <c r="B6" s="1">
        <f>52*2/12</f>
        <v>8.6666666666666661</v>
      </c>
      <c r="C6" s="20">
        <f>$B$6*2</f>
        <v>17.333333333333332</v>
      </c>
      <c r="D6" s="20">
        <f>$B$6*3</f>
        <v>26</v>
      </c>
      <c r="E6" s="20">
        <f>$B$6*4</f>
        <v>34.666666666666664</v>
      </c>
      <c r="F6" s="20">
        <f>$B$6*5</f>
        <v>43.333333333333329</v>
      </c>
      <c r="G6" s="20">
        <f>$B$6*6</f>
        <v>52</v>
      </c>
      <c r="H6" s="20">
        <f>$B$6*7</f>
        <v>60.666666666666664</v>
      </c>
    </row>
    <row r="7" spans="1:8">
      <c r="A7" s="3" t="s">
        <v>22</v>
      </c>
      <c r="B7" s="1">
        <f>52/12</f>
        <v>4.333333333333333</v>
      </c>
      <c r="C7" s="20">
        <f>$B$7*2</f>
        <v>8.6666666666666661</v>
      </c>
      <c r="D7" s="20">
        <f>$B$7*3</f>
        <v>13</v>
      </c>
      <c r="E7" s="20">
        <f>$B$7*4</f>
        <v>17.333333333333332</v>
      </c>
      <c r="F7" s="20">
        <f>$B$7*5</f>
        <v>21.666666666666664</v>
      </c>
      <c r="G7" s="20">
        <f>$B$7*6</f>
        <v>26</v>
      </c>
      <c r="H7" s="20">
        <f>$B$7*7</f>
        <v>30.333333333333332</v>
      </c>
    </row>
    <row r="8" spans="1:8">
      <c r="A8" s="3" t="s">
        <v>24</v>
      </c>
      <c r="B8" s="1">
        <f>26/12</f>
        <v>2.1666666666666665</v>
      </c>
      <c r="C8" s="20">
        <f>$B$8*2</f>
        <v>4.333333333333333</v>
      </c>
      <c r="D8" s="20">
        <f>$B$8*3</f>
        <v>6.5</v>
      </c>
      <c r="E8" s="20">
        <f>$B$8*4</f>
        <v>8.6666666666666661</v>
      </c>
      <c r="F8" s="20">
        <f>$B$8*5</f>
        <v>10.833333333333332</v>
      </c>
      <c r="G8" s="20">
        <f>$B$8*6</f>
        <v>13</v>
      </c>
      <c r="H8" s="20">
        <f>$B$8*7</f>
        <v>15.166666666666666</v>
      </c>
    </row>
    <row r="9" spans="1:8">
      <c r="A9" s="3" t="s">
        <v>23</v>
      </c>
      <c r="B9" s="1">
        <f>12/12</f>
        <v>1</v>
      </c>
      <c r="C9" s="20">
        <f>$B$9*2</f>
        <v>2</v>
      </c>
      <c r="D9" s="20">
        <f>$B$9*3</f>
        <v>3</v>
      </c>
      <c r="E9" s="20">
        <f>$B$9*4</f>
        <v>4</v>
      </c>
      <c r="F9" s="20">
        <f>$B$9*5</f>
        <v>5</v>
      </c>
      <c r="G9" s="20">
        <f>$B$9*6</f>
        <v>6</v>
      </c>
      <c r="H9" s="20">
        <f>$B$9*7</f>
        <v>7</v>
      </c>
    </row>
    <row r="10" spans="1:8">
      <c r="B10" s="1"/>
      <c r="C10" s="20"/>
      <c r="D10" s="20"/>
      <c r="E10" s="20"/>
      <c r="F10" s="20"/>
      <c r="G10" s="20"/>
      <c r="H10" s="20"/>
    </row>
    <row r="11" spans="1:8">
      <c r="A11" s="329" t="s">
        <v>11</v>
      </c>
      <c r="B11" s="329"/>
      <c r="C11" s="34"/>
      <c r="D11" s="20"/>
      <c r="E11" s="20"/>
      <c r="F11" s="20"/>
      <c r="G11" s="20"/>
      <c r="H11" s="20"/>
    </row>
    <row r="12" spans="1:8">
      <c r="A12" s="32" t="s">
        <v>59</v>
      </c>
      <c r="B12" s="36" t="s">
        <v>89</v>
      </c>
      <c r="C12" s="34"/>
      <c r="D12" s="20"/>
      <c r="E12" s="20"/>
      <c r="F12" s="20"/>
      <c r="G12" s="20"/>
      <c r="H12" s="20"/>
    </row>
    <row r="13" spans="1:8">
      <c r="A13" s="35" t="s">
        <v>90</v>
      </c>
      <c r="B13" s="33">
        <v>20</v>
      </c>
      <c r="C13" s="34"/>
      <c r="D13" s="20"/>
      <c r="E13" s="20"/>
      <c r="F13" s="20"/>
      <c r="G13" s="20"/>
      <c r="H13" s="20"/>
    </row>
    <row r="14" spans="1:8">
      <c r="A14" s="35" t="s">
        <v>65</v>
      </c>
      <c r="B14" s="33">
        <v>34</v>
      </c>
      <c r="C14" s="34"/>
      <c r="D14" s="20"/>
      <c r="E14" s="20"/>
      <c r="F14" s="20"/>
      <c r="G14" s="20"/>
      <c r="H14" s="20"/>
    </row>
    <row r="15" spans="1:8">
      <c r="A15" s="35" t="s">
        <v>66</v>
      </c>
      <c r="B15" s="33">
        <v>51</v>
      </c>
      <c r="C15" s="34"/>
      <c r="D15" s="20"/>
      <c r="E15" s="20"/>
      <c r="F15" s="20"/>
      <c r="G15" s="20"/>
      <c r="H15" s="20"/>
    </row>
    <row r="16" spans="1:8">
      <c r="A16" s="35" t="s">
        <v>67</v>
      </c>
      <c r="B16" s="33">
        <v>77</v>
      </c>
      <c r="C16" s="34"/>
      <c r="D16" s="20"/>
      <c r="E16" s="20"/>
      <c r="F16" s="3" t="s">
        <v>20</v>
      </c>
      <c r="G16" s="13">
        <v>2000</v>
      </c>
      <c r="H16" s="20"/>
    </row>
    <row r="17" spans="1:8">
      <c r="A17" s="35" t="s">
        <v>68</v>
      </c>
      <c r="B17" s="33">
        <v>97</v>
      </c>
      <c r="C17" s="34"/>
      <c r="D17" s="20"/>
      <c r="E17" s="20"/>
      <c r="F17" s="3" t="s">
        <v>21</v>
      </c>
      <c r="G17" s="22" t="s">
        <v>53</v>
      </c>
      <c r="H17" s="20"/>
    </row>
    <row r="18" spans="1:8">
      <c r="A18" s="35" t="s">
        <v>69</v>
      </c>
      <c r="B18" s="33">
        <v>117</v>
      </c>
      <c r="C18" s="34"/>
      <c r="D18" s="20"/>
      <c r="E18" s="20"/>
      <c r="H18" s="20"/>
    </row>
    <row r="19" spans="1:8">
      <c r="A19" s="35" t="s">
        <v>70</v>
      </c>
      <c r="B19" s="33">
        <v>157</v>
      </c>
      <c r="C19" s="34"/>
      <c r="D19" s="20"/>
      <c r="E19" s="20"/>
      <c r="F19" s="15"/>
      <c r="G19" s="16"/>
      <c r="H19" s="20"/>
    </row>
    <row r="20" spans="1:8" s="30" customFormat="1">
      <c r="A20" s="54" t="s">
        <v>101</v>
      </c>
      <c r="B20" s="45">
        <v>37</v>
      </c>
      <c r="C20" s="53" t="s">
        <v>91</v>
      </c>
      <c r="D20" s="34"/>
      <c r="E20" s="34"/>
      <c r="F20" s="15"/>
      <c r="G20" s="16"/>
      <c r="H20" s="34"/>
    </row>
    <row r="21" spans="1:8">
      <c r="A21" s="35" t="s">
        <v>71</v>
      </c>
      <c r="B21" s="33">
        <v>47</v>
      </c>
      <c r="C21" s="34"/>
      <c r="D21" s="20"/>
      <c r="E21" s="20"/>
      <c r="F21" s="20"/>
      <c r="G21" s="20"/>
      <c r="H21" s="20"/>
    </row>
    <row r="22" spans="1:8">
      <c r="A22" s="35" t="s">
        <v>72</v>
      </c>
      <c r="B22" s="33">
        <v>68</v>
      </c>
      <c r="C22" s="34"/>
      <c r="D22" s="20"/>
      <c r="E22" s="20"/>
      <c r="F22" s="20"/>
      <c r="G22" s="20"/>
      <c r="H22" s="20"/>
    </row>
    <row r="23" spans="1:8">
      <c r="A23" s="35" t="s">
        <v>73</v>
      </c>
      <c r="B23" s="33">
        <v>34</v>
      </c>
      <c r="C23" s="34"/>
      <c r="D23" s="20"/>
      <c r="E23" s="20"/>
      <c r="F23" s="20"/>
      <c r="G23" s="20"/>
      <c r="H23" s="20"/>
    </row>
    <row r="24" spans="1:8">
      <c r="A24" s="35" t="s">
        <v>32</v>
      </c>
      <c r="B24" s="33">
        <v>34</v>
      </c>
      <c r="C24" s="34"/>
      <c r="D24" s="20"/>
      <c r="E24" s="20"/>
      <c r="F24" s="20"/>
      <c r="G24" s="20"/>
      <c r="H24" s="20"/>
    </row>
    <row r="25" spans="1:8">
      <c r="A25" s="32" t="s">
        <v>74</v>
      </c>
      <c r="B25" s="33"/>
      <c r="C25" s="34"/>
      <c r="D25" s="20"/>
      <c r="E25" s="20"/>
      <c r="F25" s="20"/>
      <c r="G25" s="20"/>
      <c r="H25" s="20"/>
    </row>
    <row r="26" spans="1:8">
      <c r="A26" s="35" t="s">
        <v>75</v>
      </c>
      <c r="B26" s="33">
        <v>29</v>
      </c>
      <c r="C26" s="34"/>
      <c r="D26" s="20"/>
      <c r="E26" s="20"/>
      <c r="F26" s="20"/>
      <c r="G26" s="20"/>
      <c r="H26" s="20"/>
    </row>
    <row r="27" spans="1:8">
      <c r="A27" s="35" t="s">
        <v>76</v>
      </c>
      <c r="B27" s="33">
        <v>175</v>
      </c>
      <c r="C27" s="34"/>
      <c r="D27" s="20"/>
      <c r="E27" s="20"/>
      <c r="F27" s="20"/>
      <c r="G27" s="20"/>
      <c r="H27" s="20"/>
    </row>
    <row r="28" spans="1:8">
      <c r="A28" s="35" t="s">
        <v>77</v>
      </c>
      <c r="B28" s="33">
        <v>250</v>
      </c>
      <c r="C28" s="34"/>
      <c r="D28" s="20"/>
      <c r="E28" s="20"/>
      <c r="F28" s="20"/>
      <c r="G28" s="20"/>
      <c r="H28" s="20"/>
    </row>
    <row r="29" spans="1:8">
      <c r="A29" s="35" t="s">
        <v>78</v>
      </c>
      <c r="B29" s="33">
        <v>324</v>
      </c>
      <c r="C29" s="34"/>
      <c r="D29" s="20"/>
      <c r="E29" s="20"/>
      <c r="F29" s="20"/>
      <c r="G29" s="20"/>
      <c r="H29" s="20"/>
    </row>
    <row r="30" spans="1:8">
      <c r="A30" s="35" t="s">
        <v>79</v>
      </c>
      <c r="B30" s="33">
        <v>473</v>
      </c>
      <c r="C30" s="34"/>
      <c r="D30" s="20"/>
      <c r="E30" s="20"/>
      <c r="F30" s="20"/>
      <c r="G30" s="20"/>
      <c r="H30" s="20"/>
    </row>
    <row r="31" spans="1:8">
      <c r="A31" s="35" t="s">
        <v>80</v>
      </c>
      <c r="B31" s="33">
        <v>613</v>
      </c>
      <c r="C31" s="34"/>
      <c r="D31" s="20"/>
      <c r="E31" s="20"/>
      <c r="F31" s="20"/>
      <c r="G31" s="20"/>
      <c r="H31" s="20"/>
    </row>
    <row r="32" spans="1:8">
      <c r="A32" s="35" t="s">
        <v>81</v>
      </c>
      <c r="B32" s="33">
        <v>840</v>
      </c>
      <c r="C32" s="34"/>
      <c r="D32" s="20"/>
      <c r="E32" s="20"/>
      <c r="F32" s="20"/>
      <c r="G32" s="20"/>
      <c r="H32" s="20"/>
    </row>
    <row r="33" spans="1:8">
      <c r="A33" s="35" t="s">
        <v>82</v>
      </c>
      <c r="B33" s="33">
        <v>980</v>
      </c>
      <c r="C33" s="34"/>
      <c r="D33" s="20"/>
      <c r="E33" s="20"/>
      <c r="F33" s="20"/>
      <c r="G33" s="20"/>
      <c r="H33" s="20"/>
    </row>
    <row r="34" spans="1:8">
      <c r="A34" s="35" t="s">
        <v>98</v>
      </c>
      <c r="B34" s="33">
        <v>482</v>
      </c>
      <c r="C34" s="34" t="s">
        <v>91</v>
      </c>
      <c r="D34" s="20"/>
      <c r="E34" s="20"/>
      <c r="F34" s="20"/>
      <c r="G34" s="20"/>
      <c r="H34" s="20"/>
    </row>
    <row r="35" spans="1:8">
      <c r="A35" s="35" t="s">
        <v>99</v>
      </c>
      <c r="B35" s="33">
        <v>689</v>
      </c>
      <c r="C35" s="34" t="s">
        <v>91</v>
      </c>
      <c r="D35" s="20"/>
      <c r="E35" s="20"/>
      <c r="F35" s="20"/>
      <c r="G35" s="20"/>
      <c r="H35" s="20"/>
    </row>
    <row r="36" spans="1:8" s="30" customFormat="1">
      <c r="A36" s="35" t="s">
        <v>84</v>
      </c>
      <c r="B36" s="33">
        <v>892</v>
      </c>
      <c r="C36" s="34" t="s">
        <v>91</v>
      </c>
      <c r="D36" s="31"/>
      <c r="E36" s="31"/>
      <c r="F36" s="31"/>
      <c r="G36" s="31"/>
      <c r="H36" s="31"/>
    </row>
    <row r="37" spans="1:8" s="30" customFormat="1">
      <c r="A37" s="35" t="s">
        <v>83</v>
      </c>
      <c r="B37" s="33">
        <v>1301</v>
      </c>
      <c r="C37" s="34"/>
      <c r="D37" s="31"/>
      <c r="E37" s="31"/>
      <c r="F37" s="31"/>
      <c r="G37" s="31"/>
      <c r="H37" s="31"/>
    </row>
    <row r="38" spans="1:8" s="30" customFormat="1">
      <c r="A38" s="35" t="s">
        <v>85</v>
      </c>
      <c r="B38" s="33">
        <v>1686</v>
      </c>
      <c r="C38" s="34"/>
      <c r="D38" s="31"/>
      <c r="E38" s="31"/>
      <c r="F38" s="31"/>
      <c r="G38" s="31"/>
      <c r="H38" s="31"/>
    </row>
    <row r="39" spans="1:8" s="30" customFormat="1">
      <c r="A39" s="35" t="s">
        <v>86</v>
      </c>
      <c r="B39" s="33">
        <v>2046</v>
      </c>
      <c r="C39" s="34"/>
      <c r="D39" s="31"/>
      <c r="E39" s="31"/>
      <c r="F39" s="31"/>
      <c r="G39" s="31"/>
      <c r="H39" s="31"/>
    </row>
    <row r="40" spans="1:8" s="30" customFormat="1">
      <c r="A40" s="35" t="s">
        <v>87</v>
      </c>
      <c r="B40" s="33">
        <v>2310</v>
      </c>
      <c r="C40" s="34"/>
      <c r="D40" s="31"/>
      <c r="E40" s="31"/>
      <c r="F40" s="31"/>
      <c r="G40" s="31"/>
      <c r="H40" s="31"/>
    </row>
    <row r="41" spans="1:8" s="30" customFormat="1">
      <c r="A41" s="35" t="s">
        <v>100</v>
      </c>
      <c r="B41" s="33">
        <v>2800</v>
      </c>
      <c r="C41" s="34" t="s">
        <v>91</v>
      </c>
      <c r="D41" s="31"/>
      <c r="E41" s="31"/>
      <c r="F41" s="31"/>
      <c r="G41" s="31"/>
      <c r="H41" s="31"/>
    </row>
    <row r="42" spans="1:8" s="30" customFormat="1">
      <c r="A42" s="35" t="s">
        <v>88</v>
      </c>
      <c r="B42" s="33">
        <v>125</v>
      </c>
      <c r="C42" s="34"/>
      <c r="D42" s="31"/>
      <c r="E42" s="31"/>
      <c r="F42" s="31"/>
      <c r="G42" s="31"/>
      <c r="H42" s="31"/>
    </row>
    <row r="43" spans="1:8">
      <c r="B43" s="131" t="s">
        <v>113</v>
      </c>
      <c r="C43" s="131"/>
      <c r="D43" s="131"/>
    </row>
    <row r="46" spans="1:8">
      <c r="A46" s="29" t="s">
        <v>142</v>
      </c>
      <c r="B46" s="27" t="s">
        <v>6</v>
      </c>
      <c r="C46" s="27" t="s">
        <v>7</v>
      </c>
      <c r="F46" s="330" t="s">
        <v>27</v>
      </c>
      <c r="G46" s="330"/>
    </row>
    <row r="47" spans="1:8">
      <c r="A47" s="23" t="s">
        <v>8</v>
      </c>
      <c r="B47" s="6">
        <v>120.17</v>
      </c>
      <c r="C47" s="5">
        <f>B47/2000</f>
        <v>6.0085E-2</v>
      </c>
      <c r="F47" s="3" t="s">
        <v>28</v>
      </c>
      <c r="G47" s="9">
        <f>0.015</f>
        <v>1.4999999999999999E-2</v>
      </c>
    </row>
    <row r="48" spans="1:8">
      <c r="A48" s="23" t="s">
        <v>9</v>
      </c>
      <c r="B48" s="7">
        <v>134.59</v>
      </c>
      <c r="C48" s="8">
        <f>B48/2000</f>
        <v>6.7295000000000008E-2</v>
      </c>
      <c r="F48" s="3" t="s">
        <v>29</v>
      </c>
      <c r="G48" s="10">
        <f>0.004275</f>
        <v>4.2750000000000002E-3</v>
      </c>
    </row>
    <row r="49" spans="1:7">
      <c r="A49" s="21" t="s">
        <v>10</v>
      </c>
      <c r="B49" s="6">
        <f>B48-B47</f>
        <v>14.420000000000002</v>
      </c>
      <c r="C49" s="12">
        <f>C48-C47</f>
        <v>7.2100000000000081E-3</v>
      </c>
      <c r="F49" s="3" t="s">
        <v>58</v>
      </c>
      <c r="G49" s="11">
        <v>6.0000000000000001E-3</v>
      </c>
    </row>
    <row r="50" spans="1:7">
      <c r="F50" s="3" t="s">
        <v>17</v>
      </c>
      <c r="G50" s="24">
        <f>SUM(G47:G49)</f>
        <v>2.5274999999999999E-2</v>
      </c>
    </row>
    <row r="51" spans="1:7">
      <c r="B51" s="28" t="str">
        <f>A46</f>
        <v>King County</v>
      </c>
    </row>
    <row r="52" spans="1:7">
      <c r="A52" s="3" t="s">
        <v>4</v>
      </c>
      <c r="B52" s="25">
        <f>B49</f>
        <v>14.420000000000002</v>
      </c>
      <c r="F52" s="3" t="s">
        <v>30</v>
      </c>
      <c r="G52" s="26">
        <f>1-G50</f>
        <v>0.97472499999999995</v>
      </c>
    </row>
    <row r="53" spans="1:7">
      <c r="A53" s="3" t="s">
        <v>26</v>
      </c>
      <c r="B53" s="25">
        <f>B52/$G$52</f>
        <v>14.793916232783609</v>
      </c>
    </row>
    <row r="54" spans="1:7">
      <c r="A54" s="3" t="s">
        <v>25</v>
      </c>
      <c r="B54" s="14">
        <f>'Staff Calcs '!D105</f>
        <v>20675</v>
      </c>
    </row>
    <row r="55" spans="1:7">
      <c r="A55" s="2" t="s">
        <v>31</v>
      </c>
      <c r="B55" s="4">
        <f>B53*B54</f>
        <v>305864.21811280109</v>
      </c>
    </row>
    <row r="58" spans="1:7" ht="15.75" thickBot="1"/>
    <row r="59" spans="1:7">
      <c r="A59" s="90" t="s">
        <v>94</v>
      </c>
      <c r="B59" s="91" t="s">
        <v>92</v>
      </c>
      <c r="D59" s="25"/>
    </row>
    <row r="60" spans="1:7">
      <c r="A60" s="92" t="s">
        <v>93</v>
      </c>
      <c r="B60" s="93">
        <f>'Staff Calcs '!R44</f>
        <v>212798.95284632605</v>
      </c>
    </row>
    <row r="61" spans="1:7">
      <c r="A61" s="92" t="s">
        <v>13</v>
      </c>
      <c r="B61" s="93">
        <f>B60-B55</f>
        <v>-93065.265266475035</v>
      </c>
    </row>
    <row r="62" spans="1:7">
      <c r="A62" s="92"/>
      <c r="B62" s="94"/>
    </row>
    <row r="63" spans="1:7">
      <c r="A63" s="95" t="s">
        <v>95</v>
      </c>
      <c r="B63" s="96" t="s">
        <v>92</v>
      </c>
    </row>
    <row r="64" spans="1:7">
      <c r="A64" s="92" t="s">
        <v>54</v>
      </c>
      <c r="B64" s="97">
        <f>'Staff Calcs '!W44</f>
        <v>305847.71017638803</v>
      </c>
    </row>
    <row r="65" spans="1:3" ht="15.75" thickBot="1">
      <c r="A65" s="98" t="s">
        <v>13</v>
      </c>
      <c r="B65" s="99">
        <f>B64-B55</f>
        <v>-16.507936413050629</v>
      </c>
      <c r="C65" s="25">
        <f>B61-B65</f>
        <v>-93048.757330061984</v>
      </c>
    </row>
  </sheetData>
  <mergeCells count="3">
    <mergeCell ref="A1:H1"/>
    <mergeCell ref="F46:G46"/>
    <mergeCell ref="A11:B11"/>
  </mergeCells>
  <pageMargins left="0.28000000000000003" right="0.52" top="0.75" bottom="0.75" header="0.3" footer="0.3"/>
  <pageSetup scale="72" orientation="portrait" r:id="rId1"/>
  <headerFooter>
    <oddHeader>&amp;C&amp;"-,Bold"&amp;12Murrey's Disposal Co, Inc&amp;"-,Regular"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16"/>
  <sheetViews>
    <sheetView tabSelected="1" zoomScale="80" zoomScaleNormal="80" workbookViewId="0">
      <pane xSplit="3" ySplit="1" topLeftCell="D6" activePane="bottomRight" state="frozen"/>
      <selection pane="topRight" activeCell="D1" sqref="D1"/>
      <selection pane="bottomLeft" activeCell="A6" sqref="A6"/>
      <selection pane="bottomRight" activeCell="E17" sqref="E17"/>
    </sheetView>
  </sheetViews>
  <sheetFormatPr defaultColWidth="8.85546875" defaultRowHeight="15"/>
  <cols>
    <col min="1" max="1" width="5.42578125" style="66" bestFit="1" customWidth="1"/>
    <col min="2" max="2" width="27.7109375" style="70" bestFit="1" customWidth="1"/>
    <col min="3" max="3" width="30.7109375" style="66" customWidth="1"/>
    <col min="4" max="4" width="23.7109375" style="67" bestFit="1" customWidth="1"/>
    <col min="5" max="5" width="13.7109375" style="66" bestFit="1" customWidth="1"/>
    <col min="6" max="6" width="16" style="66" bestFit="1" customWidth="1"/>
    <col min="7" max="7" width="19.28515625" style="136" bestFit="1" customWidth="1"/>
    <col min="8" max="8" width="25.7109375" style="66" customWidth="1"/>
    <col min="9" max="9" width="21.7109375" style="65" bestFit="1" customWidth="1"/>
    <col min="10" max="10" width="11.28515625" style="66" bestFit="1" customWidth="1"/>
    <col min="11" max="11" width="12.140625" style="66" bestFit="1" customWidth="1"/>
    <col min="12" max="12" width="13.7109375" style="66" bestFit="1" customWidth="1"/>
    <col min="13" max="13" width="21.7109375" style="66" bestFit="1" customWidth="1"/>
    <col min="14" max="14" width="26.28515625" style="313" bestFit="1" customWidth="1"/>
    <col min="15" max="15" width="24.28515625" style="66" bestFit="1" customWidth="1"/>
    <col min="16" max="16" width="32.7109375" style="66" bestFit="1" customWidth="1"/>
    <col min="17" max="17" width="35.140625" style="66" bestFit="1" customWidth="1"/>
    <col min="18" max="18" width="24.5703125" style="66" bestFit="1" customWidth="1"/>
    <col min="19" max="19" width="31.28515625" style="66" bestFit="1" customWidth="1"/>
    <col min="20" max="20" width="29" style="66" bestFit="1" customWidth="1"/>
    <col min="21" max="21" width="18.140625" style="66" bestFit="1" customWidth="1"/>
    <col min="22" max="23" width="21.5703125" style="66" bestFit="1" customWidth="1"/>
    <col min="24" max="16384" width="8.85546875" style="66"/>
  </cols>
  <sheetData>
    <row r="1" spans="1:23" ht="30">
      <c r="A1" s="58"/>
      <c r="B1" s="104" t="s">
        <v>16</v>
      </c>
      <c r="C1" s="84" t="s">
        <v>18</v>
      </c>
      <c r="D1" s="83" t="s">
        <v>43</v>
      </c>
      <c r="E1" s="104" t="s">
        <v>0</v>
      </c>
      <c r="F1" s="58" t="s">
        <v>1</v>
      </c>
      <c r="G1" s="132" t="s">
        <v>11</v>
      </c>
      <c r="H1" s="104" t="s">
        <v>35</v>
      </c>
      <c r="I1" s="105" t="s">
        <v>36</v>
      </c>
      <c r="J1" s="101" t="s">
        <v>10</v>
      </c>
      <c r="K1" s="83" t="s">
        <v>2</v>
      </c>
      <c r="L1" s="104" t="s">
        <v>45</v>
      </c>
      <c r="M1" s="83" t="s">
        <v>40</v>
      </c>
      <c r="N1" s="309" t="s">
        <v>37</v>
      </c>
      <c r="O1" s="104" t="s">
        <v>38</v>
      </c>
      <c r="P1" s="104" t="s">
        <v>41</v>
      </c>
      <c r="Q1" s="83" t="s">
        <v>39</v>
      </c>
      <c r="R1" s="104" t="s">
        <v>46</v>
      </c>
      <c r="S1" s="104" t="s">
        <v>42</v>
      </c>
      <c r="T1" s="104" t="s">
        <v>44</v>
      </c>
      <c r="U1" s="104" t="s">
        <v>47</v>
      </c>
      <c r="V1" s="104" t="s">
        <v>49</v>
      </c>
      <c r="W1" s="104" t="s">
        <v>48</v>
      </c>
    </row>
    <row r="2" spans="1:23" s="68" customFormat="1" ht="14.45" customHeight="1">
      <c r="A2" s="332" t="s">
        <v>14</v>
      </c>
      <c r="B2" s="288" t="str">
        <f>'Tariff Changes'!$A$7</f>
        <v>Item 100, pg 21 Appendix A</v>
      </c>
      <c r="C2" s="151" t="s">
        <v>144</v>
      </c>
      <c r="D2" s="152">
        <v>1110.4166666666667</v>
      </c>
      <c r="E2" s="78">
        <f>References!$B$7</f>
        <v>4.333333333333333</v>
      </c>
      <c r="F2" s="153">
        <f>D2*E2*12</f>
        <v>57741.666666666672</v>
      </c>
      <c r="G2" s="154">
        <f>References!$B$13</f>
        <v>20</v>
      </c>
      <c r="H2" s="77">
        <f>G2*F2</f>
        <v>1154833.3333333335</v>
      </c>
      <c r="I2" s="55">
        <f t="shared" ref="I2:I10" si="0">$D$108*H2</f>
        <v>859088.06183819415</v>
      </c>
      <c r="J2" s="76">
        <f>(References!$C$49*I2)</f>
        <v>6194.0249258533868</v>
      </c>
      <c r="K2" s="76">
        <f>J2/References!$G$52</f>
        <v>6354.6384117093403</v>
      </c>
      <c r="L2" s="76">
        <f>K2/F2*E2</f>
        <v>0.47689594084122622</v>
      </c>
      <c r="M2" s="155">
        <f>'Tariff Changes'!C8</f>
        <v>9.31</v>
      </c>
      <c r="N2" s="310">
        <f>L2+M2</f>
        <v>9.7868959408412266</v>
      </c>
      <c r="O2" s="155">
        <f>'Tariff Changes'!E8</f>
        <v>9.577314445518132</v>
      </c>
      <c r="P2" s="76">
        <f>M2*D2*12</f>
        <v>124055.75000000001</v>
      </c>
      <c r="Q2" s="76">
        <f>O2*D2*12</f>
        <v>127617.71498652913</v>
      </c>
      <c r="R2" s="76">
        <f>Q2-P2</f>
        <v>3561.964986529114</v>
      </c>
      <c r="S2" s="76">
        <f>N2*D2*12</f>
        <v>130410.38841170937</v>
      </c>
      <c r="T2" s="76">
        <f t="shared" ref="T2:T9" si="1">Q2-S2</f>
        <v>-2792.6734251802409</v>
      </c>
      <c r="U2" s="79">
        <f t="shared" ref="U2:U9" si="2">N2</f>
        <v>9.7868959408412266</v>
      </c>
      <c r="V2" s="79">
        <f>U2*D2*12</f>
        <v>130410.38841170937</v>
      </c>
      <c r="W2" s="79">
        <f>V2-P2</f>
        <v>6354.6384117093548</v>
      </c>
    </row>
    <row r="3" spans="1:23" s="68" customFormat="1">
      <c r="A3" s="333"/>
      <c r="B3" s="288" t="str">
        <f>'Tariff Changes'!$A$7</f>
        <v>Item 100, pg 21 Appendix A</v>
      </c>
      <c r="C3" s="139" t="s">
        <v>145</v>
      </c>
      <c r="D3" s="141">
        <v>7211.583333333333</v>
      </c>
      <c r="E3" s="78">
        <f>References!$B$7</f>
        <v>4.333333333333333</v>
      </c>
      <c r="F3" s="142">
        <f>D3*E3*12</f>
        <v>375002.33333333331</v>
      </c>
      <c r="G3" s="143">
        <f>References!B23</f>
        <v>34</v>
      </c>
      <c r="H3" s="77">
        <f t="shared" ref="H3:H9" si="3">G3*F3</f>
        <v>12750079.333333332</v>
      </c>
      <c r="I3" s="55">
        <f t="shared" si="0"/>
        <v>9484867.319460135</v>
      </c>
      <c r="J3" s="76">
        <f>(References!$C$49*I3)</f>
        <v>68385.893373307656</v>
      </c>
      <c r="K3" s="76">
        <f>J3/References!$G$52</f>
        <v>70159.166301580102</v>
      </c>
      <c r="L3" s="76">
        <f t="shared" ref="L3:L9" si="4">K3/F3*E3</f>
        <v>0.81072309943008469</v>
      </c>
      <c r="M3" s="155">
        <f>'Tariff Changes'!C9</f>
        <v>15.24</v>
      </c>
      <c r="N3" s="310">
        <f t="shared" ref="N3:N9" si="5">L3+M3</f>
        <v>16.050723099430083</v>
      </c>
      <c r="O3" s="155">
        <f>'Tariff Changes'!E9</f>
        <v>15.690168673286347</v>
      </c>
      <c r="P3" s="76">
        <f t="shared" ref="P3:P9" si="6">M3*D3*12</f>
        <v>1318854.3599999999</v>
      </c>
      <c r="Q3" s="76">
        <f t="shared" ref="Q3:Q9" si="7">O3*D3*12</f>
        <v>1357811.5068175271</v>
      </c>
      <c r="R3" s="76">
        <f t="shared" ref="R3:R9" si="8">Q3-P3</f>
        <v>38957.146817527246</v>
      </c>
      <c r="S3" s="76">
        <f t="shared" ref="S3:S9" si="9">N3*D3*12</f>
        <v>1389013.52630158</v>
      </c>
      <c r="T3" s="76">
        <f t="shared" si="1"/>
        <v>-31202.0194840529</v>
      </c>
      <c r="U3" s="79">
        <f t="shared" si="2"/>
        <v>16.050723099430083</v>
      </c>
      <c r="V3" s="79">
        <f t="shared" ref="V3:V9" si="10">U3*D3*12</f>
        <v>1389013.52630158</v>
      </c>
      <c r="W3" s="79">
        <f t="shared" ref="W3:W9" si="11">V3-P3</f>
        <v>70159.166301580146</v>
      </c>
    </row>
    <row r="4" spans="1:23" s="68" customFormat="1">
      <c r="A4" s="333"/>
      <c r="B4" s="288" t="str">
        <f>'Tariff Changes'!$A$7</f>
        <v>Item 100, pg 21 Appendix A</v>
      </c>
      <c r="C4" s="139" t="s">
        <v>146</v>
      </c>
      <c r="D4" s="141">
        <v>528.58333333333337</v>
      </c>
      <c r="E4" s="78">
        <f>References!$B$7</f>
        <v>4.333333333333333</v>
      </c>
      <c r="F4" s="142">
        <f t="shared" ref="F4:F9" si="12">D4*E4*12</f>
        <v>27486.333333333336</v>
      </c>
      <c r="G4" s="143">
        <f>References!B15</f>
        <v>51</v>
      </c>
      <c r="H4" s="77">
        <f t="shared" si="3"/>
        <v>1401803.0000000002</v>
      </c>
      <c r="I4" s="55">
        <f t="shared" si="0"/>
        <v>1042810.410462375</v>
      </c>
      <c r="J4" s="76">
        <f>(References!$C$49*I4)</f>
        <v>7518.6630594337321</v>
      </c>
      <c r="K4" s="76">
        <f>J4/References!$G$52</f>
        <v>7713.6249295275411</v>
      </c>
      <c r="L4" s="76">
        <f t="shared" si="4"/>
        <v>1.2160846491451269</v>
      </c>
      <c r="M4" s="155">
        <f>'Tariff Changes'!C10</f>
        <v>24.68</v>
      </c>
      <c r="N4" s="310">
        <f t="shared" si="5"/>
        <v>25.896084649145127</v>
      </c>
      <c r="O4" s="155">
        <f>'Tariff Changes'!E10</f>
        <v>25.580337346572694</v>
      </c>
      <c r="P4" s="76">
        <f t="shared" si="6"/>
        <v>156545.24000000002</v>
      </c>
      <c r="Q4" s="76">
        <f t="shared" si="7"/>
        <v>162256.07978931061</v>
      </c>
      <c r="R4" s="76">
        <f t="shared" si="8"/>
        <v>5710.8397893105866</v>
      </c>
      <c r="S4" s="76">
        <f t="shared" si="9"/>
        <v>164258.86492952757</v>
      </c>
      <c r="T4" s="76">
        <f t="shared" si="1"/>
        <v>-2002.7851402169617</v>
      </c>
      <c r="U4" s="79">
        <f t="shared" si="2"/>
        <v>25.896084649145127</v>
      </c>
      <c r="V4" s="79">
        <f t="shared" si="10"/>
        <v>164258.86492952757</v>
      </c>
      <c r="W4" s="79">
        <f t="shared" si="11"/>
        <v>7713.6249295275484</v>
      </c>
    </row>
    <row r="5" spans="1:23" s="68" customFormat="1">
      <c r="A5" s="333"/>
      <c r="B5" s="288" t="str">
        <f>'Tariff Changes'!$A$7</f>
        <v>Item 100, pg 21 Appendix A</v>
      </c>
      <c r="C5" s="139" t="s">
        <v>147</v>
      </c>
      <c r="D5" s="141">
        <v>19.416666666666668</v>
      </c>
      <c r="E5" s="78">
        <f>References!$B$7</f>
        <v>4.333333333333333</v>
      </c>
      <c r="F5" s="142">
        <f t="shared" si="12"/>
        <v>1009.6666666666666</v>
      </c>
      <c r="G5" s="143">
        <f>References!B16</f>
        <v>77</v>
      </c>
      <c r="H5" s="77">
        <f t="shared" si="3"/>
        <v>77744.333333333328</v>
      </c>
      <c r="I5" s="55">
        <f t="shared" si="0"/>
        <v>57834.517513842547</v>
      </c>
      <c r="J5" s="76">
        <f>(References!$C$49*I5)</f>
        <v>416.98687127480525</v>
      </c>
      <c r="K5" s="76">
        <f>J5/References!$G$52</f>
        <v>427.799503731622</v>
      </c>
      <c r="L5" s="76">
        <f t="shared" si="4"/>
        <v>1.836049372238721</v>
      </c>
      <c r="M5" s="155">
        <f>'Tariff Changes'!C11</f>
        <v>35.35</v>
      </c>
      <c r="N5" s="310">
        <f t="shared" si="5"/>
        <v>37.18604937223872</v>
      </c>
      <c r="O5" s="155">
        <f>'Tariff Changes'!E11</f>
        <v>36.700506019859041</v>
      </c>
      <c r="P5" s="76">
        <f t="shared" si="6"/>
        <v>8236.5500000000011</v>
      </c>
      <c r="Q5" s="76">
        <f t="shared" si="7"/>
        <v>8551.2179026271569</v>
      </c>
      <c r="R5" s="76">
        <f t="shared" si="8"/>
        <v>314.66790262715585</v>
      </c>
      <c r="S5" s="76">
        <f t="shared" si="9"/>
        <v>8664.3495037316225</v>
      </c>
      <c r="T5" s="76">
        <f t="shared" si="1"/>
        <v>-113.13160110446552</v>
      </c>
      <c r="U5" s="79">
        <f t="shared" si="2"/>
        <v>37.18604937223872</v>
      </c>
      <c r="V5" s="79">
        <f t="shared" si="10"/>
        <v>8664.3495037316225</v>
      </c>
      <c r="W5" s="79">
        <f t="shared" si="11"/>
        <v>427.79950373162137</v>
      </c>
    </row>
    <row r="6" spans="1:23" s="68" customFormat="1">
      <c r="A6" s="333"/>
      <c r="B6" s="288" t="str">
        <f>'Tariff Changes'!$A$7</f>
        <v>Item 100, pg 21 Appendix A</v>
      </c>
      <c r="C6" s="139" t="s">
        <v>151</v>
      </c>
      <c r="D6" s="141">
        <v>1</v>
      </c>
      <c r="E6" s="78">
        <f>References!$B$7</f>
        <v>4.333333333333333</v>
      </c>
      <c r="F6" s="142">
        <f t="shared" si="12"/>
        <v>52</v>
      </c>
      <c r="G6" s="143">
        <f>References!B17</f>
        <v>97</v>
      </c>
      <c r="H6" s="77">
        <f t="shared" si="3"/>
        <v>5044</v>
      </c>
      <c r="I6" s="55">
        <f t="shared" si="0"/>
        <v>3752.2645552707613</v>
      </c>
      <c r="J6" s="76">
        <f>(References!$C$49*I6)</f>
        <v>27.053827443502218</v>
      </c>
      <c r="K6" s="76">
        <f>J6/References!$G$52</f>
        <v>27.755343756959366</v>
      </c>
      <c r="L6" s="76">
        <f t="shared" si="4"/>
        <v>2.3129453130799473</v>
      </c>
      <c r="M6" s="155">
        <f>'Tariff Changes'!C12</f>
        <v>47.25</v>
      </c>
      <c r="N6" s="310">
        <f t="shared" si="5"/>
        <v>49.56294531307995</v>
      </c>
      <c r="O6" s="155">
        <f>'Tariff Changes'!E12</f>
        <v>49.050674693145389</v>
      </c>
      <c r="P6" s="76">
        <f t="shared" si="6"/>
        <v>567</v>
      </c>
      <c r="Q6" s="76">
        <f t="shared" si="7"/>
        <v>588.60809631774464</v>
      </c>
      <c r="R6" s="76">
        <f t="shared" si="8"/>
        <v>21.608096317744639</v>
      </c>
      <c r="S6" s="76">
        <f t="shared" si="9"/>
        <v>594.75534375695941</v>
      </c>
      <c r="T6" s="76">
        <f t="shared" si="1"/>
        <v>-6.147247439214766</v>
      </c>
      <c r="U6" s="79">
        <f t="shared" si="2"/>
        <v>49.56294531307995</v>
      </c>
      <c r="V6" s="79">
        <f t="shared" si="10"/>
        <v>594.75534375695941</v>
      </c>
      <c r="W6" s="79">
        <f t="shared" si="11"/>
        <v>27.755343756959405</v>
      </c>
    </row>
    <row r="7" spans="1:23" s="68" customFormat="1">
      <c r="A7" s="333"/>
      <c r="B7" s="288" t="str">
        <f>'Tariff Changes'!$A$7</f>
        <v>Item 100, pg 21 Appendix A</v>
      </c>
      <c r="C7" s="139" t="s">
        <v>148</v>
      </c>
      <c r="D7" s="141">
        <v>5859.25</v>
      </c>
      <c r="E7" s="78">
        <f>References!$B$7</f>
        <v>4.333333333333333</v>
      </c>
      <c r="F7" s="142">
        <f t="shared" si="12"/>
        <v>304681</v>
      </c>
      <c r="G7" s="143">
        <f>References!$B$14</f>
        <v>34</v>
      </c>
      <c r="H7" s="77">
        <f t="shared" si="3"/>
        <v>10359154</v>
      </c>
      <c r="I7" s="55">
        <f t="shared" si="0"/>
        <v>7706242.3427421348</v>
      </c>
      <c r="J7" s="76">
        <f>(References!$C$49*I7)</f>
        <v>55562.007291170856</v>
      </c>
      <c r="K7" s="76">
        <f>J7/References!$G$52</f>
        <v>57002.75184402868</v>
      </c>
      <c r="L7" s="76">
        <f t="shared" si="4"/>
        <v>0.81072309943008458</v>
      </c>
      <c r="M7" s="155">
        <f>'Tariff Changes'!C14</f>
        <v>13.96</v>
      </c>
      <c r="N7" s="310">
        <f t="shared" si="5"/>
        <v>14.770723099430086</v>
      </c>
      <c r="O7" s="155">
        <f>'Tariff Changes'!E14</f>
        <v>14.410168673286348</v>
      </c>
      <c r="P7" s="76">
        <f t="shared" si="6"/>
        <v>981541.56</v>
      </c>
      <c r="Q7" s="76">
        <f t="shared" si="7"/>
        <v>1013193.3695874366</v>
      </c>
      <c r="R7" s="76">
        <f t="shared" si="8"/>
        <v>31651.809587436495</v>
      </c>
      <c r="S7" s="76">
        <f t="shared" si="9"/>
        <v>1038544.3118440288</v>
      </c>
      <c r="T7" s="76">
        <f t="shared" si="1"/>
        <v>-25350.942256592214</v>
      </c>
      <c r="U7" s="79">
        <f t="shared" si="2"/>
        <v>14.770723099430086</v>
      </c>
      <c r="V7" s="79">
        <f t="shared" si="10"/>
        <v>1038544.3118440288</v>
      </c>
      <c r="W7" s="79">
        <f t="shared" si="11"/>
        <v>57002.751844028709</v>
      </c>
    </row>
    <row r="8" spans="1:23" s="68" customFormat="1">
      <c r="A8" s="333"/>
      <c r="B8" s="288" t="str">
        <f>'Tariff Changes'!$A$7</f>
        <v>Item 100, pg 21 Appendix A</v>
      </c>
      <c r="C8" s="139" t="s">
        <v>149</v>
      </c>
      <c r="D8" s="141">
        <v>5760.666666666667</v>
      </c>
      <c r="E8" s="78">
        <f>References!$B$7</f>
        <v>4.333333333333333</v>
      </c>
      <c r="F8" s="142">
        <f t="shared" si="12"/>
        <v>299554.66666666663</v>
      </c>
      <c r="G8" s="143">
        <f>References!B21</f>
        <v>47</v>
      </c>
      <c r="H8" s="77">
        <f t="shared" si="3"/>
        <v>14079069.333333332</v>
      </c>
      <c r="I8" s="55">
        <f t="shared" si="0"/>
        <v>10473511.66349449</v>
      </c>
      <c r="J8" s="76">
        <f>(References!$C$49*I8)</f>
        <v>75514.019093795359</v>
      </c>
      <c r="K8" s="76">
        <f>J8/References!$G$52</f>
        <v>77472.127106409869</v>
      </c>
      <c r="L8" s="76">
        <f t="shared" si="4"/>
        <v>1.1207054609768816</v>
      </c>
      <c r="M8" s="155">
        <f>'Tariff Changes'!C15</f>
        <v>22.5</v>
      </c>
      <c r="N8" s="310">
        <f t="shared" si="5"/>
        <v>23.620705460976883</v>
      </c>
      <c r="O8" s="155">
        <f>'Tariff Changes'!E15</f>
        <v>23.400337346572694</v>
      </c>
      <c r="P8" s="76">
        <f t="shared" si="6"/>
        <v>1555380</v>
      </c>
      <c r="Q8" s="76">
        <f t="shared" si="7"/>
        <v>1617618.5200938773</v>
      </c>
      <c r="R8" s="76">
        <f t="shared" si="8"/>
        <v>62238.520093877334</v>
      </c>
      <c r="S8" s="76">
        <f t="shared" si="9"/>
        <v>1632852.12710641</v>
      </c>
      <c r="T8" s="76">
        <f t="shared" si="1"/>
        <v>-15233.607012532651</v>
      </c>
      <c r="U8" s="79">
        <f t="shared" si="2"/>
        <v>23.620705460976883</v>
      </c>
      <c r="V8" s="79">
        <f t="shared" si="10"/>
        <v>1632852.12710641</v>
      </c>
      <c r="W8" s="79">
        <f t="shared" si="11"/>
        <v>77472.127106409986</v>
      </c>
    </row>
    <row r="9" spans="1:23" s="68" customFormat="1">
      <c r="A9" s="333"/>
      <c r="B9" s="288" t="str">
        <f>'Tariff Changes'!$A$7</f>
        <v>Item 100, pg 21 Appendix A</v>
      </c>
      <c r="C9" s="139" t="s">
        <v>150</v>
      </c>
      <c r="D9" s="141">
        <v>1556</v>
      </c>
      <c r="E9" s="78">
        <f>References!$B$7</f>
        <v>4.333333333333333</v>
      </c>
      <c r="F9" s="142">
        <f t="shared" si="12"/>
        <v>80912</v>
      </c>
      <c r="G9" s="143">
        <f>References!B22</f>
        <v>68</v>
      </c>
      <c r="H9" s="77">
        <f t="shared" si="3"/>
        <v>5502016</v>
      </c>
      <c r="I9" s="55">
        <f t="shared" si="0"/>
        <v>4092985.6501452443</v>
      </c>
      <c r="J9" s="76">
        <f>(References!$C$49*I9)</f>
        <v>29510.426537547246</v>
      </c>
      <c r="K9" s="76">
        <f>J9/References!$G$52</f>
        <v>30275.643425117083</v>
      </c>
      <c r="L9" s="76">
        <f t="shared" si="4"/>
        <v>1.6214461988601692</v>
      </c>
      <c r="M9" s="155">
        <f>'Tariff Changes'!C16</f>
        <v>30.2</v>
      </c>
      <c r="N9" s="310">
        <f t="shared" si="5"/>
        <v>31.821446198860169</v>
      </c>
      <c r="O9" s="155">
        <f>'Tariff Changes'!E16</f>
        <v>31.550506019859043</v>
      </c>
      <c r="P9" s="76">
        <f t="shared" si="6"/>
        <v>563894.39999999991</v>
      </c>
      <c r="Q9" s="76">
        <f t="shared" si="7"/>
        <v>589111.04840280802</v>
      </c>
      <c r="R9" s="76">
        <f t="shared" si="8"/>
        <v>25216.648402808118</v>
      </c>
      <c r="S9" s="76">
        <f t="shared" si="9"/>
        <v>594170.04342511704</v>
      </c>
      <c r="T9" s="76">
        <f t="shared" si="1"/>
        <v>-5058.9950223090127</v>
      </c>
      <c r="U9" s="79">
        <f t="shared" si="2"/>
        <v>31.821446198860169</v>
      </c>
      <c r="V9" s="79">
        <f t="shared" si="10"/>
        <v>594170.04342511704</v>
      </c>
      <c r="W9" s="79">
        <f t="shared" si="11"/>
        <v>30275.64342511713</v>
      </c>
    </row>
    <row r="10" spans="1:23" s="68" customFormat="1">
      <c r="A10" s="71"/>
      <c r="B10" s="288" t="str">
        <f>'Tariff Changes'!$A$7</f>
        <v>Item 100, pg 21 Appendix A</v>
      </c>
      <c r="C10" s="139" t="s">
        <v>108</v>
      </c>
      <c r="D10" s="141">
        <v>422.91666666666669</v>
      </c>
      <c r="E10" s="78">
        <f>References!$B$7</f>
        <v>4.333333333333333</v>
      </c>
      <c r="F10" s="142">
        <f t="shared" ref="F10" si="13">D10*E10*12</f>
        <v>21991.666666666668</v>
      </c>
      <c r="G10" s="143">
        <f>References!B23</f>
        <v>34</v>
      </c>
      <c r="H10" s="77">
        <f t="shared" ref="H10" si="14">G10*F10</f>
        <v>747716.66666666674</v>
      </c>
      <c r="I10" s="55">
        <f t="shared" si="0"/>
        <v>556231.31358416658</v>
      </c>
      <c r="J10" s="76">
        <f>(References!$C$49*I10)</f>
        <v>4010.4277709418457</v>
      </c>
      <c r="K10" s="76">
        <f>J10/References!$G$52</f>
        <v>4114.41972960768</v>
      </c>
      <c r="L10" s="76">
        <f t="shared" ref="L10" si="15">K10/F10*E10</f>
        <v>0.81072309943008458</v>
      </c>
      <c r="M10" s="155">
        <f>'Tariff Changes'!C17</f>
        <v>5.97</v>
      </c>
      <c r="N10" s="310">
        <f t="shared" ref="N10" si="16">L10+M10</f>
        <v>6.7807230994300847</v>
      </c>
      <c r="O10" s="155">
        <f>'Tariff Changes'!E17</f>
        <v>6.0739650515672858</v>
      </c>
      <c r="P10" s="76">
        <f t="shared" ref="P10" si="17">M10*D10*12</f>
        <v>30297.75</v>
      </c>
      <c r="Q10" s="76">
        <f t="shared" ref="Q10" si="18">O10*D10*12</f>
        <v>30825.372636703978</v>
      </c>
      <c r="R10" s="76">
        <f t="shared" ref="R10" si="19">Q10-P10</f>
        <v>527.62263670397806</v>
      </c>
      <c r="S10" s="76">
        <f t="shared" ref="S10" si="20">N10*D10*12</f>
        <v>34412.169729607682</v>
      </c>
      <c r="T10" s="76">
        <f t="shared" ref="T10" si="21">Q10-S10</f>
        <v>-3586.7970929037037</v>
      </c>
      <c r="U10" s="79">
        <f t="shared" ref="U10" si="22">N10</f>
        <v>6.7807230994300847</v>
      </c>
      <c r="V10" s="79">
        <f t="shared" ref="V10" si="23">U10*D10*12</f>
        <v>34412.169729607682</v>
      </c>
      <c r="W10" s="79">
        <f t="shared" ref="W10" si="24">V10-P10</f>
        <v>4114.4197296076818</v>
      </c>
    </row>
    <row r="11" spans="1:23" s="68" customFormat="1">
      <c r="A11" s="71"/>
      <c r="B11" s="130"/>
      <c r="C11" s="139"/>
      <c r="D11" s="141"/>
      <c r="E11" s="78"/>
      <c r="F11" s="77"/>
      <c r="G11" s="143"/>
      <c r="H11" s="77"/>
      <c r="I11" s="55"/>
      <c r="J11" s="76"/>
      <c r="K11" s="76"/>
      <c r="L11" s="76"/>
      <c r="M11" s="144"/>
      <c r="N11" s="310"/>
      <c r="O11" s="76"/>
      <c r="P11" s="76"/>
      <c r="Q11" s="76"/>
      <c r="R11" s="76"/>
      <c r="S11" s="76"/>
      <c r="T11" s="76"/>
      <c r="U11" s="79"/>
      <c r="V11" s="79"/>
      <c r="W11" s="79"/>
    </row>
    <row r="12" spans="1:23" s="68" customFormat="1">
      <c r="A12" s="59"/>
      <c r="B12" s="85"/>
      <c r="C12" s="60" t="s">
        <v>17</v>
      </c>
      <c r="D12" s="61">
        <f>SUM(D2:D11)</f>
        <v>22469.833333333336</v>
      </c>
      <c r="E12" s="62"/>
      <c r="F12" s="61">
        <f>SUM(F2:F11)</f>
        <v>1168431.3333333333</v>
      </c>
      <c r="G12" s="133"/>
      <c r="H12" s="61">
        <f>SUM(H2:H11)</f>
        <v>46077459.999999993</v>
      </c>
      <c r="I12" s="61">
        <f>SUM(I2:I11)</f>
        <v>34277323.543795854</v>
      </c>
      <c r="J12" s="81"/>
      <c r="K12" s="81"/>
      <c r="L12" s="81"/>
      <c r="M12" s="81"/>
      <c r="N12" s="7"/>
      <c r="O12" s="81"/>
      <c r="P12" s="61">
        <f>SUM(P2:P11)</f>
        <v>4739372.6099999994</v>
      </c>
      <c r="Q12" s="150">
        <f>SUM(Q2:Q11)</f>
        <v>4907573.4383131368</v>
      </c>
      <c r="R12" s="150">
        <f>SUM(R2:R11)</f>
        <v>168200.82831313778</v>
      </c>
      <c r="S12" s="150">
        <f>SUM(S2:S11)</f>
        <v>4992920.5365954684</v>
      </c>
      <c r="T12" s="150">
        <f>SUM(T2:T11)</f>
        <v>-85347.098282331368</v>
      </c>
      <c r="U12" s="150"/>
      <c r="V12" s="150">
        <f>SUM(V2:V11)</f>
        <v>4992920.5365954684</v>
      </c>
      <c r="W12" s="150">
        <f>SUM(W2:W11)</f>
        <v>253547.92659546912</v>
      </c>
    </row>
    <row r="13" spans="1:23" s="68" customFormat="1" ht="14.45" customHeight="1">
      <c r="A13" s="332" t="s">
        <v>15</v>
      </c>
      <c r="B13" s="140" t="str">
        <f>'Tariff Changes'!$A$71</f>
        <v>Item 240, pg 39</v>
      </c>
      <c r="C13" s="145" t="s">
        <v>152</v>
      </c>
      <c r="D13" s="65"/>
      <c r="E13" s="78"/>
      <c r="F13" s="146">
        <f>784.273*12</f>
        <v>9411.2759999999998</v>
      </c>
      <c r="G13" s="143">
        <f>References!B26</f>
        <v>29</v>
      </c>
      <c r="H13" s="77">
        <f t="shared" ref="H13:H22" si="25">G13*F13</f>
        <v>272927.00400000002</v>
      </c>
      <c r="I13" s="55">
        <f t="shared" ref="I13:I28" si="26">$D$108*H13</f>
        <v>203032.18146023818</v>
      </c>
      <c r="J13" s="76">
        <f>(References!$C$49*I13)</f>
        <v>1463.862028328319</v>
      </c>
      <c r="K13" s="76">
        <f>J13/References!$G$52</f>
        <v>1501.820542541044</v>
      </c>
      <c r="L13" s="76">
        <f t="shared" ref="L13:L14" si="27">K13/F13</f>
        <v>0.15957671866610268</v>
      </c>
      <c r="M13" s="76">
        <f>'Tariff Changes'!C72</f>
        <v>3.77</v>
      </c>
      <c r="N13" s="310">
        <f t="shared" ref="N13:N14" si="28">L13+M13</f>
        <v>3.9295767186661026</v>
      </c>
      <c r="O13" s="76">
        <f>'Tariff Changes'!E72</f>
        <v>3.88</v>
      </c>
      <c r="P13" s="76">
        <f t="shared" ref="P13:P14" si="29">M13*F13</f>
        <v>35480.510519999996</v>
      </c>
      <c r="Q13" s="76">
        <f t="shared" ref="Q13:Q14" si="30">O13*F13</f>
        <v>36515.75088</v>
      </c>
      <c r="R13" s="76">
        <f t="shared" ref="R13:R14" si="31">Q13-P13</f>
        <v>1035.2403600000034</v>
      </c>
      <c r="S13" s="76">
        <f t="shared" ref="S13:S14" si="32">N13*F13</f>
        <v>36982.331062541045</v>
      </c>
      <c r="T13" s="76">
        <f t="shared" ref="T13:T14" si="33">Q13-S13</f>
        <v>-466.58018254104536</v>
      </c>
      <c r="U13" s="79">
        <f t="shared" ref="U13:U14" si="34">N13</f>
        <v>3.9295767186661026</v>
      </c>
      <c r="V13" s="79">
        <f t="shared" ref="V13:V14" si="35">U13*F13</f>
        <v>36982.331062541045</v>
      </c>
      <c r="W13" s="79">
        <f t="shared" ref="W13:W14" si="36">V13-P13</f>
        <v>1501.8205425410488</v>
      </c>
    </row>
    <row r="14" spans="1:23" s="68" customFormat="1">
      <c r="A14" s="333"/>
      <c r="B14" s="140" t="str">
        <f>'Tariff Changes'!$A$71</f>
        <v>Item 240, pg 39</v>
      </c>
      <c r="C14" s="145" t="s">
        <v>154</v>
      </c>
      <c r="D14" s="65"/>
      <c r="E14" s="78"/>
      <c r="F14" s="146">
        <f>289.22775*12</f>
        <v>3470.7330000000002</v>
      </c>
      <c r="G14" s="143">
        <f>References!B27</f>
        <v>175</v>
      </c>
      <c r="H14" s="77">
        <f t="shared" si="25"/>
        <v>607378.27500000002</v>
      </c>
      <c r="I14" s="55">
        <f t="shared" si="26"/>
        <v>451832.66711419454</v>
      </c>
      <c r="J14" s="76">
        <f>(References!$C$49*I14)</f>
        <v>3257.7135298933463</v>
      </c>
      <c r="K14" s="76">
        <f>J14/References!$G$52</f>
        <v>3342.1873142613008</v>
      </c>
      <c r="L14" s="76">
        <f t="shared" si="27"/>
        <v>0.96296295746786076</v>
      </c>
      <c r="M14" s="76">
        <f>'Tariff Changes'!C75</f>
        <v>19.48</v>
      </c>
      <c r="N14" s="310">
        <f t="shared" si="28"/>
        <v>20.442962957467863</v>
      </c>
      <c r="O14" s="76">
        <f>'Tariff Changes'!E75</f>
        <v>20.197853927488403</v>
      </c>
      <c r="P14" s="76">
        <f t="shared" si="29"/>
        <v>67609.878840000005</v>
      </c>
      <c r="Q14" s="76">
        <f t="shared" si="30"/>
        <v>70101.358155313617</v>
      </c>
      <c r="R14" s="76">
        <f t="shared" si="31"/>
        <v>2491.4793153136125</v>
      </c>
      <c r="S14" s="76">
        <f t="shared" si="32"/>
        <v>70952.066154261309</v>
      </c>
      <c r="T14" s="76">
        <f t="shared" si="33"/>
        <v>-850.70799894769152</v>
      </c>
      <c r="U14" s="79">
        <f t="shared" si="34"/>
        <v>20.442962957467863</v>
      </c>
      <c r="V14" s="79">
        <f t="shared" si="35"/>
        <v>70952.066154261309</v>
      </c>
      <c r="W14" s="79">
        <f t="shared" si="36"/>
        <v>3342.187314261304</v>
      </c>
    </row>
    <row r="15" spans="1:23" s="68" customFormat="1">
      <c r="A15" s="333"/>
      <c r="B15" s="140" t="str">
        <f>'Tariff Changes'!$A$71</f>
        <v>Item 240, pg 39</v>
      </c>
      <c r="C15" s="318" t="s">
        <v>155</v>
      </c>
      <c r="D15" s="77"/>
      <c r="E15" s="78"/>
      <c r="F15" s="147">
        <f>83.41025*12</f>
        <v>1000.923</v>
      </c>
      <c r="G15" s="148">
        <f>References!B28</f>
        <v>250</v>
      </c>
      <c r="H15" s="77">
        <f t="shared" si="25"/>
        <v>250230.75</v>
      </c>
      <c r="I15" s="55">
        <f t="shared" si="26"/>
        <v>186148.28982232732</v>
      </c>
      <c r="J15" s="76">
        <f>(References!$C$49*I15)</f>
        <v>1342.1291696189815</v>
      </c>
      <c r="K15" s="76">
        <f>J15/References!$G$52</f>
        <v>1376.9311032537194</v>
      </c>
      <c r="L15" s="76">
        <f t="shared" ref="L15:L22" si="37">K15/F15</f>
        <v>1.3756613678112295</v>
      </c>
      <c r="M15" s="317">
        <f>'Tariff Changes'!C76</f>
        <v>26.1</v>
      </c>
      <c r="N15" s="310">
        <f t="shared" ref="N15:N22" si="38">L15+M15</f>
        <v>27.475661367811231</v>
      </c>
      <c r="O15" s="76">
        <f>'Tariff Changes'!E76</f>
        <v>27.176780891232603</v>
      </c>
      <c r="P15" s="76">
        <f t="shared" ref="P15:P21" si="39">M15*F15</f>
        <v>26124.0903</v>
      </c>
      <c r="Q15" s="76">
        <f t="shared" ref="Q15:Q21" si="40">O15*F15</f>
        <v>27201.865059995213</v>
      </c>
      <c r="R15" s="76">
        <f t="shared" ref="R15:R25" si="41">Q15-P15</f>
        <v>1077.7747599952127</v>
      </c>
      <c r="S15" s="76">
        <f t="shared" ref="S15:S21" si="42">N15*F15</f>
        <v>27501.021403253722</v>
      </c>
      <c r="T15" s="76">
        <f t="shared" ref="T15:T25" si="43">Q15-S15</f>
        <v>-299.15634325850988</v>
      </c>
      <c r="U15" s="79">
        <f t="shared" ref="U15:U21" si="44">N15</f>
        <v>27.475661367811231</v>
      </c>
      <c r="V15" s="79">
        <f t="shared" ref="V15:V21" si="45">U15*F15</f>
        <v>27501.021403253722</v>
      </c>
      <c r="W15" s="79">
        <f t="shared" ref="W15:W25" si="46">V15-P15</f>
        <v>1376.9311032537225</v>
      </c>
    </row>
    <row r="16" spans="1:23" s="68" customFormat="1">
      <c r="A16" s="333"/>
      <c r="B16" s="140" t="str">
        <f>'Tariff Changes'!$A$71</f>
        <v>Item 240, pg 39</v>
      </c>
      <c r="C16" s="145" t="s">
        <v>156</v>
      </c>
      <c r="D16" s="77"/>
      <c r="E16" s="78"/>
      <c r="F16" s="147">
        <f>361.8055*12</f>
        <v>4341.6660000000002</v>
      </c>
      <c r="G16" s="148">
        <f>References!B29</f>
        <v>324</v>
      </c>
      <c r="H16" s="77">
        <f t="shared" si="25"/>
        <v>1406699.784</v>
      </c>
      <c r="I16" s="55">
        <f t="shared" si="26"/>
        <v>1046453.1600734013</v>
      </c>
      <c r="J16" s="76">
        <f>(References!$C$49*I16)</f>
        <v>7544.9272841292313</v>
      </c>
      <c r="K16" s="76">
        <f>J16/References!$G$52</f>
        <v>7740.5701958288046</v>
      </c>
      <c r="L16" s="76">
        <f t="shared" si="37"/>
        <v>1.7828571326833533</v>
      </c>
      <c r="M16" s="76">
        <f>'Tariff Changes'!C77</f>
        <v>36.35</v>
      </c>
      <c r="N16" s="310">
        <f t="shared" si="38"/>
        <v>38.132857132683355</v>
      </c>
      <c r="O16" s="76">
        <f>'Tariff Changes'!E77</f>
        <v>37.785707854976806</v>
      </c>
      <c r="P16" s="76">
        <f t="shared" si="39"/>
        <v>157819.55910000001</v>
      </c>
      <c r="Q16" s="76">
        <f t="shared" si="40"/>
        <v>164052.92307988575</v>
      </c>
      <c r="R16" s="76">
        <f t="shared" si="41"/>
        <v>6233.363979885733</v>
      </c>
      <c r="S16" s="76">
        <f t="shared" si="42"/>
        <v>165560.12929582881</v>
      </c>
      <c r="T16" s="76">
        <f t="shared" si="43"/>
        <v>-1507.2062159430643</v>
      </c>
      <c r="U16" s="79">
        <f t="shared" si="44"/>
        <v>38.132857132683355</v>
      </c>
      <c r="V16" s="79">
        <f t="shared" si="45"/>
        <v>165560.12929582881</v>
      </c>
      <c r="W16" s="79">
        <f t="shared" si="46"/>
        <v>7740.5701958287973</v>
      </c>
    </row>
    <row r="17" spans="1:23" s="68" customFormat="1">
      <c r="A17" s="333"/>
      <c r="B17" s="140" t="str">
        <f>'Tariff Changes'!$A$71</f>
        <v>Item 240, pg 39</v>
      </c>
      <c r="C17" s="145" t="s">
        <v>157</v>
      </c>
      <c r="D17" s="65"/>
      <c r="E17" s="78"/>
      <c r="F17" s="146">
        <f>188.4855*12</f>
        <v>2261.826</v>
      </c>
      <c r="G17" s="148">
        <f>References!B30</f>
        <v>473</v>
      </c>
      <c r="H17" s="77">
        <f t="shared" si="25"/>
        <v>1069843.6980000001</v>
      </c>
      <c r="I17" s="55">
        <f t="shared" si="26"/>
        <v>795863.71682894474</v>
      </c>
      <c r="J17" s="76">
        <f>(References!$C$49*I17)</f>
        <v>5738.1773983366984</v>
      </c>
      <c r="K17" s="76">
        <f>J17/References!$G$52</f>
        <v>5886.9705797396173</v>
      </c>
      <c r="L17" s="76">
        <f t="shared" si="37"/>
        <v>2.6027513078988469</v>
      </c>
      <c r="M17" s="76">
        <f>'Tariff Changes'!C78</f>
        <v>51.57</v>
      </c>
      <c r="N17" s="310">
        <f t="shared" si="38"/>
        <v>54.172751307898849</v>
      </c>
      <c r="O17" s="76">
        <f>'Tariff Changes'!E78</f>
        <v>53.723561782465204</v>
      </c>
      <c r="P17" s="76">
        <f t="shared" si="39"/>
        <v>116642.36682</v>
      </c>
      <c r="Q17" s="76">
        <f t="shared" si="40"/>
        <v>121513.34885218614</v>
      </c>
      <c r="R17" s="76">
        <f t="shared" si="41"/>
        <v>4870.982032186148</v>
      </c>
      <c r="S17" s="76">
        <f t="shared" si="42"/>
        <v>122529.33739973963</v>
      </c>
      <c r="T17" s="76">
        <f t="shared" si="43"/>
        <v>-1015.9885475534829</v>
      </c>
      <c r="U17" s="79">
        <f t="shared" si="44"/>
        <v>54.172751307898849</v>
      </c>
      <c r="V17" s="79">
        <f t="shared" si="45"/>
        <v>122529.33739973963</v>
      </c>
      <c r="W17" s="79">
        <f t="shared" si="46"/>
        <v>5886.9705797396309</v>
      </c>
    </row>
    <row r="18" spans="1:23" s="68" customFormat="1">
      <c r="A18" s="333"/>
      <c r="B18" s="140" t="str">
        <f>'Tariff Changes'!$A$71</f>
        <v>Item 240, pg 39</v>
      </c>
      <c r="C18" s="145" t="s">
        <v>158</v>
      </c>
      <c r="D18" s="65"/>
      <c r="E18" s="78"/>
      <c r="F18" s="146">
        <f>265.39625*12</f>
        <v>3184.7550000000001</v>
      </c>
      <c r="G18" s="148">
        <f>References!B31</f>
        <v>613</v>
      </c>
      <c r="H18" s="77">
        <f t="shared" si="25"/>
        <v>1952254.8150000002</v>
      </c>
      <c r="I18" s="55">
        <f t="shared" si="26"/>
        <v>1452295.1120501938</v>
      </c>
      <c r="J18" s="76">
        <f>(References!$C$49*I18)</f>
        <v>10471.04775788191</v>
      </c>
      <c r="K18" s="76">
        <f>J18/References!$G$52</f>
        <v>10742.566116475837</v>
      </c>
      <c r="L18" s="76">
        <f t="shared" si="37"/>
        <v>3.3731216738731349</v>
      </c>
      <c r="M18" s="76">
        <f>'Tariff Changes'!C79</f>
        <v>64.25</v>
      </c>
      <c r="N18" s="310">
        <f t="shared" si="38"/>
        <v>67.623121673873129</v>
      </c>
      <c r="O18" s="76">
        <f>'Tariff Changes'!E79</f>
        <v>67.12141570995361</v>
      </c>
      <c r="P18" s="76">
        <f t="shared" si="39"/>
        <v>204620.50875000001</v>
      </c>
      <c r="Q18" s="76">
        <f t="shared" si="40"/>
        <v>213765.2642893533</v>
      </c>
      <c r="R18" s="76">
        <f t="shared" si="41"/>
        <v>9144.7555393532966</v>
      </c>
      <c r="S18" s="76">
        <f t="shared" si="42"/>
        <v>215363.07486647583</v>
      </c>
      <c r="T18" s="76">
        <f t="shared" si="43"/>
        <v>-1597.8105771225237</v>
      </c>
      <c r="U18" s="79">
        <f t="shared" si="44"/>
        <v>67.623121673873129</v>
      </c>
      <c r="V18" s="79">
        <f t="shared" si="45"/>
        <v>215363.07486647583</v>
      </c>
      <c r="W18" s="79">
        <f t="shared" si="46"/>
        <v>10742.56611647582</v>
      </c>
    </row>
    <row r="19" spans="1:23" s="68" customFormat="1">
      <c r="A19" s="333"/>
      <c r="B19" s="140" t="str">
        <f>'Tariff Changes'!$A$71</f>
        <v>Item 240, pg 39</v>
      </c>
      <c r="C19" s="145" t="s">
        <v>159</v>
      </c>
      <c r="D19" s="65"/>
      <c r="E19" s="78"/>
      <c r="F19" s="146">
        <f>121.324*12</f>
        <v>1455.8879999999999</v>
      </c>
      <c r="G19" s="148">
        <f>References!B32</f>
        <v>840</v>
      </c>
      <c r="H19" s="77">
        <f t="shared" si="25"/>
        <v>1222945.92</v>
      </c>
      <c r="I19" s="55">
        <f t="shared" si="26"/>
        <v>909757.46007711964</v>
      </c>
      <c r="J19" s="76">
        <f>(References!$C$49*I19)</f>
        <v>6559.3512871560397</v>
      </c>
      <c r="K19" s="76">
        <f>J19/References!$G$52</f>
        <v>6729.4378282654488</v>
      </c>
      <c r="L19" s="76">
        <f t="shared" si="37"/>
        <v>4.6222221958457306</v>
      </c>
      <c r="M19" s="76">
        <f>'Tariff Changes'!C80</f>
        <v>95.9</v>
      </c>
      <c r="N19" s="310">
        <f t="shared" si="38"/>
        <v>100.52222219584574</v>
      </c>
      <c r="O19" s="76">
        <f>'Tariff Changes'!E80</f>
        <v>100.20712356493041</v>
      </c>
      <c r="P19" s="76">
        <f t="shared" si="39"/>
        <v>139619.65919999999</v>
      </c>
      <c r="Q19" s="76">
        <f t="shared" si="40"/>
        <v>145890.3487126994</v>
      </c>
      <c r="R19" s="76">
        <f t="shared" si="41"/>
        <v>6270.6895126994059</v>
      </c>
      <c r="S19" s="76">
        <f t="shared" si="42"/>
        <v>146349.09702826545</v>
      </c>
      <c r="T19" s="76">
        <f t="shared" si="43"/>
        <v>-458.74831556604477</v>
      </c>
      <c r="U19" s="79">
        <f t="shared" si="44"/>
        <v>100.52222219584574</v>
      </c>
      <c r="V19" s="79">
        <f t="shared" si="45"/>
        <v>146349.09702826545</v>
      </c>
      <c r="W19" s="79">
        <f t="shared" si="46"/>
        <v>6729.4378282654507</v>
      </c>
    </row>
    <row r="20" spans="1:23" s="68" customFormat="1" ht="15" customHeight="1">
      <c r="A20" s="333"/>
      <c r="B20" s="140" t="str">
        <f>'Tariff Changes'!$A$71</f>
        <v>Item 240, pg 39</v>
      </c>
      <c r="C20" s="145" t="s">
        <v>160</v>
      </c>
      <c r="D20" s="65"/>
      <c r="E20" s="78"/>
      <c r="F20" s="146">
        <f>100.74225*12</f>
        <v>1208.9069999999999</v>
      </c>
      <c r="G20" s="148">
        <f>References!B33</f>
        <v>980</v>
      </c>
      <c r="H20" s="77">
        <f t="shared" si="25"/>
        <v>1184728.8599999999</v>
      </c>
      <c r="I20" s="55">
        <f t="shared" si="26"/>
        <v>881327.5394497097</v>
      </c>
      <c r="J20" s="76">
        <f>(References!$C$49*I20)</f>
        <v>6354.371559432414</v>
      </c>
      <c r="K20" s="76">
        <f>J20/References!$G$52</f>
        <v>6519.1428961321544</v>
      </c>
      <c r="L20" s="76">
        <f t="shared" si="37"/>
        <v>5.3925925618200203</v>
      </c>
      <c r="M20" s="76">
        <f>'Tariff Changes'!C81</f>
        <v>121.19</v>
      </c>
      <c r="N20" s="310">
        <f t="shared" si="38"/>
        <v>126.58259256182002</v>
      </c>
      <c r="O20" s="76">
        <f>'Tariff Changes'!E81</f>
        <v>126.93283141990722</v>
      </c>
      <c r="P20" s="76">
        <f t="shared" si="39"/>
        <v>146507.43932999999</v>
      </c>
      <c r="Q20" s="76">
        <f t="shared" si="40"/>
        <v>153449.98843334577</v>
      </c>
      <c r="R20" s="76">
        <f t="shared" si="41"/>
        <v>6942.5491033457802</v>
      </c>
      <c r="S20" s="76">
        <f t="shared" si="42"/>
        <v>153026.58222613216</v>
      </c>
      <c r="T20" s="76">
        <f t="shared" si="43"/>
        <v>423.40620721361483</v>
      </c>
      <c r="U20" s="79">
        <f t="shared" si="44"/>
        <v>126.58259256182002</v>
      </c>
      <c r="V20" s="79">
        <f t="shared" si="45"/>
        <v>153026.58222613216</v>
      </c>
      <c r="W20" s="79">
        <f t="shared" si="46"/>
        <v>6519.1428961321653</v>
      </c>
    </row>
    <row r="21" spans="1:23" s="68" customFormat="1">
      <c r="A21" s="333"/>
      <c r="B21" s="140" t="str">
        <f>'Tariff Changes'!$A$71</f>
        <v>Item 240, pg 39</v>
      </c>
      <c r="C21" s="318" t="s">
        <v>254</v>
      </c>
      <c r="D21" s="65"/>
      <c r="E21" s="78"/>
      <c r="F21" s="146">
        <f>5*12</f>
        <v>60</v>
      </c>
      <c r="G21" s="148">
        <f>References!B27</f>
        <v>175</v>
      </c>
      <c r="H21" s="77">
        <f t="shared" si="25"/>
        <v>10500</v>
      </c>
      <c r="I21" s="55">
        <f t="shared" si="26"/>
        <v>7811.0186023677625</v>
      </c>
      <c r="J21" s="76">
        <f>(References!$C$49*I21)</f>
        <v>56.317444123071631</v>
      </c>
      <c r="K21" s="76">
        <f>J21/References!$G$52</f>
        <v>57.777777448071646</v>
      </c>
      <c r="L21" s="76">
        <f t="shared" si="37"/>
        <v>0.96296295746786076</v>
      </c>
      <c r="M21" s="317">
        <f>'Tariff Changes'!C86</f>
        <v>20.98</v>
      </c>
      <c r="N21" s="317">
        <f t="shared" si="38"/>
        <v>21.942962957467863</v>
      </c>
      <c r="O21" s="317">
        <f>'Tariff Changes'!E86</f>
        <v>21.7</v>
      </c>
      <c r="P21" s="76">
        <f t="shared" si="39"/>
        <v>1258.8</v>
      </c>
      <c r="Q21" s="76">
        <f t="shared" si="40"/>
        <v>1302</v>
      </c>
      <c r="R21" s="76">
        <f t="shared" si="41"/>
        <v>43.200000000000045</v>
      </c>
      <c r="S21" s="76">
        <f t="shared" si="42"/>
        <v>1316.5777774480719</v>
      </c>
      <c r="T21" s="76">
        <f t="shared" si="43"/>
        <v>-14.577777448071856</v>
      </c>
      <c r="U21" s="79">
        <f t="shared" si="44"/>
        <v>21.942962957467863</v>
      </c>
      <c r="V21" s="79">
        <f t="shared" si="45"/>
        <v>1316.5777774480719</v>
      </c>
      <c r="W21" s="79">
        <f t="shared" si="46"/>
        <v>57.777777448071902</v>
      </c>
    </row>
    <row r="22" spans="1:23" s="68" customFormat="1">
      <c r="A22" s="333"/>
      <c r="B22" s="140" t="str">
        <f>'Tariff Changes'!$A$71</f>
        <v>Item 240, pg 39</v>
      </c>
      <c r="C22" s="318" t="s">
        <v>286</v>
      </c>
      <c r="D22" s="65"/>
      <c r="E22" s="78"/>
      <c r="F22" s="146">
        <f>1*12</f>
        <v>12</v>
      </c>
      <c r="G22" s="148">
        <f>References!B28</f>
        <v>250</v>
      </c>
      <c r="H22" s="77">
        <f t="shared" si="25"/>
        <v>3000</v>
      </c>
      <c r="I22" s="55">
        <f t="shared" si="26"/>
        <v>2231.7196006765034</v>
      </c>
      <c r="J22" s="76">
        <f>(References!$C$49*I22)</f>
        <v>16.090698320877607</v>
      </c>
      <c r="K22" s="76">
        <f>J22/References!$G$52</f>
        <v>16.507936413734754</v>
      </c>
      <c r="L22" s="76">
        <f t="shared" si="37"/>
        <v>1.3756613678112295</v>
      </c>
      <c r="M22" s="317">
        <v>27.95</v>
      </c>
      <c r="N22" s="317">
        <f t="shared" si="38"/>
        <v>29.325661367811229</v>
      </c>
      <c r="O22" s="317">
        <v>29.03</v>
      </c>
      <c r="P22" s="76"/>
      <c r="Q22" s="76"/>
      <c r="R22" s="76"/>
      <c r="S22" s="76"/>
      <c r="T22" s="76"/>
      <c r="U22" s="79"/>
      <c r="V22" s="79"/>
      <c r="W22" s="79"/>
    </row>
    <row r="23" spans="1:23" s="68" customFormat="1">
      <c r="A23" s="333"/>
      <c r="B23" s="140" t="str">
        <f>'Tariff Changes'!$A$71</f>
        <v>Item 240, pg 39</v>
      </c>
      <c r="C23" s="319" t="s">
        <v>255</v>
      </c>
      <c r="D23" s="65"/>
      <c r="E23" s="78"/>
      <c r="F23" s="146">
        <f>4*12</f>
        <v>48</v>
      </c>
      <c r="G23" s="143">
        <f>References!B29</f>
        <v>324</v>
      </c>
      <c r="H23" s="77">
        <f>G23*F23</f>
        <v>15552</v>
      </c>
      <c r="I23" s="55">
        <f t="shared" si="26"/>
        <v>11569.234409906994</v>
      </c>
      <c r="J23" s="76">
        <f>(References!$C$49*I23)</f>
        <v>83.414180095429515</v>
      </c>
      <c r="K23" s="76">
        <f>J23/References!$G$52</f>
        <v>85.577142368800963</v>
      </c>
      <c r="L23" s="76">
        <f>K23/F23</f>
        <v>1.7828571326833533</v>
      </c>
      <c r="M23" s="317">
        <v>39.799999999999997</v>
      </c>
      <c r="N23" s="317">
        <f>L23+M23</f>
        <v>41.582857132683351</v>
      </c>
      <c r="O23" s="317">
        <f>'Tariff Changes'!E88</f>
        <v>41.24</v>
      </c>
      <c r="P23" s="76">
        <f>M23*F23</f>
        <v>1910.3999999999999</v>
      </c>
      <c r="Q23" s="76">
        <f>O23*F23</f>
        <v>1979.52</v>
      </c>
      <c r="R23" s="76">
        <f t="shared" si="41"/>
        <v>69.120000000000118</v>
      </c>
      <c r="S23" s="76">
        <f>N23*F23</f>
        <v>1995.9771423688007</v>
      </c>
      <c r="T23" s="76">
        <f t="shared" si="43"/>
        <v>-16.45714236880076</v>
      </c>
      <c r="U23" s="79">
        <f>N23</f>
        <v>41.582857132683351</v>
      </c>
      <c r="V23" s="79">
        <f>U23*F23</f>
        <v>1995.9771423688007</v>
      </c>
      <c r="W23" s="79">
        <f t="shared" si="46"/>
        <v>85.577142368800878</v>
      </c>
    </row>
    <row r="24" spans="1:23" s="68" customFormat="1">
      <c r="A24" s="333"/>
      <c r="B24" s="140" t="str">
        <f>'Tariff Changes'!$A$71</f>
        <v>Item 240, pg 39</v>
      </c>
      <c r="C24" s="318" t="s">
        <v>256</v>
      </c>
      <c r="D24" s="77"/>
      <c r="E24" s="78"/>
      <c r="F24" s="147">
        <f>4*12</f>
        <v>48</v>
      </c>
      <c r="G24" s="143">
        <f>References!B30</f>
        <v>473</v>
      </c>
      <c r="H24" s="77">
        <f>G24*F24</f>
        <v>22704</v>
      </c>
      <c r="I24" s="55">
        <f t="shared" si="26"/>
        <v>16889.653937919778</v>
      </c>
      <c r="J24" s="76">
        <f>(References!$C$49*I24)</f>
        <v>121.77440489240173</v>
      </c>
      <c r="K24" s="76">
        <f>J24/References!$G$52</f>
        <v>124.93206277914462</v>
      </c>
      <c r="L24" s="76">
        <f>K24/F24</f>
        <v>2.602751307898846</v>
      </c>
      <c r="M24" s="317">
        <v>54.92</v>
      </c>
      <c r="N24" s="317">
        <f>L24+M24</f>
        <v>57.522751307898851</v>
      </c>
      <c r="O24" s="317">
        <f>'Tariff Changes'!E89</f>
        <v>57.07</v>
      </c>
      <c r="P24" s="76">
        <f>M24*F24</f>
        <v>2636.16</v>
      </c>
      <c r="Q24" s="76">
        <f>O24*F24</f>
        <v>2739.36</v>
      </c>
      <c r="R24" s="76">
        <f t="shared" si="41"/>
        <v>103.20000000000027</v>
      </c>
      <c r="S24" s="76">
        <f>N24*F24</f>
        <v>2761.0920627791447</v>
      </c>
      <c r="T24" s="76">
        <f t="shared" si="43"/>
        <v>-21.732062779144599</v>
      </c>
      <c r="U24" s="79">
        <f>N24</f>
        <v>57.522751307898851</v>
      </c>
      <c r="V24" s="79">
        <f>U24*F24</f>
        <v>2761.0920627791447</v>
      </c>
      <c r="W24" s="79">
        <f t="shared" si="46"/>
        <v>124.93206277914487</v>
      </c>
    </row>
    <row r="25" spans="1:23" s="68" customFormat="1">
      <c r="A25" s="333"/>
      <c r="B25" s="140" t="str">
        <f>'Tariff Changes'!$A$71</f>
        <v>Item 240, pg 39</v>
      </c>
      <c r="C25" s="318" t="s">
        <v>257</v>
      </c>
      <c r="D25" s="77"/>
      <c r="E25" s="78"/>
      <c r="F25" s="147">
        <f>6*12</f>
        <v>72</v>
      </c>
      <c r="G25" s="143">
        <f>References!B31</f>
        <v>613</v>
      </c>
      <c r="H25" s="77">
        <f>G25*F25</f>
        <v>44136</v>
      </c>
      <c r="I25" s="55">
        <f t="shared" si="26"/>
        <v>32833.058765152717</v>
      </c>
      <c r="J25" s="76">
        <f>(References!$C$49*I25)</f>
        <v>236.72635369675135</v>
      </c>
      <c r="K25" s="76">
        <f>J25/References!$G$52</f>
        <v>242.86476051886569</v>
      </c>
      <c r="L25" s="76">
        <f>K25/F25</f>
        <v>3.3731216738731344</v>
      </c>
      <c r="M25" s="317">
        <v>67.42</v>
      </c>
      <c r="N25" s="317">
        <f>L25+M25</f>
        <v>70.793121673873131</v>
      </c>
      <c r="O25" s="317">
        <f>'Tariff Changes'!E90</f>
        <v>70.290000000000006</v>
      </c>
      <c r="P25" s="76">
        <f>M25*F25</f>
        <v>4854.24</v>
      </c>
      <c r="Q25" s="76">
        <f>O25*F25</f>
        <v>5060.88</v>
      </c>
      <c r="R25" s="76">
        <f t="shared" si="41"/>
        <v>206.64000000000033</v>
      </c>
      <c r="S25" s="76">
        <f>N25*F25</f>
        <v>5097.1047605188651</v>
      </c>
      <c r="T25" s="76">
        <f t="shared" si="43"/>
        <v>-36.224760518864969</v>
      </c>
      <c r="U25" s="79">
        <f>N25</f>
        <v>70.793121673873131</v>
      </c>
      <c r="V25" s="79">
        <f>U25*F25</f>
        <v>5097.1047605188651</v>
      </c>
      <c r="W25" s="79">
        <f t="shared" si="46"/>
        <v>242.8647605188653</v>
      </c>
    </row>
    <row r="26" spans="1:23" s="68" customFormat="1">
      <c r="A26" s="259"/>
      <c r="B26" s="140" t="str">
        <f>'Tariff Changes'!$A$71</f>
        <v>Item 240, pg 39</v>
      </c>
      <c r="C26" s="318" t="s">
        <v>258</v>
      </c>
      <c r="D26" s="77"/>
      <c r="E26" s="78"/>
      <c r="F26" s="147">
        <f>2*12</f>
        <v>24</v>
      </c>
      <c r="G26" s="143">
        <f>References!B32</f>
        <v>840</v>
      </c>
      <c r="H26" s="77">
        <f>G26*F26</f>
        <v>20160</v>
      </c>
      <c r="I26" s="55">
        <f t="shared" si="26"/>
        <v>14997.155716546104</v>
      </c>
      <c r="J26" s="76">
        <f>(References!$C$49*I26)</f>
        <v>108.12949271629753</v>
      </c>
      <c r="K26" s="76">
        <f>J26/References!$G$52</f>
        <v>110.93333270029756</v>
      </c>
      <c r="L26" s="76">
        <f>K26/F26</f>
        <v>4.6222221958457315</v>
      </c>
      <c r="M26" s="317">
        <v>101.71</v>
      </c>
      <c r="N26" s="317">
        <f>L26+M26</f>
        <v>106.33222219584573</v>
      </c>
      <c r="O26" s="317">
        <f>'Tariff Changes'!E91</f>
        <v>106.02</v>
      </c>
      <c r="P26" s="76">
        <f>M26*F26</f>
        <v>2441.04</v>
      </c>
      <c r="Q26" s="76">
        <f>O26*F26</f>
        <v>2544.48</v>
      </c>
      <c r="R26" s="76">
        <f t="shared" ref="R26:R28" si="47">Q26-P26</f>
        <v>103.44000000000005</v>
      </c>
      <c r="S26" s="76">
        <f>N26*F26</f>
        <v>2551.9733327002978</v>
      </c>
      <c r="T26" s="76">
        <f t="shared" ref="T26:T28" si="48">Q26-S26</f>
        <v>-7.4933327002977421</v>
      </c>
      <c r="U26" s="79">
        <f>N26</f>
        <v>106.33222219584573</v>
      </c>
      <c r="V26" s="79">
        <f>U26*F26</f>
        <v>2551.9733327002978</v>
      </c>
      <c r="W26" s="79">
        <f t="shared" ref="W26:W28" si="49">V26-P26</f>
        <v>110.9333327002978</v>
      </c>
    </row>
    <row r="27" spans="1:23" s="68" customFormat="1">
      <c r="A27" s="259"/>
      <c r="B27" s="140" t="str">
        <f>'Tariff Changes'!$A$71</f>
        <v>Item 240, pg 39</v>
      </c>
      <c r="C27" s="318" t="s">
        <v>259</v>
      </c>
      <c r="D27" s="65"/>
      <c r="E27" s="78"/>
      <c r="F27" s="146">
        <f>6*12</f>
        <v>72</v>
      </c>
      <c r="G27" s="143">
        <f>References!B33</f>
        <v>980</v>
      </c>
      <c r="H27" s="77">
        <f>G27*F27</f>
        <v>70560</v>
      </c>
      <c r="I27" s="55">
        <f t="shared" si="26"/>
        <v>52490.045007911365</v>
      </c>
      <c r="J27" s="76">
        <f>(References!$C$49*I27)</f>
        <v>378.45322450704134</v>
      </c>
      <c r="K27" s="76">
        <f>J27/References!$G$52</f>
        <v>388.26666445104144</v>
      </c>
      <c r="L27" s="76">
        <f>K27/F27</f>
        <v>5.3925925618200203</v>
      </c>
      <c r="M27" s="317">
        <v>123.82</v>
      </c>
      <c r="N27" s="317">
        <f>L27+M27</f>
        <v>129.21259256182</v>
      </c>
      <c r="O27" s="317">
        <f>'Tariff Changes'!E92</f>
        <v>129.56</v>
      </c>
      <c r="P27" s="76">
        <f>M27*F27</f>
        <v>8915.0399999999991</v>
      </c>
      <c r="Q27" s="76">
        <f>O27*F27</f>
        <v>9328.32</v>
      </c>
      <c r="R27" s="76">
        <f t="shared" si="47"/>
        <v>413.28000000000065</v>
      </c>
      <c r="S27" s="76">
        <f>N27*F27</f>
        <v>9303.30666445104</v>
      </c>
      <c r="T27" s="76">
        <f t="shared" si="48"/>
        <v>25.013335548959731</v>
      </c>
      <c r="U27" s="79">
        <f>N27</f>
        <v>129.21259256182</v>
      </c>
      <c r="V27" s="79">
        <f>U27*F27</f>
        <v>9303.30666445104</v>
      </c>
      <c r="W27" s="79">
        <f t="shared" si="49"/>
        <v>388.26666445104092</v>
      </c>
    </row>
    <row r="28" spans="1:23" s="68" customFormat="1">
      <c r="A28" s="259"/>
      <c r="B28" s="140" t="str">
        <f>'Tariff Changes'!A94</f>
        <v>Item 245, pg 40</v>
      </c>
      <c r="C28" s="145" t="s">
        <v>152</v>
      </c>
      <c r="D28" s="65"/>
      <c r="E28" s="78"/>
      <c r="F28" s="146">
        <f>368.305*12</f>
        <v>4419.66</v>
      </c>
      <c r="G28" s="148">
        <f>References!B26</f>
        <v>29</v>
      </c>
      <c r="H28" s="77">
        <f t="shared" ref="H28" si="50">G28*F28</f>
        <v>128170.14</v>
      </c>
      <c r="I28" s="55">
        <f t="shared" si="26"/>
        <v>95346.604553150522</v>
      </c>
      <c r="J28" s="76">
        <f>(References!$C$49*I28)</f>
        <v>687.44901882821603</v>
      </c>
      <c r="K28" s="76">
        <f>J28/References!$G$52</f>
        <v>705.27484041982723</v>
      </c>
      <c r="L28" s="76">
        <f t="shared" ref="L28" si="51">K28/F28</f>
        <v>0.15957671866610265</v>
      </c>
      <c r="M28" s="76">
        <f>'Tariff Changes'!C95</f>
        <v>3.77</v>
      </c>
      <c r="N28" s="310">
        <f t="shared" ref="N28" si="52">L28+M28</f>
        <v>3.9295767186661026</v>
      </c>
      <c r="O28" s="76">
        <f>'Tariff Changes'!E95</f>
        <v>3.8834209205431676</v>
      </c>
      <c r="P28" s="76">
        <f t="shared" ref="P28" si="53">M28*F28</f>
        <v>16662.118200000001</v>
      </c>
      <c r="Q28" s="76">
        <f t="shared" ref="Q28" si="54">O28*F28</f>
        <v>17163.400105687815</v>
      </c>
      <c r="R28" s="76">
        <f t="shared" si="47"/>
        <v>501.28190568781429</v>
      </c>
      <c r="S28" s="76">
        <f t="shared" ref="S28" si="55">N28*F28</f>
        <v>17367.393040419825</v>
      </c>
      <c r="T28" s="76">
        <f t="shared" si="48"/>
        <v>-203.99293473201033</v>
      </c>
      <c r="U28" s="79">
        <f t="shared" ref="U28" si="56">N28</f>
        <v>3.9295767186661026</v>
      </c>
      <c r="V28" s="79">
        <f t="shared" ref="V28" si="57">U28*F28</f>
        <v>17367.393040419825</v>
      </c>
      <c r="W28" s="79">
        <f t="shared" si="49"/>
        <v>705.27484041982461</v>
      </c>
    </row>
    <row r="29" spans="1:23" s="68" customFormat="1">
      <c r="A29" s="259"/>
      <c r="B29" s="140"/>
      <c r="C29" s="156"/>
      <c r="D29" s="65"/>
      <c r="E29" s="78"/>
      <c r="F29" s="146"/>
      <c r="G29" s="143"/>
      <c r="H29" s="77"/>
      <c r="I29" s="55"/>
      <c r="J29" s="76"/>
      <c r="K29" s="76"/>
      <c r="L29" s="76"/>
      <c r="M29" s="76"/>
      <c r="N29" s="310"/>
      <c r="O29" s="76"/>
      <c r="P29" s="76"/>
      <c r="Q29" s="76"/>
      <c r="R29" s="76"/>
      <c r="S29" s="76"/>
      <c r="T29" s="76"/>
      <c r="U29" s="79"/>
      <c r="V29" s="79"/>
      <c r="W29" s="79"/>
    </row>
    <row r="30" spans="1:23" s="68" customFormat="1">
      <c r="A30" s="71"/>
      <c r="B30" s="140"/>
      <c r="C30" s="145"/>
      <c r="D30" s="65"/>
      <c r="E30" s="78"/>
      <c r="F30" s="146"/>
      <c r="G30" s="143"/>
      <c r="H30" s="77"/>
      <c r="I30" s="55"/>
      <c r="J30" s="76"/>
      <c r="K30" s="76"/>
      <c r="L30" s="76"/>
      <c r="M30" s="76"/>
      <c r="N30" s="310"/>
      <c r="O30" s="76"/>
      <c r="P30" s="76"/>
      <c r="Q30" s="76"/>
      <c r="R30" s="76"/>
      <c r="S30" s="76"/>
      <c r="T30" s="76"/>
      <c r="U30" s="79"/>
      <c r="V30" s="79"/>
      <c r="W30" s="79"/>
    </row>
    <row r="31" spans="1:23" s="68" customFormat="1">
      <c r="A31" s="59"/>
      <c r="B31" s="85"/>
      <c r="C31" s="60" t="s">
        <v>17</v>
      </c>
      <c r="D31" s="61">
        <f>SUM(D13:D30)</f>
        <v>0</v>
      </c>
      <c r="E31" s="61"/>
      <c r="F31" s="61">
        <f>SUM(F13:F30)</f>
        <v>31091.634000000002</v>
      </c>
      <c r="G31" s="133"/>
      <c r="H31" s="61">
        <f>SUM(H13:H30)</f>
        <v>8281791.2460000003</v>
      </c>
      <c r="I31" s="61">
        <f>SUM(I13:I30)</f>
        <v>6160878.6174697606</v>
      </c>
      <c r="J31" s="81"/>
      <c r="K31" s="81"/>
      <c r="L31" s="81"/>
      <c r="M31" s="81"/>
      <c r="N31" s="7"/>
      <c r="O31" s="81"/>
      <c r="P31" s="61">
        <f>SUM(P13:P30)</f>
        <v>933101.81106000021</v>
      </c>
      <c r="Q31" s="150">
        <f>SUM(Q13:Q30)</f>
        <v>972608.80756846687</v>
      </c>
      <c r="R31" s="150">
        <f>SUM(R13:R30)</f>
        <v>39506.996508467004</v>
      </c>
      <c r="S31" s="150">
        <f>SUM(S13:S30)</f>
        <v>978657.06421718397</v>
      </c>
      <c r="T31" s="150">
        <f>SUM(T13:T30)</f>
        <v>-6048.2566487169788</v>
      </c>
      <c r="U31" s="150"/>
      <c r="V31" s="150">
        <f>SUM(V13:V30)</f>
        <v>978657.06421718397</v>
      </c>
      <c r="W31" s="150">
        <f>SUM(W13:W30)</f>
        <v>45555.253157183979</v>
      </c>
    </row>
    <row r="32" spans="1:23" s="68" customFormat="1" ht="14.45" customHeight="1">
      <c r="A32" s="332" t="s">
        <v>141</v>
      </c>
      <c r="B32" s="140" t="str">
        <f>'Tariff Changes'!$A$22</f>
        <v>Item 105, pg 25</v>
      </c>
      <c r="C32" s="145" t="s">
        <v>260</v>
      </c>
      <c r="D32" s="65"/>
      <c r="E32" s="78"/>
      <c r="F32" s="146">
        <f>249.1475*12</f>
        <v>2989.77</v>
      </c>
      <c r="G32" s="143">
        <f>References!B14</f>
        <v>34</v>
      </c>
      <c r="H32" s="77">
        <f t="shared" ref="H32:H38" si="58">G32*F32</f>
        <v>101652.18</v>
      </c>
      <c r="I32" s="55">
        <f t="shared" ref="I32:I41" si="59">$D$108*H32</f>
        <v>75619.720852498678</v>
      </c>
      <c r="J32" s="76">
        <f>(References!$C$49*I32)</f>
        <v>545.21818734651606</v>
      </c>
      <c r="K32" s="76">
        <f>J32/References!$G$52</f>
        <v>559.35590791917321</v>
      </c>
      <c r="L32" s="76">
        <f t="shared" ref="L32:L38" si="60">K32/F32</f>
        <v>0.1870899460223272</v>
      </c>
      <c r="M32" s="76">
        <f>'Tariff Changes'!C24</f>
        <v>4.05</v>
      </c>
      <c r="N32" s="310">
        <f t="shared" ref="N32:N38" si="61">L32+M32</f>
        <v>4.2370899460223272</v>
      </c>
      <c r="O32" s="76">
        <f>'Tariff Changes'!E24</f>
        <v>4.1634209205431674</v>
      </c>
      <c r="P32" s="76">
        <f t="shared" ref="P32:P38" si="62">M32*F32</f>
        <v>12108.568499999999</v>
      </c>
      <c r="Q32" s="76">
        <f t="shared" ref="Q32:Q38" si="63">O32*F32</f>
        <v>12447.670965612346</v>
      </c>
      <c r="R32" s="76">
        <f t="shared" ref="R32:R38" si="64">Q32-P32</f>
        <v>339.10246561234635</v>
      </c>
      <c r="S32" s="76">
        <f t="shared" ref="S32:S38" si="65">N32*F32</f>
        <v>12667.924407919174</v>
      </c>
      <c r="T32" s="76">
        <f t="shared" ref="T32:T38" si="66">Q32-S32</f>
        <v>-220.25344230682822</v>
      </c>
      <c r="U32" s="79">
        <f t="shared" ref="U32:U38" si="67">N32</f>
        <v>4.2370899460223272</v>
      </c>
      <c r="V32" s="79">
        <f t="shared" ref="V32:V38" si="68">U32*F32</f>
        <v>12667.924407919174</v>
      </c>
      <c r="W32" s="79">
        <f t="shared" ref="W32:W38" si="69">V32-P32</f>
        <v>559.35590791917457</v>
      </c>
    </row>
    <row r="33" spans="1:25" s="68" customFormat="1">
      <c r="A33" s="333"/>
      <c r="B33" s="140" t="str">
        <f>'Tariff Changes'!$A$22</f>
        <v>Item 105, pg 25</v>
      </c>
      <c r="C33" s="145" t="s">
        <v>152</v>
      </c>
      <c r="D33" s="65"/>
      <c r="E33" s="78"/>
      <c r="F33" s="146">
        <f>1065.918*12</f>
        <v>12791.016</v>
      </c>
      <c r="G33" s="143">
        <f>References!B14</f>
        <v>34</v>
      </c>
      <c r="H33" s="77">
        <f t="shared" si="58"/>
        <v>434894.54399999999</v>
      </c>
      <c r="I33" s="55">
        <f t="shared" si="59"/>
        <v>323520.89269069</v>
      </c>
      <c r="J33" s="76">
        <f>(References!$C$49*I33)</f>
        <v>2332.5856362998775</v>
      </c>
      <c r="K33" s="76">
        <f>J33/References!$G$52</f>
        <v>2393.0704930107236</v>
      </c>
      <c r="L33" s="76">
        <f t="shared" si="60"/>
        <v>0.1870899460223272</v>
      </c>
      <c r="M33" s="76">
        <f>'Tariff Changes'!C25</f>
        <v>4.05</v>
      </c>
      <c r="N33" s="310">
        <f t="shared" si="61"/>
        <v>4.2370899460223272</v>
      </c>
      <c r="O33" s="76">
        <f>'Tariff Changes'!E25</f>
        <v>4.1634209205431674</v>
      </c>
      <c r="P33" s="76">
        <f t="shared" si="62"/>
        <v>51803.614799999996</v>
      </c>
      <c r="Q33" s="76">
        <f t="shared" si="63"/>
        <v>53254.383609402379</v>
      </c>
      <c r="R33" s="76">
        <f t="shared" si="64"/>
        <v>1450.7688094023833</v>
      </c>
      <c r="S33" s="76">
        <f t="shared" si="65"/>
        <v>54196.68529301072</v>
      </c>
      <c r="T33" s="76">
        <f t="shared" si="66"/>
        <v>-942.30168360834068</v>
      </c>
      <c r="U33" s="79">
        <f t="shared" si="67"/>
        <v>4.2370899460223272</v>
      </c>
      <c r="V33" s="79">
        <f t="shared" si="68"/>
        <v>54196.68529301072</v>
      </c>
      <c r="W33" s="79">
        <f t="shared" si="69"/>
        <v>2393.070493010724</v>
      </c>
    </row>
    <row r="34" spans="1:25" s="68" customFormat="1">
      <c r="A34" s="333"/>
      <c r="B34" s="140" t="str">
        <f>'Tariff Changes'!$A$22</f>
        <v>Item 105, pg 25</v>
      </c>
      <c r="C34" s="145" t="s">
        <v>153</v>
      </c>
      <c r="D34" s="65"/>
      <c r="E34" s="78"/>
      <c r="F34" s="146">
        <f>509.1275*12</f>
        <v>6109.53</v>
      </c>
      <c r="G34" s="143">
        <f>References!B22</f>
        <v>68</v>
      </c>
      <c r="H34" s="77">
        <f t="shared" si="58"/>
        <v>415448.04</v>
      </c>
      <c r="I34" s="55">
        <f t="shared" si="59"/>
        <v>309054.51131021202</v>
      </c>
      <c r="J34" s="76">
        <f>(References!$C$49*I34)</f>
        <v>2228.2830265466314</v>
      </c>
      <c r="K34" s="76">
        <f>J34/References!$G$52</f>
        <v>2286.0632758435781</v>
      </c>
      <c r="L34" s="76">
        <f t="shared" si="60"/>
        <v>0.37417989204465452</v>
      </c>
      <c r="M34" s="76">
        <f>'Tariff Changes'!C27</f>
        <v>10</v>
      </c>
      <c r="N34" s="310">
        <f t="shared" si="61"/>
        <v>10.374179892044655</v>
      </c>
      <c r="O34" s="76">
        <f>'Tariff Changes'!E27</f>
        <v>10.340262761629502</v>
      </c>
      <c r="P34" s="76">
        <f t="shared" si="62"/>
        <v>61095.299999999996</v>
      </c>
      <c r="Q34" s="76">
        <f t="shared" si="63"/>
        <v>63174.145550058289</v>
      </c>
      <c r="R34" s="76">
        <f t="shared" si="64"/>
        <v>2078.8455500582932</v>
      </c>
      <c r="S34" s="76">
        <f t="shared" si="65"/>
        <v>63381.363275843578</v>
      </c>
      <c r="T34" s="76">
        <f t="shared" si="66"/>
        <v>-207.21772578528908</v>
      </c>
      <c r="U34" s="79">
        <f t="shared" si="67"/>
        <v>10.374179892044655</v>
      </c>
      <c r="V34" s="79">
        <f t="shared" si="68"/>
        <v>63381.363275843578</v>
      </c>
      <c r="W34" s="79">
        <f t="shared" si="69"/>
        <v>2286.0632758435822</v>
      </c>
    </row>
    <row r="35" spans="1:25" s="68" customFormat="1">
      <c r="A35" s="333"/>
      <c r="B35" s="140" t="str">
        <f>'Tariff Changes'!$A$22</f>
        <v>Item 105, pg 25</v>
      </c>
      <c r="C35" s="145" t="s">
        <v>154</v>
      </c>
      <c r="D35" s="65"/>
      <c r="E35" s="78"/>
      <c r="F35" s="146">
        <f>14.08225*12</f>
        <v>168.98699999999999</v>
      </c>
      <c r="G35" s="143">
        <f>References!B27</f>
        <v>175</v>
      </c>
      <c r="H35" s="77">
        <f t="shared" si="58"/>
        <v>29572.724999999999</v>
      </c>
      <c r="I35" s="55">
        <f t="shared" si="59"/>
        <v>21999.343342638684</v>
      </c>
      <c r="J35" s="76">
        <f>(References!$C$49*I35)</f>
        <v>158.6152655004251</v>
      </c>
      <c r="K35" s="76">
        <f>J35/References!$G$52</f>
        <v>162.72822129362137</v>
      </c>
      <c r="L35" s="76">
        <f t="shared" si="60"/>
        <v>0.96296295746786076</v>
      </c>
      <c r="M35" s="76">
        <f>'Tariff Changes'!C28</f>
        <v>21.22</v>
      </c>
      <c r="N35" s="310">
        <f t="shared" si="61"/>
        <v>22.182962957467861</v>
      </c>
      <c r="O35" s="76">
        <f>'Tariff Changes'!E28</f>
        <v>21.937853927488401</v>
      </c>
      <c r="P35" s="76">
        <f t="shared" si="62"/>
        <v>3585.9041399999996</v>
      </c>
      <c r="Q35" s="76">
        <f t="shared" si="63"/>
        <v>3707.2121216444825</v>
      </c>
      <c r="R35" s="76">
        <f t="shared" si="64"/>
        <v>121.30798164448288</v>
      </c>
      <c r="S35" s="76">
        <f t="shared" si="65"/>
        <v>3748.6323612936212</v>
      </c>
      <c r="T35" s="76">
        <f t="shared" si="66"/>
        <v>-41.420239649138693</v>
      </c>
      <c r="U35" s="79">
        <f t="shared" si="67"/>
        <v>22.182962957467861</v>
      </c>
      <c r="V35" s="79">
        <f t="shared" si="68"/>
        <v>3748.6323612936212</v>
      </c>
      <c r="W35" s="79">
        <f t="shared" si="69"/>
        <v>162.72822129362157</v>
      </c>
    </row>
    <row r="36" spans="1:25" s="68" customFormat="1">
      <c r="A36" s="333"/>
      <c r="B36" s="140" t="str">
        <f>'Tariff Changes'!$A$22</f>
        <v>Item 105, pg 25</v>
      </c>
      <c r="C36" s="145" t="s">
        <v>155</v>
      </c>
      <c r="D36" s="145"/>
      <c r="E36" s="78"/>
      <c r="F36" s="146">
        <f>4.333*12</f>
        <v>51.996000000000002</v>
      </c>
      <c r="G36" s="143">
        <f>References!B28</f>
        <v>250</v>
      </c>
      <c r="H36" s="77">
        <f t="shared" si="58"/>
        <v>12999</v>
      </c>
      <c r="I36" s="55">
        <f t="shared" si="59"/>
        <v>9670.0410297312901</v>
      </c>
      <c r="J36" s="76">
        <f>(References!$C$49*I36)</f>
        <v>69.720995824362674</v>
      </c>
      <c r="K36" s="76">
        <f>J36/References!$G$52</f>
        <v>71.528888480712695</v>
      </c>
      <c r="L36" s="76">
        <f t="shared" si="60"/>
        <v>1.3756613678112295</v>
      </c>
      <c r="M36" s="76">
        <f>'Tariff Changes'!C29</f>
        <v>28.7</v>
      </c>
      <c r="N36" s="310">
        <f t="shared" si="61"/>
        <v>30.075661367811229</v>
      </c>
      <c r="O36" s="76">
        <f>'Tariff Changes'!E29</f>
        <v>29.776780891232601</v>
      </c>
      <c r="P36" s="76">
        <f t="shared" si="62"/>
        <v>1492.2852</v>
      </c>
      <c r="Q36" s="76">
        <f t="shared" si="63"/>
        <v>1548.2734992205303</v>
      </c>
      <c r="R36" s="76">
        <f t="shared" si="64"/>
        <v>55.98829922053028</v>
      </c>
      <c r="S36" s="76">
        <f t="shared" si="65"/>
        <v>1563.8140884807128</v>
      </c>
      <c r="T36" s="76">
        <f t="shared" si="66"/>
        <v>-15.540589260182514</v>
      </c>
      <c r="U36" s="79">
        <f t="shared" si="67"/>
        <v>30.075661367811229</v>
      </c>
      <c r="V36" s="79">
        <f t="shared" si="68"/>
        <v>1563.8140884807128</v>
      </c>
      <c r="W36" s="79">
        <f t="shared" si="69"/>
        <v>71.528888480712794</v>
      </c>
    </row>
    <row r="37" spans="1:25" s="68" customFormat="1">
      <c r="A37" s="333"/>
      <c r="B37" s="140" t="str">
        <f>'Tariff Changes'!$A$22</f>
        <v>Item 105, pg 25</v>
      </c>
      <c r="C37" s="145" t="s">
        <v>156</v>
      </c>
      <c r="D37" s="65"/>
      <c r="E37" s="78"/>
      <c r="F37" s="146">
        <f>15.1655*12</f>
        <v>181.98599999999999</v>
      </c>
      <c r="G37" s="143">
        <f>References!B29</f>
        <v>324</v>
      </c>
      <c r="H37" s="77">
        <f t="shared" si="58"/>
        <v>58963.464</v>
      </c>
      <c r="I37" s="55">
        <f t="shared" si="59"/>
        <v>43863.306110861129</v>
      </c>
      <c r="J37" s="76">
        <f>(References!$C$49*I37)</f>
        <v>316.25443705930911</v>
      </c>
      <c r="K37" s="76">
        <f>J37/References!$G$52</f>
        <v>324.45503814851281</v>
      </c>
      <c r="L37" s="76">
        <f t="shared" si="60"/>
        <v>1.7828571326833538</v>
      </c>
      <c r="M37" s="76">
        <f>'Tariff Changes'!C30</f>
        <v>39.82</v>
      </c>
      <c r="N37" s="310">
        <f t="shared" si="61"/>
        <v>41.602857132683354</v>
      </c>
      <c r="O37" s="76">
        <f>'Tariff Changes'!E30</f>
        <v>41.255707854976805</v>
      </c>
      <c r="P37" s="76">
        <f t="shared" si="62"/>
        <v>7246.6825199999994</v>
      </c>
      <c r="Q37" s="76">
        <f t="shared" si="63"/>
        <v>7507.9612496958089</v>
      </c>
      <c r="R37" s="76">
        <f t="shared" si="64"/>
        <v>261.27872969580949</v>
      </c>
      <c r="S37" s="76">
        <f t="shared" si="65"/>
        <v>7571.1375581485127</v>
      </c>
      <c r="T37" s="76">
        <f t="shared" si="66"/>
        <v>-63.176308452703779</v>
      </c>
      <c r="U37" s="79">
        <f t="shared" si="67"/>
        <v>41.602857132683354</v>
      </c>
      <c r="V37" s="79">
        <f t="shared" si="68"/>
        <v>7571.1375581485127</v>
      </c>
      <c r="W37" s="79">
        <f t="shared" si="69"/>
        <v>324.45503814851327</v>
      </c>
    </row>
    <row r="38" spans="1:25" s="68" customFormat="1">
      <c r="A38" s="333"/>
      <c r="B38" s="140" t="str">
        <f>'Tariff Changes'!$A$22</f>
        <v>Item 105, pg 25</v>
      </c>
      <c r="C38" s="145" t="s">
        <v>157</v>
      </c>
      <c r="D38" s="65"/>
      <c r="E38" s="78"/>
      <c r="F38" s="146">
        <f>30.331*12</f>
        <v>363.97199999999998</v>
      </c>
      <c r="G38" s="143">
        <f>References!B30</f>
        <v>473</v>
      </c>
      <c r="H38" s="77">
        <f t="shared" si="58"/>
        <v>172158.75599999999</v>
      </c>
      <c r="I38" s="55">
        <f t="shared" si="59"/>
        <v>128070.02339776119</v>
      </c>
      <c r="J38" s="76">
        <f>(References!$C$49*I38)</f>
        <v>923.38486869785925</v>
      </c>
      <c r="K38" s="76">
        <f>J38/References!$G$52</f>
        <v>947.32859903855888</v>
      </c>
      <c r="L38" s="76">
        <f t="shared" si="60"/>
        <v>2.6027513078988465</v>
      </c>
      <c r="M38" s="76">
        <f>'Tariff Changes'!C31</f>
        <v>56.78</v>
      </c>
      <c r="N38" s="310">
        <f t="shared" si="61"/>
        <v>59.38275130789885</v>
      </c>
      <c r="O38" s="76">
        <f>'Tariff Changes'!E31</f>
        <v>58.933561782465205</v>
      </c>
      <c r="P38" s="76">
        <f t="shared" si="62"/>
        <v>20666.330159999998</v>
      </c>
      <c r="Q38" s="76">
        <f t="shared" si="63"/>
        <v>21450.166349087423</v>
      </c>
      <c r="R38" s="76">
        <f t="shared" si="64"/>
        <v>783.83618908742574</v>
      </c>
      <c r="S38" s="76">
        <f t="shared" si="65"/>
        <v>21613.658759038561</v>
      </c>
      <c r="T38" s="76">
        <f t="shared" si="66"/>
        <v>-163.49240995113723</v>
      </c>
      <c r="U38" s="79">
        <f t="shared" si="67"/>
        <v>59.38275130789885</v>
      </c>
      <c r="V38" s="79">
        <f t="shared" si="68"/>
        <v>21613.658759038561</v>
      </c>
      <c r="W38" s="79">
        <f t="shared" si="69"/>
        <v>947.32859903856297</v>
      </c>
    </row>
    <row r="39" spans="1:25" s="68" customFormat="1">
      <c r="A39" s="259"/>
      <c r="B39" s="140" t="str">
        <f>'Tariff Changes'!$A$22</f>
        <v>Item 105, pg 25</v>
      </c>
      <c r="C39" s="145" t="s">
        <v>158</v>
      </c>
      <c r="D39" s="65"/>
      <c r="E39" s="78"/>
      <c r="F39" s="146">
        <f>21.665*12</f>
        <v>259.98</v>
      </c>
      <c r="G39" s="143">
        <f>References!B31</f>
        <v>613</v>
      </c>
      <c r="H39" s="77">
        <f t="shared" ref="H39:H41" si="70">G39*F39</f>
        <v>159367.74000000002</v>
      </c>
      <c r="I39" s="55">
        <f t="shared" si="59"/>
        <v>118554.70302450562</v>
      </c>
      <c r="J39" s="76">
        <f>(References!$C$49*I39)</f>
        <v>854.77940880668655</v>
      </c>
      <c r="K39" s="76">
        <f>J39/References!$G$52</f>
        <v>876.94417277353773</v>
      </c>
      <c r="L39" s="76">
        <f t="shared" ref="L39:L41" si="71">K39/F39</f>
        <v>3.3731216738731353</v>
      </c>
      <c r="M39" s="76">
        <f>'Tariff Changes'!C32</f>
        <v>71.19</v>
      </c>
      <c r="N39" s="310">
        <f t="shared" ref="N39:N41" si="72">L39+M39</f>
        <v>74.563121673873127</v>
      </c>
      <c r="O39" s="76">
        <f>'Tariff Changes'!E32</f>
        <v>74.061415709953607</v>
      </c>
      <c r="P39" s="76">
        <f t="shared" ref="P39:P41" si="73">M39*F39</f>
        <v>18507.976200000001</v>
      </c>
      <c r="Q39" s="76">
        <f t="shared" ref="Q39:Q41" si="74">O39*F39</f>
        <v>19254.486856273739</v>
      </c>
      <c r="R39" s="76">
        <f t="shared" ref="R39:R41" si="75">Q39-P39</f>
        <v>746.51065627373828</v>
      </c>
      <c r="S39" s="76">
        <f t="shared" ref="S39:S41" si="76">N39*F39</f>
        <v>19384.920372773537</v>
      </c>
      <c r="T39" s="76">
        <f t="shared" ref="T39:T41" si="77">Q39-S39</f>
        <v>-130.43351649979741</v>
      </c>
      <c r="U39" s="79">
        <f t="shared" ref="U39:U41" si="78">N39</f>
        <v>74.563121673873127</v>
      </c>
      <c r="V39" s="79">
        <f t="shared" ref="V39:V41" si="79">U39*F39</f>
        <v>19384.920372773537</v>
      </c>
      <c r="W39" s="79">
        <f t="shared" ref="W39:W41" si="80">V39-P39</f>
        <v>876.94417277353568</v>
      </c>
    </row>
    <row r="40" spans="1:25" s="68" customFormat="1">
      <c r="A40" s="259"/>
      <c r="B40" s="140" t="str">
        <f>'Tariff Changes'!$A$22</f>
        <v>Item 105, pg 25</v>
      </c>
      <c r="C40" s="145" t="s">
        <v>159</v>
      </c>
      <c r="D40" s="65"/>
      <c r="E40" s="78"/>
      <c r="F40" s="146">
        <f>21.665*12</f>
        <v>259.98</v>
      </c>
      <c r="G40" s="143">
        <f>References!B32</f>
        <v>840</v>
      </c>
      <c r="H40" s="77">
        <f t="shared" si="70"/>
        <v>218383.2</v>
      </c>
      <c r="I40" s="55">
        <f t="shared" si="59"/>
        <v>162456.68929948568</v>
      </c>
      <c r="J40" s="76">
        <f>(References!$C$49*I40)</f>
        <v>1171.312729849293</v>
      </c>
      <c r="K40" s="76">
        <f>J40/References!$G$52</f>
        <v>1201.6853264759732</v>
      </c>
      <c r="L40" s="76">
        <f t="shared" si="71"/>
        <v>4.6222221958457306</v>
      </c>
      <c r="M40" s="76">
        <f>'Tariff Changes'!C33</f>
        <v>106.31</v>
      </c>
      <c r="N40" s="310">
        <f t="shared" si="72"/>
        <v>110.93222219584574</v>
      </c>
      <c r="O40" s="76">
        <f>'Tariff Changes'!E33</f>
        <v>110.61712356493041</v>
      </c>
      <c r="P40" s="76">
        <f t="shared" si="73"/>
        <v>27638.473800000003</v>
      </c>
      <c r="Q40" s="76">
        <f t="shared" si="74"/>
        <v>28758.239784410609</v>
      </c>
      <c r="R40" s="76">
        <f t="shared" si="75"/>
        <v>1119.7659844106056</v>
      </c>
      <c r="S40" s="76">
        <f t="shared" si="76"/>
        <v>28840.159126475977</v>
      </c>
      <c r="T40" s="76">
        <f t="shared" si="77"/>
        <v>-81.919342065368255</v>
      </c>
      <c r="U40" s="79">
        <f t="shared" si="78"/>
        <v>110.93222219584574</v>
      </c>
      <c r="V40" s="79">
        <f t="shared" si="79"/>
        <v>28840.159126475977</v>
      </c>
      <c r="W40" s="79">
        <f t="shared" si="80"/>
        <v>1201.6853264759739</v>
      </c>
    </row>
    <row r="41" spans="1:25" s="68" customFormat="1">
      <c r="A41" s="259"/>
      <c r="B41" s="140" t="str">
        <f>'Tariff Changes'!$A$22</f>
        <v>Item 105, pg 25</v>
      </c>
      <c r="C41" s="145" t="s">
        <v>160</v>
      </c>
      <c r="D41" s="145"/>
      <c r="E41" s="78"/>
      <c r="F41" s="146">
        <f>8.666*12</f>
        <v>103.992</v>
      </c>
      <c r="G41" s="143">
        <f>References!B33</f>
        <v>980</v>
      </c>
      <c r="H41" s="77">
        <f t="shared" si="70"/>
        <v>101912.16</v>
      </c>
      <c r="I41" s="55">
        <f t="shared" si="59"/>
        <v>75813.121673093308</v>
      </c>
      <c r="J41" s="76">
        <f>(References!$C$49*I41)</f>
        <v>546.61260726300338</v>
      </c>
      <c r="K41" s="76">
        <f>J41/References!$G$52</f>
        <v>560.78648568878748</v>
      </c>
      <c r="L41" s="76">
        <f t="shared" si="71"/>
        <v>5.3925925618200194</v>
      </c>
      <c r="M41" s="76">
        <f>'Tariff Changes'!C34</f>
        <v>135.06</v>
      </c>
      <c r="N41" s="310">
        <f t="shared" si="72"/>
        <v>140.45259256182001</v>
      </c>
      <c r="O41" s="76">
        <f>'Tariff Changes'!E34</f>
        <v>140.80283141990722</v>
      </c>
      <c r="P41" s="76">
        <f t="shared" si="73"/>
        <v>14045.159520000001</v>
      </c>
      <c r="Q41" s="76">
        <f t="shared" si="74"/>
        <v>14642.368045018993</v>
      </c>
      <c r="R41" s="76">
        <f t="shared" si="75"/>
        <v>597.20852501899208</v>
      </c>
      <c r="S41" s="76">
        <f t="shared" si="76"/>
        <v>14605.946005688787</v>
      </c>
      <c r="T41" s="76">
        <f t="shared" si="77"/>
        <v>36.422039330205735</v>
      </c>
      <c r="U41" s="79">
        <f t="shared" si="78"/>
        <v>140.45259256182001</v>
      </c>
      <c r="V41" s="79">
        <f t="shared" si="79"/>
        <v>14605.946005688787</v>
      </c>
      <c r="W41" s="79">
        <f t="shared" si="80"/>
        <v>560.78648568878634</v>
      </c>
    </row>
    <row r="42" spans="1:25" s="68" customFormat="1">
      <c r="A42" s="71"/>
      <c r="B42" s="56"/>
      <c r="C42" s="145"/>
      <c r="D42" s="106"/>
      <c r="E42" s="78"/>
      <c r="F42" s="146"/>
      <c r="G42" s="143"/>
      <c r="H42" s="77"/>
      <c r="I42" s="55"/>
      <c r="J42" s="76"/>
      <c r="K42" s="76"/>
      <c r="L42" s="76"/>
      <c r="M42" s="76"/>
      <c r="N42" s="310"/>
      <c r="O42" s="76"/>
      <c r="P42" s="76"/>
      <c r="Q42" s="76"/>
      <c r="R42" s="76"/>
      <c r="S42" s="76"/>
      <c r="T42" s="76"/>
      <c r="U42" s="79"/>
      <c r="V42" s="79"/>
      <c r="W42" s="79"/>
    </row>
    <row r="43" spans="1:25" s="68" customFormat="1">
      <c r="A43" s="59"/>
      <c r="B43" s="57"/>
      <c r="C43" s="60" t="s">
        <v>17</v>
      </c>
      <c r="D43" s="61">
        <f>SUM(D32:D38)</f>
        <v>0</v>
      </c>
      <c r="E43" s="61"/>
      <c r="F43" s="61">
        <f>SUM(F32:F38)</f>
        <v>22657.257000000001</v>
      </c>
      <c r="G43" s="134"/>
      <c r="H43" s="61">
        <f>SUM(H32:H38)</f>
        <v>1225688.709</v>
      </c>
      <c r="I43" s="61">
        <f>SUM(I32:I38)</f>
        <v>911797.83873439301</v>
      </c>
      <c r="J43" s="80"/>
      <c r="K43" s="80"/>
      <c r="L43" s="80"/>
      <c r="M43" s="80"/>
      <c r="N43" s="311"/>
      <c r="O43" s="80"/>
      <c r="P43" s="61">
        <f>SUM(P32:P38)</f>
        <v>157998.68531999999</v>
      </c>
      <c r="Q43" s="150">
        <f>SUM(Q32:Q38)</f>
        <v>163089.81334472127</v>
      </c>
      <c r="R43" s="150">
        <f>SUM(R32:R38)</f>
        <v>5091.1280247212708</v>
      </c>
      <c r="S43" s="150">
        <f>SUM(S32:S38)</f>
        <v>164743.21574373491</v>
      </c>
      <c r="T43" s="150">
        <f>SUM(T32:T38)</f>
        <v>-1653.4023990136202</v>
      </c>
      <c r="U43" s="150"/>
      <c r="V43" s="150">
        <f>SUM(V32:V38)</f>
        <v>164743.21574373491</v>
      </c>
      <c r="W43" s="150">
        <f>SUM(W32:W38)</f>
        <v>6744.5304237348919</v>
      </c>
    </row>
    <row r="44" spans="1:25">
      <c r="C44" s="72" t="s">
        <v>3</v>
      </c>
      <c r="D44" s="73">
        <f>D12+D31+D43</f>
        <v>22469.833333333336</v>
      </c>
      <c r="E44" s="73"/>
      <c r="F44" s="73">
        <f>F12+F31+F43</f>
        <v>1222180.2243333333</v>
      </c>
      <c r="G44" s="135"/>
      <c r="H44" s="73">
        <f>H12+H31+H43</f>
        <v>55584939.954999991</v>
      </c>
      <c r="I44" s="73">
        <f>I12+I31+I43</f>
        <v>41350000.000000007</v>
      </c>
      <c r="J44" s="76"/>
      <c r="K44" s="82"/>
      <c r="L44" s="82"/>
      <c r="M44" s="82"/>
      <c r="N44" s="312"/>
      <c r="O44" s="82"/>
      <c r="P44" s="73">
        <f>P12+P31+P43</f>
        <v>5830473.1063799998</v>
      </c>
      <c r="Q44" s="73">
        <f>Q12+Q31+Q43</f>
        <v>6043272.0592263257</v>
      </c>
      <c r="R44" s="73">
        <f>R12+R31+R43</f>
        <v>212798.95284632605</v>
      </c>
      <c r="S44" s="73">
        <f>S12+S31+S43</f>
        <v>6136320.8165563866</v>
      </c>
      <c r="T44" s="73">
        <f>T12+T31+T43</f>
        <v>-93048.75733006197</v>
      </c>
      <c r="U44" s="73"/>
      <c r="V44" s="73">
        <f>V12+V31+V43</f>
        <v>6136320.8165563866</v>
      </c>
      <c r="W44" s="73">
        <f>W12+W31+W43</f>
        <v>305847.71017638803</v>
      </c>
    </row>
    <row r="45" spans="1:25">
      <c r="J45" s="64"/>
      <c r="S45" s="69"/>
    </row>
    <row r="46" spans="1:25">
      <c r="A46" s="278"/>
      <c r="B46" s="279"/>
      <c r="C46" s="280" t="s">
        <v>303</v>
      </c>
      <c r="D46" s="281"/>
      <c r="E46" s="282"/>
      <c r="F46" s="282"/>
      <c r="G46" s="283"/>
      <c r="H46" s="282"/>
      <c r="I46" s="284"/>
      <c r="J46" s="285"/>
      <c r="K46" s="282"/>
      <c r="L46" s="282"/>
      <c r="M46" s="282"/>
      <c r="N46" s="314"/>
      <c r="O46" s="286"/>
      <c r="P46" s="68"/>
      <c r="Q46" s="68"/>
      <c r="R46" s="68"/>
      <c r="S46" s="100"/>
      <c r="T46" s="68"/>
      <c r="U46" s="68"/>
      <c r="V46" s="68"/>
      <c r="W46" s="68"/>
      <c r="X46" s="68"/>
      <c r="Y46" s="68"/>
    </row>
    <row r="47" spans="1:25" s="68" customFormat="1" ht="14.45" customHeight="1">
      <c r="A47" s="287"/>
      <c r="B47" s="288" t="str">
        <f>'Tariff Changes'!A7</f>
        <v>Item 100, pg 21 Appendix A</v>
      </c>
      <c r="C47" s="289" t="str">
        <f>'Tariff Changes'!A13</f>
        <v>5 Can wk</v>
      </c>
      <c r="D47" s="152">
        <v>1</v>
      </c>
      <c r="E47" s="78">
        <f>References!B7</f>
        <v>4.333333333333333</v>
      </c>
      <c r="F47" s="153">
        <f>D47*E47*12</f>
        <v>52</v>
      </c>
      <c r="G47" s="154">
        <f>References!B18</f>
        <v>117</v>
      </c>
      <c r="H47" s="77">
        <f>G47*F47</f>
        <v>6084</v>
      </c>
      <c r="I47" s="55">
        <f t="shared" ref="I47:I78" si="81">$D$108*H47</f>
        <v>4525.927350171949</v>
      </c>
      <c r="J47" s="76">
        <f>(References!$C$49*I47)</f>
        <v>32.631936194739787</v>
      </c>
      <c r="K47" s="76">
        <f>J47/References!$G$52</f>
        <v>33.478095047054083</v>
      </c>
      <c r="L47" s="76">
        <f t="shared" ref="L47" si="82">K47/F47</f>
        <v>0.6438095201356554</v>
      </c>
      <c r="M47" s="155">
        <f>'Tariff Changes'!C13</f>
        <v>57.81</v>
      </c>
      <c r="N47" s="310">
        <f>L47+M47</f>
        <v>58.453809520135657</v>
      </c>
      <c r="O47" s="155">
        <f>'Tariff Changes'!E13</f>
        <v>60.06</v>
      </c>
      <c r="P47" s="76"/>
      <c r="Q47" s="76"/>
      <c r="R47" s="76"/>
      <c r="S47" s="76"/>
      <c r="T47" s="76"/>
      <c r="U47" s="76"/>
      <c r="V47" s="76"/>
      <c r="W47" s="76"/>
    </row>
    <row r="48" spans="1:25" s="68" customFormat="1">
      <c r="A48" s="287"/>
      <c r="B48" s="288" t="str">
        <f>'Tariff Changes'!A19</f>
        <v>Item 100, pg 22</v>
      </c>
      <c r="C48" s="289" t="str">
        <f>'Tariff Changes'!A20</f>
        <v>32 Gallon or Bag, Extra</v>
      </c>
      <c r="D48" s="152">
        <v>1</v>
      </c>
      <c r="E48" s="78">
        <v>1</v>
      </c>
      <c r="F48" s="153">
        <f>D48*E48*12</f>
        <v>12</v>
      </c>
      <c r="G48" s="154">
        <f>References!B24</f>
        <v>34</v>
      </c>
      <c r="H48" s="77">
        <f t="shared" ref="H48:H98" si="83">G48*F48</f>
        <v>408</v>
      </c>
      <c r="I48" s="55">
        <f t="shared" si="81"/>
        <v>303.51386569200446</v>
      </c>
      <c r="J48" s="76">
        <f>(References!$C$49*I48)</f>
        <v>2.1883349716393545</v>
      </c>
      <c r="K48" s="76">
        <f>J48/References!$G$52</f>
        <v>2.2450793522679264</v>
      </c>
      <c r="L48" s="76">
        <f t="shared" ref="L48:L98" si="84">K48/F48</f>
        <v>0.1870899460223272</v>
      </c>
      <c r="M48" s="155">
        <f>'Tariff Changes'!C20</f>
        <v>2.5499999999999998</v>
      </c>
      <c r="N48" s="310">
        <f t="shared" ref="N48:N98" si="85">L48+M48</f>
        <v>2.7370899460223272</v>
      </c>
      <c r="O48" s="155">
        <f>'Tariff Changes'!E20</f>
        <v>2.65</v>
      </c>
      <c r="P48" s="76"/>
      <c r="Q48" s="76"/>
      <c r="R48" s="76"/>
      <c r="S48" s="76"/>
      <c r="T48" s="76"/>
      <c r="U48" s="76"/>
      <c r="V48" s="76"/>
      <c r="W48" s="76"/>
    </row>
    <row r="49" spans="1:25" s="68" customFormat="1">
      <c r="A49" s="287"/>
      <c r="B49" s="288" t="str">
        <f>'Tariff Changes'!$A$22</f>
        <v>Item 105, pg 25</v>
      </c>
      <c r="C49" s="289" t="str">
        <f>'Tariff Changes'!A23</f>
        <v>20 Gallon</v>
      </c>
      <c r="D49" s="152">
        <v>1</v>
      </c>
      <c r="E49" s="78">
        <v>1</v>
      </c>
      <c r="F49" s="153">
        <f t="shared" ref="F49:F98" si="86">D49*E49*12</f>
        <v>12</v>
      </c>
      <c r="G49" s="154">
        <f>References!B13</f>
        <v>20</v>
      </c>
      <c r="H49" s="77">
        <f t="shared" si="83"/>
        <v>240</v>
      </c>
      <c r="I49" s="55">
        <f t="shared" si="81"/>
        <v>178.53756805412027</v>
      </c>
      <c r="J49" s="76">
        <f>(References!$C$49*I49)</f>
        <v>1.2872558656702087</v>
      </c>
      <c r="K49" s="76">
        <f>J49/References!$G$52</f>
        <v>1.3206349130987804</v>
      </c>
      <c r="L49" s="76">
        <f t="shared" si="84"/>
        <v>0.11005290942489837</v>
      </c>
      <c r="M49" s="155">
        <f>'Tariff Changes'!C23</f>
        <v>4.05</v>
      </c>
      <c r="N49" s="310">
        <f t="shared" si="85"/>
        <v>4.1600529094248984</v>
      </c>
      <c r="O49" s="155">
        <f>'Tariff Changes'!E23</f>
        <v>4.16</v>
      </c>
      <c r="P49" s="76"/>
      <c r="Q49" s="76"/>
      <c r="R49" s="76"/>
      <c r="S49" s="76"/>
      <c r="T49" s="76"/>
      <c r="U49" s="76"/>
      <c r="V49" s="76"/>
      <c r="W49" s="76"/>
    </row>
    <row r="50" spans="1:25" s="68" customFormat="1">
      <c r="A50" s="287"/>
      <c r="B50" s="288" t="str">
        <f>'Tariff Changes'!$A$22</f>
        <v>Item 105, pg 25</v>
      </c>
      <c r="C50" s="289" t="str">
        <f>'Tariff Changes'!A26</f>
        <v>64 Gallon</v>
      </c>
      <c r="D50" s="152">
        <v>1</v>
      </c>
      <c r="E50" s="78">
        <v>1</v>
      </c>
      <c r="F50" s="153">
        <f t="shared" si="86"/>
        <v>12</v>
      </c>
      <c r="G50" s="154">
        <f>References!B21</f>
        <v>47</v>
      </c>
      <c r="H50" s="77">
        <f t="shared" si="83"/>
        <v>564</v>
      </c>
      <c r="I50" s="55">
        <f t="shared" si="81"/>
        <v>419.56328492718268</v>
      </c>
      <c r="J50" s="76">
        <f>(References!$C$49*I50)</f>
        <v>3.0250512843249906</v>
      </c>
      <c r="K50" s="76">
        <f>J50/References!$G$52</f>
        <v>3.1034920457821342</v>
      </c>
      <c r="L50" s="76">
        <f t="shared" si="84"/>
        <v>0.25862433714851119</v>
      </c>
      <c r="M50" s="155">
        <f>'Tariff Changes'!C26</f>
        <v>6.71</v>
      </c>
      <c r="N50" s="310">
        <f t="shared" si="85"/>
        <v>6.968624337148511</v>
      </c>
      <c r="O50" s="155">
        <f>'Tariff Changes'!E26</f>
        <v>6.94</v>
      </c>
      <c r="P50" s="76"/>
      <c r="Q50" s="76"/>
      <c r="R50" s="76"/>
      <c r="S50" s="76"/>
      <c r="T50" s="76"/>
      <c r="U50" s="76"/>
      <c r="V50" s="76"/>
      <c r="W50" s="76"/>
    </row>
    <row r="51" spans="1:25" s="68" customFormat="1">
      <c r="A51" s="287"/>
      <c r="B51" s="288" t="str">
        <f>'Tariff Changes'!$A$22</f>
        <v>Item 105, pg 25</v>
      </c>
      <c r="C51" s="289" t="str">
        <f>'Tariff Changes'!A36</f>
        <v>20 Gallon Special</v>
      </c>
      <c r="D51" s="152">
        <v>1</v>
      </c>
      <c r="E51" s="78">
        <v>1</v>
      </c>
      <c r="F51" s="153">
        <f t="shared" si="86"/>
        <v>12</v>
      </c>
      <c r="G51" s="154">
        <f>References!B13</f>
        <v>20</v>
      </c>
      <c r="H51" s="77">
        <f t="shared" si="83"/>
        <v>240</v>
      </c>
      <c r="I51" s="55">
        <f t="shared" si="81"/>
        <v>178.53756805412027</v>
      </c>
      <c r="J51" s="76">
        <f>(References!$C$49*I51)</f>
        <v>1.2872558656702087</v>
      </c>
      <c r="K51" s="76">
        <f>J51/References!$G$52</f>
        <v>1.3206349130987804</v>
      </c>
      <c r="L51" s="76">
        <f t="shared" si="84"/>
        <v>0.11005290942489837</v>
      </c>
      <c r="M51" s="155">
        <f>'Tariff Changes'!C36</f>
        <v>8.7200000000000006</v>
      </c>
      <c r="N51" s="310">
        <f t="shared" si="85"/>
        <v>8.8300529094248983</v>
      </c>
      <c r="O51" s="155">
        <f>'Tariff Changes'!E36</f>
        <v>8.9600000000000009</v>
      </c>
      <c r="P51" s="76"/>
      <c r="Q51" s="76"/>
      <c r="R51" s="76"/>
      <c r="S51" s="76"/>
      <c r="T51" s="76"/>
      <c r="U51" s="76"/>
      <c r="V51" s="76"/>
      <c r="W51" s="76"/>
    </row>
    <row r="52" spans="1:25" s="68" customFormat="1">
      <c r="A52" s="287"/>
      <c r="B52" s="288" t="str">
        <f>'Tariff Changes'!$A$22</f>
        <v>Item 105, pg 25</v>
      </c>
      <c r="C52" s="289" t="str">
        <f>'Tariff Changes'!A37</f>
        <v>32 Gallon Special Pickup</v>
      </c>
      <c r="D52" s="152">
        <v>1</v>
      </c>
      <c r="E52" s="78">
        <v>1</v>
      </c>
      <c r="F52" s="153">
        <f t="shared" si="86"/>
        <v>12</v>
      </c>
      <c r="G52" s="154">
        <f>References!B14</f>
        <v>34</v>
      </c>
      <c r="H52" s="77">
        <f t="shared" si="83"/>
        <v>408</v>
      </c>
      <c r="I52" s="55">
        <f t="shared" si="81"/>
        <v>303.51386569200446</v>
      </c>
      <c r="J52" s="76">
        <f>(References!$C$49*I52)</f>
        <v>2.1883349716393545</v>
      </c>
      <c r="K52" s="76">
        <f>J52/References!$G$52</f>
        <v>2.2450793522679264</v>
      </c>
      <c r="L52" s="76">
        <f t="shared" si="84"/>
        <v>0.1870899460223272</v>
      </c>
      <c r="M52" s="155">
        <f>'Tariff Changes'!C37</f>
        <v>8.7200000000000006</v>
      </c>
      <c r="N52" s="310">
        <f t="shared" si="85"/>
        <v>8.9070899460223281</v>
      </c>
      <c r="O52" s="155">
        <f>'Tariff Changes'!E37</f>
        <v>8.9600000000000009</v>
      </c>
      <c r="P52" s="76"/>
      <c r="Q52" s="76"/>
      <c r="R52" s="76"/>
      <c r="S52" s="76"/>
      <c r="T52" s="76"/>
      <c r="U52" s="76"/>
      <c r="V52" s="76"/>
      <c r="W52" s="76"/>
    </row>
    <row r="53" spans="1:25" s="68" customFormat="1">
      <c r="A53" s="287"/>
      <c r="B53" s="288" t="str">
        <f>'Tariff Changes'!$A$22</f>
        <v>Item 105, pg 25</v>
      </c>
      <c r="C53" s="289" t="str">
        <f>'Tariff Changes'!A38</f>
        <v>64 Gallon Special</v>
      </c>
      <c r="D53" s="152">
        <v>1</v>
      </c>
      <c r="E53" s="78">
        <v>1</v>
      </c>
      <c r="F53" s="153">
        <f t="shared" si="86"/>
        <v>12</v>
      </c>
      <c r="G53" s="154">
        <f>References!B21</f>
        <v>47</v>
      </c>
      <c r="H53" s="77">
        <f t="shared" si="83"/>
        <v>564</v>
      </c>
      <c r="I53" s="55">
        <f t="shared" si="81"/>
        <v>419.56328492718268</v>
      </c>
      <c r="J53" s="76">
        <f>(References!$C$49*I53)</f>
        <v>3.0250512843249906</v>
      </c>
      <c r="K53" s="76">
        <f>J53/References!$G$52</f>
        <v>3.1034920457821342</v>
      </c>
      <c r="L53" s="76">
        <f t="shared" si="84"/>
        <v>0.25862433714851119</v>
      </c>
      <c r="M53" s="155">
        <f>'Tariff Changes'!C38</f>
        <v>10.09</v>
      </c>
      <c r="N53" s="310">
        <f t="shared" si="85"/>
        <v>10.348624337148511</v>
      </c>
      <c r="O53" s="155">
        <f>'Tariff Changes'!E38</f>
        <v>10.43</v>
      </c>
      <c r="P53" s="76"/>
      <c r="Q53" s="76"/>
      <c r="R53" s="76"/>
      <c r="S53" s="76"/>
      <c r="T53" s="76"/>
      <c r="U53" s="76"/>
      <c r="V53" s="76"/>
      <c r="W53" s="76"/>
    </row>
    <row r="54" spans="1:25" s="68" customFormat="1">
      <c r="A54" s="287"/>
      <c r="B54" s="288" t="str">
        <f>'Tariff Changes'!$A$22</f>
        <v>Item 105, pg 25</v>
      </c>
      <c r="C54" s="289" t="str">
        <f>'Tariff Changes'!A39</f>
        <v>96 Gallon Special Pickup</v>
      </c>
      <c r="D54" s="152">
        <v>1</v>
      </c>
      <c r="E54" s="78">
        <v>1</v>
      </c>
      <c r="F54" s="153">
        <f t="shared" si="86"/>
        <v>12</v>
      </c>
      <c r="G54" s="154">
        <f>References!B22</f>
        <v>68</v>
      </c>
      <c r="H54" s="77">
        <f t="shared" si="83"/>
        <v>816</v>
      </c>
      <c r="I54" s="55">
        <f t="shared" si="81"/>
        <v>607.02773138400892</v>
      </c>
      <c r="J54" s="76">
        <f>(References!$C$49*I54)</f>
        <v>4.3766699432787091</v>
      </c>
      <c r="K54" s="76">
        <f>J54/References!$G$52</f>
        <v>4.4901587045358529</v>
      </c>
      <c r="L54" s="76">
        <f t="shared" si="84"/>
        <v>0.37417989204465441</v>
      </c>
      <c r="M54" s="155">
        <f>'Tariff Changes'!C39</f>
        <v>12.5</v>
      </c>
      <c r="N54" s="310">
        <f t="shared" si="85"/>
        <v>12.874179892044655</v>
      </c>
      <c r="O54" s="155">
        <f>'Tariff Changes'!E39</f>
        <v>12.93</v>
      </c>
      <c r="P54" s="76"/>
      <c r="Q54" s="76"/>
      <c r="R54" s="76"/>
      <c r="S54" s="76"/>
      <c r="T54" s="76"/>
      <c r="U54" s="76"/>
      <c r="V54" s="76"/>
      <c r="W54" s="76"/>
    </row>
    <row r="55" spans="1:25" s="68" customFormat="1">
      <c r="A55" s="287"/>
      <c r="B55" s="288" t="str">
        <f>'Tariff Changes'!$A$22</f>
        <v>Item 105, pg 25</v>
      </c>
      <c r="C55" s="289" t="str">
        <f>'Tariff Changes'!A40</f>
        <v>1 Yard Special Pickup</v>
      </c>
      <c r="D55" s="152">
        <v>1</v>
      </c>
      <c r="E55" s="78">
        <v>1</v>
      </c>
      <c r="F55" s="153">
        <f t="shared" si="86"/>
        <v>12</v>
      </c>
      <c r="G55" s="154">
        <f>References!B27</f>
        <v>175</v>
      </c>
      <c r="H55" s="77">
        <f t="shared" si="83"/>
        <v>2100</v>
      </c>
      <c r="I55" s="55">
        <f t="shared" si="81"/>
        <v>1562.2037204735525</v>
      </c>
      <c r="J55" s="76">
        <f>(References!$C$49*I55)</f>
        <v>11.263488824614326</v>
      </c>
      <c r="K55" s="76">
        <f>J55/References!$G$52</f>
        <v>11.555555489614328</v>
      </c>
      <c r="L55" s="76">
        <f t="shared" si="84"/>
        <v>0.96296295746786065</v>
      </c>
      <c r="M55" s="155">
        <f>'Tariff Changes'!C40</f>
        <v>22.72</v>
      </c>
      <c r="N55" s="310">
        <f t="shared" si="85"/>
        <v>23.682962957467858</v>
      </c>
      <c r="O55" s="155">
        <f>'Tariff Changes'!E40</f>
        <v>23.49</v>
      </c>
      <c r="P55" s="76"/>
      <c r="Q55" s="76"/>
      <c r="R55" s="76"/>
      <c r="S55" s="76"/>
      <c r="T55" s="76"/>
      <c r="U55" s="76"/>
      <c r="V55" s="76"/>
      <c r="W55" s="76"/>
    </row>
    <row r="56" spans="1:25">
      <c r="A56" s="287"/>
      <c r="B56" s="288" t="str">
        <f>'Tariff Changes'!$A$22</f>
        <v>Item 105, pg 25</v>
      </c>
      <c r="C56" s="289" t="str">
        <f>'Tariff Changes'!A41</f>
        <v>1.5 Yard Special Pickup</v>
      </c>
      <c r="D56" s="152">
        <v>1</v>
      </c>
      <c r="E56" s="78">
        <v>1</v>
      </c>
      <c r="F56" s="153">
        <f t="shared" si="86"/>
        <v>12</v>
      </c>
      <c r="G56" s="154">
        <f>References!B28</f>
        <v>250</v>
      </c>
      <c r="H56" s="77">
        <f t="shared" si="83"/>
        <v>3000</v>
      </c>
      <c r="I56" s="55">
        <f t="shared" si="81"/>
        <v>2231.7196006765034</v>
      </c>
      <c r="J56" s="76">
        <f>(References!$C$49*I56)</f>
        <v>16.090698320877607</v>
      </c>
      <c r="K56" s="76">
        <f>J56/References!$G$52</f>
        <v>16.507936413734754</v>
      </c>
      <c r="L56" s="76">
        <f t="shared" si="84"/>
        <v>1.3756613678112295</v>
      </c>
      <c r="M56" s="155">
        <f>'Tariff Changes'!C41</f>
        <v>30.55</v>
      </c>
      <c r="N56" s="310">
        <f t="shared" si="85"/>
        <v>31.92566136781123</v>
      </c>
      <c r="O56" s="155">
        <f>'Tariff Changes'!E41</f>
        <v>31.63</v>
      </c>
      <c r="P56" s="76"/>
      <c r="Q56" s="76"/>
      <c r="R56" s="76"/>
      <c r="S56" s="76"/>
      <c r="T56" s="76"/>
      <c r="U56" s="76"/>
      <c r="V56" s="76"/>
      <c r="W56" s="76"/>
      <c r="X56" s="68"/>
      <c r="Y56" s="68"/>
    </row>
    <row r="57" spans="1:25">
      <c r="A57" s="287"/>
      <c r="B57" s="288" t="str">
        <f>'Tariff Changes'!$A$22</f>
        <v>Item 105, pg 25</v>
      </c>
      <c r="C57" s="289" t="str">
        <f>'Tariff Changes'!A42</f>
        <v>2 Yard Special Pickup</v>
      </c>
      <c r="D57" s="152">
        <v>1</v>
      </c>
      <c r="E57" s="78">
        <v>1</v>
      </c>
      <c r="F57" s="153">
        <f t="shared" si="86"/>
        <v>12</v>
      </c>
      <c r="G57" s="154">
        <f>References!B29</f>
        <v>324</v>
      </c>
      <c r="H57" s="77">
        <f t="shared" si="83"/>
        <v>3888</v>
      </c>
      <c r="I57" s="55">
        <f t="shared" si="81"/>
        <v>2892.3086024767485</v>
      </c>
      <c r="J57" s="76">
        <f>(References!$C$49*I57)</f>
        <v>20.853545023857379</v>
      </c>
      <c r="K57" s="76">
        <f>J57/References!$G$52</f>
        <v>21.394285592200241</v>
      </c>
      <c r="L57" s="76">
        <f t="shared" si="84"/>
        <v>1.7828571326833533</v>
      </c>
      <c r="M57" s="155">
        <f>'Tariff Changes'!C42</f>
        <v>43.27</v>
      </c>
      <c r="N57" s="310">
        <f t="shared" si="85"/>
        <v>45.052857132683357</v>
      </c>
      <c r="O57" s="155">
        <f>'Tariff Changes'!E42</f>
        <v>44.73</v>
      </c>
      <c r="P57" s="76"/>
      <c r="Q57" s="76"/>
      <c r="R57" s="76"/>
      <c r="S57" s="76"/>
      <c r="T57" s="76"/>
      <c r="U57" s="76"/>
      <c r="V57" s="76"/>
      <c r="W57" s="76"/>
      <c r="X57" s="68"/>
      <c r="Y57" s="68"/>
    </row>
    <row r="58" spans="1:25">
      <c r="A58" s="287"/>
      <c r="B58" s="288" t="str">
        <f>'Tariff Changes'!$A$22</f>
        <v>Item 105, pg 25</v>
      </c>
      <c r="C58" s="289" t="str">
        <f>'Tariff Changes'!A43</f>
        <v>3 Yard Special Pickup</v>
      </c>
      <c r="D58" s="152">
        <v>1</v>
      </c>
      <c r="E58" s="78">
        <v>1</v>
      </c>
      <c r="F58" s="153">
        <f t="shared" si="86"/>
        <v>12</v>
      </c>
      <c r="G58" s="154">
        <f>References!B30</f>
        <v>473</v>
      </c>
      <c r="H58" s="77">
        <f t="shared" si="83"/>
        <v>5676</v>
      </c>
      <c r="I58" s="55">
        <f t="shared" si="81"/>
        <v>4222.4134844799446</v>
      </c>
      <c r="J58" s="76">
        <f>(References!$C$49*I58)</f>
        <v>30.443601223100433</v>
      </c>
      <c r="K58" s="76">
        <f>J58/References!$G$52</f>
        <v>31.233015694786154</v>
      </c>
      <c r="L58" s="76">
        <f t="shared" si="84"/>
        <v>2.602751307898846</v>
      </c>
      <c r="M58" s="155">
        <f>'Tariff Changes'!C43</f>
        <v>60.12</v>
      </c>
      <c r="N58" s="310">
        <f t="shared" si="85"/>
        <v>62.722751307898847</v>
      </c>
      <c r="O58" s="155">
        <f>'Tariff Changes'!E43</f>
        <v>62.27</v>
      </c>
      <c r="P58" s="76"/>
      <c r="Q58" s="76"/>
      <c r="R58" s="76"/>
      <c r="S58" s="76"/>
      <c r="T58" s="76"/>
      <c r="U58" s="76"/>
      <c r="V58" s="76"/>
      <c r="W58" s="76"/>
      <c r="X58" s="68"/>
      <c r="Y58" s="68"/>
    </row>
    <row r="59" spans="1:25">
      <c r="A59" s="287"/>
      <c r="B59" s="288" t="str">
        <f>'Tariff Changes'!$A$22</f>
        <v>Item 105, pg 25</v>
      </c>
      <c r="C59" s="289" t="str">
        <f>'Tariff Changes'!A44</f>
        <v>4 Yard Special Pickup</v>
      </c>
      <c r="D59" s="152">
        <v>1</v>
      </c>
      <c r="E59" s="78">
        <v>1</v>
      </c>
      <c r="F59" s="153">
        <f t="shared" si="86"/>
        <v>12</v>
      </c>
      <c r="G59" s="154">
        <f>References!B31</f>
        <v>613</v>
      </c>
      <c r="H59" s="77">
        <f t="shared" si="83"/>
        <v>7356</v>
      </c>
      <c r="I59" s="55">
        <f t="shared" si="81"/>
        <v>5472.1764608587864</v>
      </c>
      <c r="J59" s="76">
        <f>(References!$C$49*I59)</f>
        <v>39.454392282791893</v>
      </c>
      <c r="K59" s="76">
        <f>J59/References!$G$52</f>
        <v>40.47746008647762</v>
      </c>
      <c r="L59" s="76">
        <f t="shared" si="84"/>
        <v>3.3731216738731349</v>
      </c>
      <c r="M59" s="155">
        <f>'Tariff Changes'!C44</f>
        <v>74.36</v>
      </c>
      <c r="N59" s="310">
        <f t="shared" si="85"/>
        <v>77.733121673873129</v>
      </c>
      <c r="O59" s="155">
        <f>'Tariff Changes'!E44</f>
        <v>77.23</v>
      </c>
      <c r="P59" s="76"/>
      <c r="Q59" s="76"/>
      <c r="R59" s="76"/>
      <c r="S59" s="76"/>
      <c r="T59" s="76"/>
      <c r="U59" s="76"/>
      <c r="V59" s="76"/>
      <c r="W59" s="76"/>
      <c r="X59" s="68"/>
      <c r="Y59" s="68"/>
    </row>
    <row r="60" spans="1:25">
      <c r="A60" s="287"/>
      <c r="B60" s="288" t="str">
        <f>'Tariff Changes'!$A$22</f>
        <v>Item 105, pg 25</v>
      </c>
      <c r="C60" s="289" t="str">
        <f>'Tariff Changes'!A45</f>
        <v>6 Yard Special Pickup</v>
      </c>
      <c r="D60" s="152">
        <v>1</v>
      </c>
      <c r="E60" s="78">
        <v>1</v>
      </c>
      <c r="F60" s="153">
        <f t="shared" si="86"/>
        <v>12</v>
      </c>
      <c r="G60" s="154">
        <f>References!B32</f>
        <v>840</v>
      </c>
      <c r="H60" s="77">
        <f t="shared" si="83"/>
        <v>10080</v>
      </c>
      <c r="I60" s="55">
        <f t="shared" si="81"/>
        <v>7498.5778582730518</v>
      </c>
      <c r="J60" s="76">
        <f>(References!$C$49*I60)</f>
        <v>54.064746358148767</v>
      </c>
      <c r="K60" s="76">
        <f>J60/References!$G$52</f>
        <v>55.466666350148778</v>
      </c>
      <c r="L60" s="76">
        <f t="shared" si="84"/>
        <v>4.6222221958457315</v>
      </c>
      <c r="M60" s="155">
        <f>'Tariff Changes'!C45</f>
        <v>112.12</v>
      </c>
      <c r="N60" s="310">
        <f t="shared" si="85"/>
        <v>116.74222219584574</v>
      </c>
      <c r="O60" s="155">
        <f>'Tariff Changes'!E45</f>
        <v>116.43</v>
      </c>
      <c r="P60" s="76"/>
      <c r="Q60" s="76"/>
      <c r="R60" s="76"/>
      <c r="S60" s="76"/>
      <c r="T60" s="76"/>
      <c r="U60" s="76"/>
      <c r="V60" s="76"/>
      <c r="W60" s="76"/>
      <c r="X60" s="68"/>
      <c r="Y60" s="68"/>
    </row>
    <row r="61" spans="1:25">
      <c r="A61" s="287"/>
      <c r="B61" s="288" t="str">
        <f>'Tariff Changes'!$A$22</f>
        <v>Item 105, pg 25</v>
      </c>
      <c r="C61" s="289" t="str">
        <f>'Tariff Changes'!A46</f>
        <v>8 Yard Special Pickup</v>
      </c>
      <c r="D61" s="152">
        <v>1</v>
      </c>
      <c r="E61" s="78">
        <v>1</v>
      </c>
      <c r="F61" s="153">
        <f t="shared" si="86"/>
        <v>12</v>
      </c>
      <c r="G61" s="154">
        <f>References!B33</f>
        <v>980</v>
      </c>
      <c r="H61" s="77">
        <f t="shared" si="83"/>
        <v>11760</v>
      </c>
      <c r="I61" s="55">
        <f t="shared" si="81"/>
        <v>8748.3408346518936</v>
      </c>
      <c r="J61" s="76">
        <f>(References!$C$49*I61)</f>
        <v>63.075537417840223</v>
      </c>
      <c r="K61" s="76">
        <f>J61/References!$G$52</f>
        <v>64.711110741840244</v>
      </c>
      <c r="L61" s="76">
        <f t="shared" si="84"/>
        <v>5.3925925618200203</v>
      </c>
      <c r="M61" s="155">
        <f>'Tariff Changes'!C46</f>
        <v>137.69999999999999</v>
      </c>
      <c r="N61" s="310">
        <f t="shared" si="85"/>
        <v>143.09259256182</v>
      </c>
      <c r="O61" s="155">
        <f>'Tariff Changes'!E46</f>
        <v>143.44</v>
      </c>
      <c r="P61" s="76"/>
      <c r="Q61" s="76"/>
      <c r="R61" s="76"/>
      <c r="S61" s="76"/>
      <c r="T61" s="76"/>
      <c r="U61" s="76"/>
      <c r="V61" s="76"/>
      <c r="W61" s="76"/>
      <c r="X61" s="68"/>
      <c r="Y61" s="68"/>
    </row>
    <row r="62" spans="1:25">
      <c r="A62" s="287"/>
      <c r="B62" s="288" t="str">
        <f>'Tariff Changes'!$A$48</f>
        <v>Item 106, pg 28 Compacted</v>
      </c>
      <c r="C62" s="289" t="str">
        <f>'Tariff Changes'!A49</f>
        <v>1 Yard</v>
      </c>
      <c r="D62" s="152">
        <v>1</v>
      </c>
      <c r="E62" s="78">
        <v>1</v>
      </c>
      <c r="F62" s="153">
        <f t="shared" si="86"/>
        <v>12</v>
      </c>
      <c r="G62" s="154">
        <f>References!B34</f>
        <v>482</v>
      </c>
      <c r="H62" s="77">
        <f t="shared" si="83"/>
        <v>5784</v>
      </c>
      <c r="I62" s="55">
        <f t="shared" si="81"/>
        <v>4302.7553901042984</v>
      </c>
      <c r="J62" s="76">
        <f>(References!$C$49*I62)</f>
        <v>31.022866362652024</v>
      </c>
      <c r="K62" s="76">
        <f>J62/References!$G$52</f>
        <v>31.827301405680604</v>
      </c>
      <c r="L62" s="76">
        <f t="shared" si="84"/>
        <v>2.6522751171400505</v>
      </c>
      <c r="M62" s="155">
        <f>'Tariff Changes'!C49</f>
        <v>119.81</v>
      </c>
      <c r="N62" s="310">
        <f t="shared" si="85"/>
        <v>122.46227511714005</v>
      </c>
      <c r="O62" s="155">
        <f>'Tariff Changes'!E49</f>
        <v>123.88</v>
      </c>
      <c r="P62" s="76"/>
      <c r="Q62" s="76"/>
      <c r="R62" s="76"/>
      <c r="S62" s="76"/>
      <c r="T62" s="76"/>
      <c r="U62" s="76"/>
      <c r="V62" s="76"/>
      <c r="W62" s="76"/>
      <c r="X62" s="68"/>
      <c r="Y62" s="68"/>
    </row>
    <row r="63" spans="1:25">
      <c r="A63" s="287"/>
      <c r="B63" s="288" t="str">
        <f>'Tariff Changes'!$A$48</f>
        <v>Item 106, pg 28 Compacted</v>
      </c>
      <c r="C63" s="289" t="str">
        <f>'Tariff Changes'!A50</f>
        <v>2 Yard</v>
      </c>
      <c r="D63" s="152">
        <v>1</v>
      </c>
      <c r="E63" s="78">
        <v>1</v>
      </c>
      <c r="F63" s="153">
        <f t="shared" si="86"/>
        <v>12</v>
      </c>
      <c r="G63" s="154">
        <f>References!B36</f>
        <v>892</v>
      </c>
      <c r="H63" s="77">
        <f t="shared" si="83"/>
        <v>10704</v>
      </c>
      <c r="I63" s="55">
        <f t="shared" si="81"/>
        <v>7962.7755352137647</v>
      </c>
      <c r="J63" s="76">
        <f>(References!$C$49*I63)</f>
        <v>57.411611608891306</v>
      </c>
      <c r="K63" s="76">
        <f>J63/References!$G$52</f>
        <v>58.900317124205607</v>
      </c>
      <c r="L63" s="76">
        <f t="shared" si="84"/>
        <v>4.9083597603504669</v>
      </c>
      <c r="M63" s="155">
        <f>'Tariff Changes'!C50</f>
        <v>168.54</v>
      </c>
      <c r="N63" s="310">
        <f t="shared" si="85"/>
        <v>173.44835976035046</v>
      </c>
      <c r="O63" s="155">
        <f>'Tariff Changes'!E50</f>
        <v>173.56</v>
      </c>
      <c r="P63" s="76"/>
      <c r="Q63" s="76"/>
      <c r="R63" s="76"/>
      <c r="S63" s="76"/>
      <c r="T63" s="76"/>
      <c r="U63" s="76"/>
      <c r="V63" s="76"/>
      <c r="W63" s="76"/>
      <c r="X63" s="68"/>
      <c r="Y63" s="68"/>
    </row>
    <row r="64" spans="1:25">
      <c r="A64" s="287"/>
      <c r="B64" s="288" t="str">
        <f>'Tariff Changes'!$A$48</f>
        <v>Item 106, pg 28 Compacted</v>
      </c>
      <c r="C64" s="289" t="str">
        <f>'Tariff Changes'!A51</f>
        <v>3 Yard</v>
      </c>
      <c r="D64" s="152">
        <v>1</v>
      </c>
      <c r="E64" s="78">
        <v>1</v>
      </c>
      <c r="F64" s="153">
        <f t="shared" si="86"/>
        <v>12</v>
      </c>
      <c r="G64" s="154">
        <f>References!B37</f>
        <v>1301</v>
      </c>
      <c r="H64" s="77">
        <f t="shared" si="83"/>
        <v>15612</v>
      </c>
      <c r="I64" s="55">
        <f t="shared" si="81"/>
        <v>11613.868801920524</v>
      </c>
      <c r="J64" s="76">
        <f>(References!$C$49*I64)</f>
        <v>83.735994061847066</v>
      </c>
      <c r="K64" s="76">
        <f>J64/References!$G$52</f>
        <v>85.90730109707566</v>
      </c>
      <c r="L64" s="76">
        <f t="shared" si="84"/>
        <v>7.1589417580896386</v>
      </c>
      <c r="M64" s="155">
        <f>'Tariff Changes'!C51</f>
        <v>209.11</v>
      </c>
      <c r="N64" s="310">
        <f t="shared" si="85"/>
        <v>216.26894175808965</v>
      </c>
      <c r="O64" s="155">
        <f>'Tariff Changes'!E51</f>
        <v>216.65</v>
      </c>
      <c r="P64" s="76"/>
      <c r="Q64" s="76"/>
      <c r="R64" s="76"/>
      <c r="S64" s="76"/>
      <c r="T64" s="76"/>
      <c r="U64" s="76"/>
      <c r="V64" s="76"/>
      <c r="W64" s="76"/>
      <c r="X64" s="68"/>
      <c r="Y64" s="68"/>
    </row>
    <row r="65" spans="1:25">
      <c r="A65" s="287"/>
      <c r="B65" s="288" t="str">
        <f>'Tariff Changes'!$A$48</f>
        <v>Item 106, pg 28 Compacted</v>
      </c>
      <c r="C65" s="289" t="str">
        <f>'Tariff Changes'!A52</f>
        <v>4 Yard</v>
      </c>
      <c r="D65" s="152">
        <v>1</v>
      </c>
      <c r="E65" s="78">
        <v>1</v>
      </c>
      <c r="F65" s="153">
        <f t="shared" si="86"/>
        <v>12</v>
      </c>
      <c r="G65" s="154">
        <f>References!B38</f>
        <v>1686</v>
      </c>
      <c r="H65" s="77">
        <f t="shared" si="83"/>
        <v>20232</v>
      </c>
      <c r="I65" s="55">
        <f t="shared" si="81"/>
        <v>15050.716986962339</v>
      </c>
      <c r="J65" s="76">
        <f>(References!$C$49*I65)</f>
        <v>108.51566947599859</v>
      </c>
      <c r="K65" s="76">
        <f>J65/References!$G$52</f>
        <v>111.32952317422719</v>
      </c>
      <c r="L65" s="76">
        <f t="shared" si="84"/>
        <v>9.2774602645189326</v>
      </c>
      <c r="M65" s="155">
        <f>'Tariff Changes'!C52</f>
        <v>247.17</v>
      </c>
      <c r="N65" s="310">
        <f t="shared" si="85"/>
        <v>256.4474602645189</v>
      </c>
      <c r="O65" s="155">
        <f>'Tariff Changes'!E52</f>
        <v>257.22000000000003</v>
      </c>
      <c r="P65" s="76"/>
      <c r="Q65" s="76"/>
      <c r="R65" s="76"/>
      <c r="S65" s="76"/>
      <c r="T65" s="76"/>
      <c r="U65" s="76"/>
      <c r="V65" s="76"/>
      <c r="W65" s="76"/>
      <c r="X65" s="68"/>
      <c r="Y65" s="68"/>
    </row>
    <row r="66" spans="1:25">
      <c r="A66" s="290"/>
      <c r="B66" s="288" t="str">
        <f>'Tariff Changes'!$A$48</f>
        <v>Item 106, pg 28 Compacted</v>
      </c>
      <c r="C66" s="289" t="str">
        <f>'Tariff Changes'!A53</f>
        <v>5 Yard</v>
      </c>
      <c r="D66" s="152">
        <v>1</v>
      </c>
      <c r="E66" s="78">
        <v>1</v>
      </c>
      <c r="F66" s="153">
        <f t="shared" si="86"/>
        <v>12</v>
      </c>
      <c r="G66" s="154">
        <f>References!B39</f>
        <v>2046</v>
      </c>
      <c r="H66" s="77">
        <f t="shared" si="83"/>
        <v>24552</v>
      </c>
      <c r="I66" s="55">
        <f t="shared" si="81"/>
        <v>18264.393211936505</v>
      </c>
      <c r="J66" s="76">
        <f>(References!$C$49*I66)</f>
        <v>131.68627505806236</v>
      </c>
      <c r="K66" s="76">
        <f>J66/References!$G$52</f>
        <v>135.10095161000524</v>
      </c>
      <c r="L66" s="76">
        <f t="shared" si="84"/>
        <v>11.258412634167103</v>
      </c>
      <c r="M66" s="155">
        <f>'Tariff Changes'!C53</f>
        <v>285.81</v>
      </c>
      <c r="N66" s="310">
        <f t="shared" si="85"/>
        <v>297.06841263416709</v>
      </c>
      <c r="O66" s="155">
        <f>'Tariff Changes'!E53</f>
        <v>298.37</v>
      </c>
      <c r="P66" s="76"/>
      <c r="Q66" s="76"/>
      <c r="R66" s="76"/>
      <c r="S66" s="76"/>
      <c r="T66" s="76"/>
      <c r="U66" s="76"/>
      <c r="V66" s="76"/>
      <c r="W66" s="76"/>
      <c r="X66" s="68"/>
      <c r="Y66" s="68"/>
    </row>
    <row r="67" spans="1:25">
      <c r="A67" s="290"/>
      <c r="B67" s="288" t="str">
        <f>'Tariff Changes'!$A$48</f>
        <v>Item 106, pg 28 Compacted</v>
      </c>
      <c r="C67" s="289" t="str">
        <f>'Tariff Changes'!A54</f>
        <v>6 Yard</v>
      </c>
      <c r="D67" s="152">
        <v>1</v>
      </c>
      <c r="E67" s="78">
        <v>1</v>
      </c>
      <c r="F67" s="153">
        <f t="shared" si="86"/>
        <v>12</v>
      </c>
      <c r="G67" s="154">
        <f>References!B40</f>
        <v>2310</v>
      </c>
      <c r="H67" s="77">
        <f t="shared" si="83"/>
        <v>27720</v>
      </c>
      <c r="I67" s="55">
        <f t="shared" si="81"/>
        <v>20621.089110250894</v>
      </c>
      <c r="J67" s="76">
        <f>(References!$C$49*I67)</f>
        <v>148.6780524849091</v>
      </c>
      <c r="K67" s="76">
        <f>J67/References!$G$52</f>
        <v>152.53333246290913</v>
      </c>
      <c r="L67" s="76">
        <f t="shared" si="84"/>
        <v>12.71111103857576</v>
      </c>
      <c r="M67" s="155">
        <f>'Tariff Changes'!C54</f>
        <v>361.69</v>
      </c>
      <c r="N67" s="310">
        <f t="shared" si="85"/>
        <v>374.40111103857578</v>
      </c>
      <c r="O67" s="155">
        <f>'Tariff Changes'!E54</f>
        <v>376.76</v>
      </c>
      <c r="P67" s="76"/>
      <c r="Q67" s="76"/>
      <c r="R67" s="76"/>
      <c r="S67" s="76"/>
      <c r="T67" s="76"/>
      <c r="U67" s="76"/>
      <c r="V67" s="76"/>
      <c r="W67" s="76"/>
      <c r="X67" s="68"/>
      <c r="Y67" s="68"/>
    </row>
    <row r="68" spans="1:25">
      <c r="A68" s="290"/>
      <c r="B68" s="51" t="str">
        <f>'Tariff Changes'!$A$56</f>
        <v>Item 106, pg 29 Compacted</v>
      </c>
      <c r="C68" s="66" t="str">
        <f>'Tariff Changes'!A57</f>
        <v>1 Yard</v>
      </c>
      <c r="D68" s="152">
        <v>1</v>
      </c>
      <c r="E68" s="78">
        <v>1</v>
      </c>
      <c r="F68" s="153">
        <f t="shared" si="86"/>
        <v>12</v>
      </c>
      <c r="G68" s="154">
        <f>References!B34</f>
        <v>482</v>
      </c>
      <c r="H68" s="77">
        <f t="shared" si="83"/>
        <v>5784</v>
      </c>
      <c r="I68" s="55">
        <f t="shared" si="81"/>
        <v>4302.7553901042984</v>
      </c>
      <c r="J68" s="76">
        <f>(References!$C$49*I68)</f>
        <v>31.022866362652024</v>
      </c>
      <c r="K68" s="76">
        <f>J68/References!$G$52</f>
        <v>31.827301405680604</v>
      </c>
      <c r="L68" s="76">
        <f t="shared" si="84"/>
        <v>2.6522751171400505</v>
      </c>
      <c r="M68" s="155">
        <f>'Tariff Changes'!C57</f>
        <v>133.35</v>
      </c>
      <c r="N68" s="310">
        <f t="shared" si="85"/>
        <v>136.00227511714004</v>
      </c>
      <c r="O68" s="155">
        <f>'Tariff Changes'!E57</f>
        <v>137.88</v>
      </c>
      <c r="P68" s="76"/>
      <c r="Q68" s="76"/>
      <c r="R68" s="76"/>
      <c r="S68" s="76"/>
      <c r="T68" s="76"/>
      <c r="U68" s="76"/>
      <c r="V68" s="76"/>
      <c r="W68" s="76"/>
      <c r="X68" s="68"/>
      <c r="Y68" s="68"/>
    </row>
    <row r="69" spans="1:25">
      <c r="A69" s="290"/>
      <c r="B69" s="51" t="str">
        <f>'Tariff Changes'!$A$56</f>
        <v>Item 106, pg 29 Compacted</v>
      </c>
      <c r="C69" s="66" t="str">
        <f>'Tariff Changes'!A58</f>
        <v>2 Yard</v>
      </c>
      <c r="D69" s="152">
        <v>1</v>
      </c>
      <c r="E69" s="78">
        <v>1</v>
      </c>
      <c r="F69" s="153">
        <f t="shared" si="86"/>
        <v>12</v>
      </c>
      <c r="G69" s="154">
        <f>References!B36</f>
        <v>892</v>
      </c>
      <c r="H69" s="77">
        <f t="shared" si="83"/>
        <v>10704</v>
      </c>
      <c r="I69" s="55">
        <f t="shared" si="81"/>
        <v>7962.7755352137647</v>
      </c>
      <c r="J69" s="76">
        <f>(References!$C$49*I69)</f>
        <v>57.411611608891306</v>
      </c>
      <c r="K69" s="76">
        <f>J69/References!$G$52</f>
        <v>58.900317124205607</v>
      </c>
      <c r="L69" s="76">
        <f t="shared" si="84"/>
        <v>4.9083597603504669</v>
      </c>
      <c r="M69" s="155">
        <f>'Tariff Changes'!C58</f>
        <v>203.69</v>
      </c>
      <c r="N69" s="310">
        <f t="shared" si="85"/>
        <v>208.59835976035046</v>
      </c>
      <c r="O69" s="155">
        <f>'Tariff Changes'!E58</f>
        <v>210.87</v>
      </c>
      <c r="P69" s="76"/>
      <c r="Q69" s="76"/>
      <c r="R69" s="76"/>
      <c r="S69" s="76"/>
      <c r="T69" s="76"/>
      <c r="U69" s="76"/>
      <c r="V69" s="76"/>
      <c r="W69" s="76"/>
      <c r="X69" s="68"/>
      <c r="Y69" s="68"/>
    </row>
    <row r="70" spans="1:25" s="68" customFormat="1">
      <c r="A70" s="287"/>
      <c r="B70" s="51" t="str">
        <f>'Tariff Changes'!$A$56</f>
        <v>Item 106, pg 29 Compacted</v>
      </c>
      <c r="C70" s="66" t="str">
        <f>'Tariff Changes'!A59</f>
        <v>3 Yard</v>
      </c>
      <c r="D70" s="152">
        <v>1</v>
      </c>
      <c r="E70" s="78">
        <v>1</v>
      </c>
      <c r="F70" s="153">
        <f t="shared" si="86"/>
        <v>12</v>
      </c>
      <c r="G70" s="154">
        <f>References!B37</f>
        <v>1301</v>
      </c>
      <c r="H70" s="77">
        <f t="shared" si="83"/>
        <v>15612</v>
      </c>
      <c r="I70" s="55">
        <f t="shared" si="81"/>
        <v>11613.868801920524</v>
      </c>
      <c r="J70" s="76">
        <f>(References!$C$49*I70)</f>
        <v>83.735994061847066</v>
      </c>
      <c r="K70" s="76">
        <f>J70/References!$G$52</f>
        <v>85.90730109707566</v>
      </c>
      <c r="L70" s="76">
        <f t="shared" si="84"/>
        <v>7.1589417580896386</v>
      </c>
      <c r="M70" s="155">
        <f>'Tariff Changes'!C59</f>
        <v>258.62</v>
      </c>
      <c r="N70" s="310">
        <f t="shared" si="85"/>
        <v>265.77894175808962</v>
      </c>
      <c r="O70" s="155">
        <f>'Tariff Changes'!E59</f>
        <v>269.39</v>
      </c>
      <c r="P70" s="76"/>
      <c r="Q70" s="76"/>
      <c r="R70" s="76"/>
      <c r="S70" s="76"/>
      <c r="T70" s="76"/>
      <c r="U70" s="76"/>
      <c r="V70" s="76"/>
      <c r="W70" s="76"/>
    </row>
    <row r="71" spans="1:25">
      <c r="A71" s="287"/>
      <c r="B71" s="51" t="str">
        <f>'Tariff Changes'!$A$56</f>
        <v>Item 106, pg 29 Compacted</v>
      </c>
      <c r="C71" s="66" t="str">
        <f>'Tariff Changes'!A60</f>
        <v>4 Yard</v>
      </c>
      <c r="D71" s="152">
        <v>1</v>
      </c>
      <c r="E71" s="78">
        <v>1</v>
      </c>
      <c r="F71" s="153">
        <f t="shared" si="86"/>
        <v>12</v>
      </c>
      <c r="G71" s="154">
        <f>References!B38</f>
        <v>1686</v>
      </c>
      <c r="H71" s="77">
        <f t="shared" si="83"/>
        <v>20232</v>
      </c>
      <c r="I71" s="55">
        <f t="shared" si="81"/>
        <v>15050.716986962339</v>
      </c>
      <c r="J71" s="76">
        <f>(References!$C$49*I71)</f>
        <v>108.51566947599859</v>
      </c>
      <c r="K71" s="76">
        <f>J71/References!$G$52</f>
        <v>111.32952317422719</v>
      </c>
      <c r="L71" s="76">
        <f t="shared" si="84"/>
        <v>9.2774602645189326</v>
      </c>
      <c r="M71" s="155">
        <f>'Tariff Changes'!C60</f>
        <v>313.57</v>
      </c>
      <c r="N71" s="310">
        <f t="shared" si="85"/>
        <v>322.84746026451893</v>
      </c>
      <c r="O71" s="155">
        <f>'Tariff Changes'!E60</f>
        <v>327.93</v>
      </c>
      <c r="P71" s="76"/>
      <c r="Q71" s="76"/>
      <c r="R71" s="76"/>
      <c r="S71" s="76"/>
      <c r="T71" s="76"/>
      <c r="U71" s="76"/>
      <c r="V71" s="76"/>
      <c r="W71" s="76"/>
      <c r="X71" s="68"/>
      <c r="Y71" s="68"/>
    </row>
    <row r="72" spans="1:25">
      <c r="A72" s="287"/>
      <c r="B72" s="51" t="str">
        <f>'Tariff Changes'!$A$56</f>
        <v>Item 106, pg 29 Compacted</v>
      </c>
      <c r="C72" s="66" t="str">
        <f>'Tariff Changes'!A61</f>
        <v>5 Yard</v>
      </c>
      <c r="D72" s="152">
        <v>1</v>
      </c>
      <c r="E72" s="78">
        <v>1</v>
      </c>
      <c r="F72" s="153">
        <f t="shared" si="86"/>
        <v>12</v>
      </c>
      <c r="G72" s="154">
        <f>References!B39</f>
        <v>2046</v>
      </c>
      <c r="H72" s="77">
        <f t="shared" si="83"/>
        <v>24552</v>
      </c>
      <c r="I72" s="55">
        <f t="shared" si="81"/>
        <v>18264.393211936505</v>
      </c>
      <c r="J72" s="76">
        <f>(References!$C$49*I72)</f>
        <v>131.68627505806236</v>
      </c>
      <c r="K72" s="76">
        <f>J72/References!$G$52</f>
        <v>135.10095161000524</v>
      </c>
      <c r="L72" s="76">
        <f t="shared" si="84"/>
        <v>11.258412634167103</v>
      </c>
      <c r="M72" s="155">
        <f>'Tariff Changes'!C61</f>
        <v>368.52</v>
      </c>
      <c r="N72" s="310">
        <f t="shared" si="85"/>
        <v>379.77841263416707</v>
      </c>
      <c r="O72" s="155">
        <f>'Tariff Changes'!E61</f>
        <v>386.47</v>
      </c>
      <c r="P72" s="76"/>
      <c r="Q72" s="76"/>
      <c r="R72" s="76"/>
      <c r="S72" s="76"/>
      <c r="T72" s="76"/>
      <c r="U72" s="76"/>
      <c r="V72" s="76"/>
      <c r="W72" s="76"/>
      <c r="X72" s="68"/>
      <c r="Y72" s="68"/>
    </row>
    <row r="73" spans="1:25">
      <c r="A73" s="287"/>
      <c r="B73" s="51" t="str">
        <f>'Tariff Changes'!$A$56</f>
        <v>Item 106, pg 29 Compacted</v>
      </c>
      <c r="C73" s="66" t="str">
        <f>'Tariff Changes'!A62</f>
        <v>6 Yard</v>
      </c>
      <c r="D73" s="152">
        <v>1</v>
      </c>
      <c r="E73" s="78">
        <v>1</v>
      </c>
      <c r="F73" s="153">
        <f t="shared" si="86"/>
        <v>12</v>
      </c>
      <c r="G73" s="154">
        <f>References!B40</f>
        <v>2310</v>
      </c>
      <c r="H73" s="77">
        <f t="shared" si="83"/>
        <v>27720</v>
      </c>
      <c r="I73" s="55">
        <f t="shared" si="81"/>
        <v>20621.089110250894</v>
      </c>
      <c r="J73" s="76">
        <f>(References!$C$49*I73)</f>
        <v>148.6780524849091</v>
      </c>
      <c r="K73" s="76">
        <f>J73/References!$G$52</f>
        <v>152.53333246290913</v>
      </c>
      <c r="L73" s="76">
        <f t="shared" si="84"/>
        <v>12.71111103857576</v>
      </c>
      <c r="M73" s="155">
        <f>'Tariff Changes'!C62</f>
        <v>423.45</v>
      </c>
      <c r="N73" s="310">
        <f t="shared" si="85"/>
        <v>436.16111103857577</v>
      </c>
      <c r="O73" s="155">
        <f>'Tariff Changes'!E62</f>
        <v>444.99</v>
      </c>
      <c r="P73" s="76"/>
      <c r="Q73" s="76"/>
      <c r="R73" s="76"/>
      <c r="S73" s="76"/>
      <c r="T73" s="76"/>
      <c r="U73" s="76"/>
      <c r="V73" s="76"/>
      <c r="W73" s="76"/>
      <c r="X73" s="68"/>
      <c r="Y73" s="68"/>
    </row>
    <row r="74" spans="1:25">
      <c r="A74" s="287"/>
      <c r="B74" s="51" t="str">
        <f>'Tariff Changes'!$A$64</f>
        <v xml:space="preserve">Item 150, pg 38 </v>
      </c>
      <c r="C74" s="66" t="str">
        <f>'Tariff Changes'!A65</f>
        <v>Bulky</v>
      </c>
      <c r="D74" s="152">
        <v>1</v>
      </c>
      <c r="E74" s="78">
        <v>1</v>
      </c>
      <c r="F74" s="153">
        <f t="shared" si="86"/>
        <v>12</v>
      </c>
      <c r="G74" s="154">
        <f>References!B42</f>
        <v>125</v>
      </c>
      <c r="H74" s="77">
        <f t="shared" si="83"/>
        <v>1500</v>
      </c>
      <c r="I74" s="55">
        <f t="shared" si="81"/>
        <v>1115.8598003382517</v>
      </c>
      <c r="J74" s="76">
        <f>(References!$C$49*I74)</f>
        <v>8.0453491604388034</v>
      </c>
      <c r="K74" s="76">
        <f>J74/References!$G$52</f>
        <v>8.253968206867377</v>
      </c>
      <c r="L74" s="76">
        <f t="shared" si="84"/>
        <v>0.68783068390561475</v>
      </c>
      <c r="M74" s="155">
        <f>'Tariff Changes'!C65</f>
        <v>13.8</v>
      </c>
      <c r="N74" s="310">
        <f t="shared" si="85"/>
        <v>14.487830683905615</v>
      </c>
      <c r="O74" s="155">
        <f>'Tariff Changes'!E65</f>
        <v>14.32</v>
      </c>
      <c r="P74" s="76"/>
      <c r="Q74" s="76"/>
      <c r="R74" s="76"/>
      <c r="S74" s="76"/>
      <c r="T74" s="76"/>
      <c r="U74" s="76"/>
      <c r="V74" s="76"/>
      <c r="W74" s="76"/>
      <c r="X74" s="68"/>
      <c r="Y74" s="68"/>
    </row>
    <row r="75" spans="1:25">
      <c r="A75" s="287"/>
      <c r="B75" s="51" t="str">
        <f>'Tariff Changes'!$A$64</f>
        <v xml:space="preserve">Item 150, pg 38 </v>
      </c>
      <c r="C75" s="66" t="str">
        <f>'Tariff Changes'!A66</f>
        <v>Loose Material</v>
      </c>
      <c r="D75" s="152">
        <v>1</v>
      </c>
      <c r="E75" s="78">
        <v>1</v>
      </c>
      <c r="F75" s="153">
        <f t="shared" si="86"/>
        <v>12</v>
      </c>
      <c r="G75" s="154">
        <f>References!B42</f>
        <v>125</v>
      </c>
      <c r="H75" s="77">
        <f t="shared" si="83"/>
        <v>1500</v>
      </c>
      <c r="I75" s="55">
        <f t="shared" si="81"/>
        <v>1115.8598003382517</v>
      </c>
      <c r="J75" s="76">
        <f>(References!$C$49*I75)</f>
        <v>8.0453491604388034</v>
      </c>
      <c r="K75" s="76">
        <f>J75/References!$G$52</f>
        <v>8.253968206867377</v>
      </c>
      <c r="L75" s="76">
        <f t="shared" si="84"/>
        <v>0.68783068390561475</v>
      </c>
      <c r="M75" s="155">
        <f>'Tariff Changes'!C66</f>
        <v>13.8</v>
      </c>
      <c r="N75" s="310">
        <f t="shared" si="85"/>
        <v>14.487830683905615</v>
      </c>
      <c r="O75" s="155">
        <f>'Tariff Changes'!E66</f>
        <v>14.32</v>
      </c>
      <c r="P75" s="76"/>
      <c r="Q75" s="76"/>
      <c r="R75" s="76"/>
      <c r="S75" s="76"/>
      <c r="T75" s="76"/>
      <c r="U75" s="76"/>
      <c r="V75" s="76"/>
      <c r="W75" s="76"/>
      <c r="X75" s="68"/>
      <c r="Y75" s="68"/>
    </row>
    <row r="76" spans="1:25">
      <c r="A76" s="287"/>
      <c r="B76" s="51" t="str">
        <f>'Tariff Changes'!$A$71</f>
        <v>Item 240, pg 39</v>
      </c>
      <c r="C76" s="66" t="str">
        <f>'Tariff Changes'!A73</f>
        <v>64 Gallon</v>
      </c>
      <c r="D76" s="152">
        <v>1</v>
      </c>
      <c r="E76" s="78">
        <v>1</v>
      </c>
      <c r="F76" s="153">
        <f t="shared" si="86"/>
        <v>12</v>
      </c>
      <c r="G76" s="154">
        <f>References!B21</f>
        <v>47</v>
      </c>
      <c r="H76" s="77">
        <f t="shared" si="83"/>
        <v>564</v>
      </c>
      <c r="I76" s="55">
        <f t="shared" si="81"/>
        <v>419.56328492718268</v>
      </c>
      <c r="J76" s="76">
        <f>(References!$C$49*I76)</f>
        <v>3.0250512843249906</v>
      </c>
      <c r="K76" s="76">
        <f>J76/References!$G$52</f>
        <v>3.1034920457821342</v>
      </c>
      <c r="L76" s="76">
        <f t="shared" si="84"/>
        <v>0.25862433714851119</v>
      </c>
      <c r="M76" s="155">
        <f>'Tariff Changes'!C73</f>
        <v>6.15</v>
      </c>
      <c r="N76" s="310">
        <f t="shared" si="85"/>
        <v>6.4086243371485114</v>
      </c>
      <c r="O76" s="155">
        <f>'Tariff Changes'!E73</f>
        <v>6.38</v>
      </c>
      <c r="P76" s="76"/>
      <c r="Q76" s="76"/>
      <c r="R76" s="76"/>
      <c r="S76" s="76"/>
      <c r="T76" s="76"/>
      <c r="U76" s="76"/>
      <c r="V76" s="76"/>
      <c r="W76" s="76"/>
      <c r="X76" s="68"/>
      <c r="Y76" s="68"/>
    </row>
    <row r="77" spans="1:25">
      <c r="A77" s="287"/>
      <c r="B77" s="51" t="str">
        <f>'Tariff Changes'!$A$71</f>
        <v>Item 240, pg 39</v>
      </c>
      <c r="C77" s="66" t="str">
        <f>'Tariff Changes'!A74</f>
        <v>96 Gallon First Pickup</v>
      </c>
      <c r="D77" s="152">
        <v>1</v>
      </c>
      <c r="E77" s="78">
        <v>1</v>
      </c>
      <c r="F77" s="153">
        <f t="shared" si="86"/>
        <v>12</v>
      </c>
      <c r="G77" s="154">
        <f>References!B22</f>
        <v>68</v>
      </c>
      <c r="H77" s="77">
        <f t="shared" si="83"/>
        <v>816</v>
      </c>
      <c r="I77" s="55">
        <f t="shared" si="81"/>
        <v>607.02773138400892</v>
      </c>
      <c r="J77" s="76">
        <f>(References!$C$49*I77)</f>
        <v>4.3766699432787091</v>
      </c>
      <c r="K77" s="76">
        <f>J77/References!$G$52</f>
        <v>4.4901587045358529</v>
      </c>
      <c r="L77" s="76">
        <f t="shared" si="84"/>
        <v>0.37417989204465441</v>
      </c>
      <c r="M77" s="155">
        <f>'Tariff Changes'!C74</f>
        <v>9.2200000000000006</v>
      </c>
      <c r="N77" s="310">
        <f t="shared" si="85"/>
        <v>9.5941798920446555</v>
      </c>
      <c r="O77" s="155">
        <f>'Tariff Changes'!E74</f>
        <v>9.56</v>
      </c>
      <c r="P77" s="76"/>
      <c r="Q77" s="76"/>
      <c r="R77" s="76"/>
      <c r="S77" s="76"/>
      <c r="T77" s="76"/>
      <c r="U77" s="76"/>
      <c r="V77" s="76"/>
      <c r="W77" s="76"/>
      <c r="X77" s="68"/>
      <c r="Y77" s="68"/>
    </row>
    <row r="78" spans="1:25">
      <c r="A78" s="287"/>
      <c r="B78" s="51" t="str">
        <f>'Tariff Changes'!$A$71</f>
        <v>Item 240, pg 39</v>
      </c>
      <c r="C78" s="66" t="str">
        <f>'Tariff Changes'!A83</f>
        <v>32 Gallon Special</v>
      </c>
      <c r="D78" s="152">
        <v>1</v>
      </c>
      <c r="E78" s="78">
        <v>1</v>
      </c>
      <c r="F78" s="153">
        <f t="shared" si="86"/>
        <v>12</v>
      </c>
      <c r="G78" s="154">
        <f>References!B26</f>
        <v>29</v>
      </c>
      <c r="H78" s="77">
        <f t="shared" si="83"/>
        <v>348</v>
      </c>
      <c r="I78" s="55">
        <f t="shared" si="81"/>
        <v>258.87947367847443</v>
      </c>
      <c r="J78" s="76">
        <f>(References!$C$49*I78)</f>
        <v>1.8665210052218026</v>
      </c>
      <c r="K78" s="76">
        <f>J78/References!$G$52</f>
        <v>1.9149206239932317</v>
      </c>
      <c r="L78" s="76">
        <f t="shared" si="84"/>
        <v>0.15957671866610265</v>
      </c>
      <c r="M78" s="155">
        <f>'Tariff Changes'!C83</f>
        <v>8.4499999999999993</v>
      </c>
      <c r="N78" s="310">
        <f t="shared" si="85"/>
        <v>8.6095767186661014</v>
      </c>
      <c r="O78" s="155">
        <f>'Tariff Changes'!E83</f>
        <v>8.6999999999999993</v>
      </c>
      <c r="P78" s="76"/>
      <c r="Q78" s="76"/>
      <c r="R78" s="76"/>
      <c r="S78" s="76"/>
      <c r="T78" s="76"/>
      <c r="U78" s="76"/>
      <c r="V78" s="76"/>
      <c r="W78" s="76"/>
      <c r="X78" s="68"/>
      <c r="Y78" s="68"/>
    </row>
    <row r="79" spans="1:25">
      <c r="A79" s="287"/>
      <c r="B79" s="51" t="str">
        <f>'Tariff Changes'!$A$71</f>
        <v>Item 240, pg 39</v>
      </c>
      <c r="C79" s="66" t="str">
        <f>'Tariff Changes'!A84</f>
        <v>64 Gallon Special</v>
      </c>
      <c r="D79" s="152">
        <v>1</v>
      </c>
      <c r="E79" s="78">
        <v>1</v>
      </c>
      <c r="F79" s="153">
        <f t="shared" si="86"/>
        <v>12</v>
      </c>
      <c r="G79" s="154">
        <f>References!B21</f>
        <v>47</v>
      </c>
      <c r="H79" s="77">
        <f t="shared" si="83"/>
        <v>564</v>
      </c>
      <c r="I79" s="55">
        <f t="shared" ref="I79:I98" si="87">$D$108*H79</f>
        <v>419.56328492718268</v>
      </c>
      <c r="J79" s="76">
        <f>(References!$C$49*I79)</f>
        <v>3.0250512843249906</v>
      </c>
      <c r="K79" s="76">
        <f>J79/References!$G$52</f>
        <v>3.1034920457821342</v>
      </c>
      <c r="L79" s="76">
        <f t="shared" si="84"/>
        <v>0.25862433714851119</v>
      </c>
      <c r="M79" s="155">
        <f>'Tariff Changes'!C84</f>
        <v>9.5399999999999991</v>
      </c>
      <c r="N79" s="310">
        <f t="shared" si="85"/>
        <v>9.7986243371485102</v>
      </c>
      <c r="O79" s="155">
        <f>'Tariff Changes'!E84</f>
        <v>9.89</v>
      </c>
      <c r="P79" s="76"/>
      <c r="Q79" s="76"/>
      <c r="R79" s="76"/>
      <c r="S79" s="76"/>
      <c r="T79" s="76"/>
      <c r="U79" s="76"/>
      <c r="V79" s="76"/>
      <c r="W79" s="76"/>
      <c r="X79" s="68"/>
      <c r="Y79" s="68"/>
    </row>
    <row r="80" spans="1:25">
      <c r="A80" s="287"/>
      <c r="B80" s="51" t="str">
        <f>'Tariff Changes'!$A$71</f>
        <v>Item 240, pg 39</v>
      </c>
      <c r="C80" s="66" t="str">
        <f>'Tariff Changes'!A85</f>
        <v>96 Gallon Special</v>
      </c>
      <c r="D80" s="152">
        <v>1</v>
      </c>
      <c r="E80" s="78">
        <v>1</v>
      </c>
      <c r="F80" s="153">
        <f t="shared" si="86"/>
        <v>12</v>
      </c>
      <c r="G80" s="154">
        <f>References!B22</f>
        <v>68</v>
      </c>
      <c r="H80" s="77">
        <f t="shared" si="83"/>
        <v>816</v>
      </c>
      <c r="I80" s="55">
        <f t="shared" si="87"/>
        <v>607.02773138400892</v>
      </c>
      <c r="J80" s="76">
        <f>(References!$C$49*I80)</f>
        <v>4.3766699432787091</v>
      </c>
      <c r="K80" s="76">
        <f>J80/References!$G$52</f>
        <v>4.4901587045358529</v>
      </c>
      <c r="L80" s="76">
        <f t="shared" si="84"/>
        <v>0.37417989204465441</v>
      </c>
      <c r="M80" s="155">
        <f>'Tariff Changes'!C85</f>
        <v>11.67</v>
      </c>
      <c r="N80" s="310">
        <f t="shared" si="85"/>
        <v>12.044179892044655</v>
      </c>
      <c r="O80" s="155">
        <f>'Tariff Changes'!E85</f>
        <v>12.1</v>
      </c>
      <c r="P80" s="76"/>
      <c r="Q80" s="76"/>
      <c r="R80" s="76"/>
      <c r="S80" s="76"/>
      <c r="T80" s="76"/>
      <c r="U80" s="76"/>
      <c r="V80" s="76"/>
      <c r="W80" s="76"/>
      <c r="X80" s="68"/>
      <c r="Y80" s="68"/>
    </row>
    <row r="81" spans="1:25">
      <c r="A81" s="290"/>
      <c r="B81" s="320" t="str">
        <f>'Tariff Changes'!$A$71</f>
        <v>Item 240, pg 39</v>
      </c>
      <c r="C81" s="321" t="str">
        <f>'Tariff Changes'!A87</f>
        <v>1.5 Yard First Pickup</v>
      </c>
      <c r="D81" s="322">
        <v>1</v>
      </c>
      <c r="E81" s="323">
        <v>1</v>
      </c>
      <c r="F81" s="324">
        <f t="shared" si="86"/>
        <v>12</v>
      </c>
      <c r="G81" s="325">
        <f>References!B27</f>
        <v>175</v>
      </c>
      <c r="H81" s="326">
        <f t="shared" si="83"/>
        <v>2100</v>
      </c>
      <c r="I81" s="327">
        <f t="shared" si="87"/>
        <v>1562.2037204735525</v>
      </c>
      <c r="J81" s="317">
        <f>(References!$C$49*I81)</f>
        <v>11.263488824614326</v>
      </c>
      <c r="K81" s="317">
        <f>J81/References!$G$52</f>
        <v>11.555555489614328</v>
      </c>
      <c r="L81" s="317">
        <f t="shared" si="84"/>
        <v>0.96296295746786065</v>
      </c>
      <c r="M81" s="328">
        <f>'Tariff Changes'!C87</f>
        <v>27.984999999999999</v>
      </c>
      <c r="N81" s="310">
        <f t="shared" si="85"/>
        <v>28.947962957467858</v>
      </c>
      <c r="O81" s="155">
        <f>'Tariff Changes'!E87</f>
        <v>29.03</v>
      </c>
      <c r="P81" s="76"/>
      <c r="Q81" s="76"/>
      <c r="R81" s="76"/>
      <c r="S81" s="76"/>
      <c r="T81" s="76"/>
      <c r="U81" s="76"/>
      <c r="V81" s="76"/>
      <c r="W81" s="76"/>
      <c r="X81" s="68"/>
      <c r="Y81" s="68"/>
    </row>
    <row r="82" spans="1:25">
      <c r="A82" s="290"/>
      <c r="B82" s="51" t="str">
        <f>'Tariff Changes'!$A$94</f>
        <v>Item 245, pg 40</v>
      </c>
      <c r="C82" s="87" t="str">
        <f>'Tariff Changes'!A96</f>
        <v>64 Gallon</v>
      </c>
      <c r="D82" s="152">
        <v>1</v>
      </c>
      <c r="E82" s="78">
        <v>1</v>
      </c>
      <c r="F82" s="153">
        <f t="shared" si="86"/>
        <v>12</v>
      </c>
      <c r="G82" s="154">
        <f>References!B21</f>
        <v>47</v>
      </c>
      <c r="H82" s="77">
        <f t="shared" si="83"/>
        <v>564</v>
      </c>
      <c r="I82" s="55">
        <f t="shared" si="87"/>
        <v>419.56328492718268</v>
      </c>
      <c r="J82" s="76">
        <f>(References!$C$49*I82)</f>
        <v>3.0250512843249906</v>
      </c>
      <c r="K82" s="76">
        <f>J82/References!$G$52</f>
        <v>3.1034920457821342</v>
      </c>
      <c r="L82" s="76">
        <f t="shared" si="84"/>
        <v>0.25862433714851119</v>
      </c>
      <c r="M82" s="155">
        <f>'Tariff Changes'!C96</f>
        <v>6.15</v>
      </c>
      <c r="N82" s="310">
        <f t="shared" si="85"/>
        <v>6.4086243371485114</v>
      </c>
      <c r="O82" s="155">
        <f>'Tariff Changes'!E96</f>
        <v>6.38</v>
      </c>
      <c r="P82" s="76"/>
      <c r="Q82" s="76"/>
      <c r="R82" s="76"/>
      <c r="S82" s="76"/>
      <c r="T82" s="76"/>
      <c r="U82" s="76"/>
      <c r="V82" s="76"/>
      <c r="W82" s="76"/>
      <c r="X82" s="68"/>
      <c r="Y82" s="68"/>
    </row>
    <row r="83" spans="1:25">
      <c r="A83" s="290"/>
      <c r="B83" s="51" t="str">
        <f>'Tariff Changes'!$A$94</f>
        <v>Item 245, pg 40</v>
      </c>
      <c r="C83" s="87" t="str">
        <f>'Tariff Changes'!A97</f>
        <v>96 Gallon First Pickup</v>
      </c>
      <c r="D83" s="152">
        <v>1</v>
      </c>
      <c r="E83" s="78">
        <v>1</v>
      </c>
      <c r="F83" s="153">
        <f t="shared" si="86"/>
        <v>12</v>
      </c>
      <c r="G83" s="154">
        <f>References!B22</f>
        <v>68</v>
      </c>
      <c r="H83" s="77">
        <f t="shared" si="83"/>
        <v>816</v>
      </c>
      <c r="I83" s="55">
        <f t="shared" si="87"/>
        <v>607.02773138400892</v>
      </c>
      <c r="J83" s="76">
        <f>(References!$C$49*I83)</f>
        <v>4.3766699432787091</v>
      </c>
      <c r="K83" s="76">
        <f>J83/References!$G$52</f>
        <v>4.4901587045358529</v>
      </c>
      <c r="L83" s="76">
        <f t="shared" si="84"/>
        <v>0.37417989204465441</v>
      </c>
      <c r="M83" s="155">
        <f>'Tariff Changes'!C97</f>
        <v>9.2200000000000006</v>
      </c>
      <c r="N83" s="310">
        <f t="shared" si="85"/>
        <v>9.5941798920446555</v>
      </c>
      <c r="O83" s="155">
        <f>'Tariff Changes'!E97</f>
        <v>9.56</v>
      </c>
      <c r="P83" s="76"/>
      <c r="Q83" s="76"/>
      <c r="R83" s="76"/>
      <c r="S83" s="76"/>
      <c r="T83" s="76"/>
      <c r="U83" s="76"/>
      <c r="V83" s="76"/>
      <c r="W83" s="76"/>
      <c r="X83" s="68"/>
      <c r="Y83" s="68"/>
    </row>
    <row r="84" spans="1:25">
      <c r="A84" s="287"/>
      <c r="B84" s="51" t="str">
        <f>'Tariff Changes'!$A$94</f>
        <v>Item 245, pg 40</v>
      </c>
      <c r="C84" s="66" t="str">
        <f>'Tariff Changes'!A99</f>
        <v>32 Gallon Special</v>
      </c>
      <c r="D84" s="152">
        <v>1</v>
      </c>
      <c r="E84" s="78">
        <v>1</v>
      </c>
      <c r="F84" s="153">
        <f t="shared" si="86"/>
        <v>12</v>
      </c>
      <c r="G84" s="154">
        <f>References!B26</f>
        <v>29</v>
      </c>
      <c r="H84" s="77">
        <f t="shared" si="83"/>
        <v>348</v>
      </c>
      <c r="I84" s="55">
        <f t="shared" si="87"/>
        <v>258.87947367847443</v>
      </c>
      <c r="J84" s="76">
        <f>(References!$C$49*I84)</f>
        <v>1.8665210052218026</v>
      </c>
      <c r="K84" s="76">
        <f>J84/References!$G$52</f>
        <v>1.9149206239932317</v>
      </c>
      <c r="L84" s="76">
        <f t="shared" si="84"/>
        <v>0.15957671866610265</v>
      </c>
      <c r="M84" s="155">
        <f>'Tariff Changes'!C99</f>
        <v>8.4499999999999993</v>
      </c>
      <c r="N84" s="310">
        <f t="shared" si="85"/>
        <v>8.6095767186661014</v>
      </c>
      <c r="O84" s="155">
        <f>'Tariff Changes'!E99</f>
        <v>8.6999999999999993</v>
      </c>
      <c r="P84" s="76"/>
      <c r="Q84" s="76"/>
      <c r="R84" s="76"/>
      <c r="S84" s="76"/>
      <c r="T84" s="76"/>
      <c r="U84" s="76"/>
      <c r="V84" s="76"/>
      <c r="W84" s="76"/>
      <c r="X84" s="68"/>
      <c r="Y84" s="68"/>
    </row>
    <row r="85" spans="1:25">
      <c r="A85" s="287"/>
      <c r="B85" s="51" t="str">
        <f>'Tariff Changes'!$A$94</f>
        <v>Item 245, pg 40</v>
      </c>
      <c r="C85" s="66" t="str">
        <f>'Tariff Changes'!A100</f>
        <v>64 Gallon Special</v>
      </c>
      <c r="D85" s="152">
        <v>1</v>
      </c>
      <c r="E85" s="78">
        <v>1</v>
      </c>
      <c r="F85" s="153">
        <f t="shared" si="86"/>
        <v>12</v>
      </c>
      <c r="G85" s="154">
        <f>References!B21</f>
        <v>47</v>
      </c>
      <c r="H85" s="77">
        <f t="shared" si="83"/>
        <v>564</v>
      </c>
      <c r="I85" s="55">
        <f t="shared" si="87"/>
        <v>419.56328492718268</v>
      </c>
      <c r="J85" s="76">
        <f>(References!$C$49*I85)</f>
        <v>3.0250512843249906</v>
      </c>
      <c r="K85" s="76">
        <f>J85/References!$G$52</f>
        <v>3.1034920457821342</v>
      </c>
      <c r="L85" s="76">
        <f t="shared" si="84"/>
        <v>0.25862433714851119</v>
      </c>
      <c r="M85" s="155">
        <f>'Tariff Changes'!C100</f>
        <v>9.5399999999999991</v>
      </c>
      <c r="N85" s="310">
        <f t="shared" si="85"/>
        <v>9.7986243371485102</v>
      </c>
      <c r="O85" s="155">
        <f>'Tariff Changes'!E100</f>
        <v>9.89</v>
      </c>
      <c r="P85" s="76"/>
      <c r="Q85" s="76"/>
      <c r="R85" s="76"/>
      <c r="S85" s="76"/>
      <c r="T85" s="76"/>
      <c r="U85" s="76"/>
      <c r="V85" s="76"/>
      <c r="W85" s="76"/>
      <c r="X85" s="68"/>
      <c r="Y85" s="68"/>
    </row>
    <row r="86" spans="1:25">
      <c r="A86" s="287"/>
      <c r="B86" s="51" t="str">
        <f>'Tariff Changes'!$A$94</f>
        <v>Item 245, pg 40</v>
      </c>
      <c r="C86" s="66" t="str">
        <f>'Tariff Changes'!A101</f>
        <v>96 Gallon Special</v>
      </c>
      <c r="D86" s="152">
        <v>1</v>
      </c>
      <c r="E86" s="78">
        <v>1</v>
      </c>
      <c r="F86" s="153">
        <f t="shared" si="86"/>
        <v>12</v>
      </c>
      <c r="G86" s="154">
        <f>References!B22</f>
        <v>68</v>
      </c>
      <c r="H86" s="77">
        <f t="shared" si="83"/>
        <v>816</v>
      </c>
      <c r="I86" s="55">
        <f t="shared" si="87"/>
        <v>607.02773138400892</v>
      </c>
      <c r="J86" s="76">
        <f>(References!$C$49*I86)</f>
        <v>4.3766699432787091</v>
      </c>
      <c r="K86" s="76">
        <f>J86/References!$G$52</f>
        <v>4.4901587045358529</v>
      </c>
      <c r="L86" s="76">
        <f t="shared" si="84"/>
        <v>0.37417989204465441</v>
      </c>
      <c r="M86" s="155">
        <f>'Tariff Changes'!C101</f>
        <v>11.67</v>
      </c>
      <c r="N86" s="310">
        <f t="shared" si="85"/>
        <v>12.044179892044655</v>
      </c>
      <c r="O86" s="155">
        <f>'Tariff Changes'!E101</f>
        <v>12.1</v>
      </c>
      <c r="P86" s="76"/>
      <c r="Q86" s="76"/>
      <c r="R86" s="76"/>
      <c r="S86" s="76"/>
      <c r="T86" s="76"/>
      <c r="U86" s="76"/>
      <c r="V86" s="76"/>
      <c r="W86" s="76"/>
      <c r="X86" s="68"/>
      <c r="Y86" s="68"/>
    </row>
    <row r="87" spans="1:25">
      <c r="A87" s="287"/>
      <c r="B87" s="51" t="str">
        <f>'Tariff Changes'!$A$103</f>
        <v>Item 255, pg 41 Compacted</v>
      </c>
      <c r="C87" s="66" t="str">
        <f>'Tariff Changes'!A104</f>
        <v>1 Yard</v>
      </c>
      <c r="D87" s="152">
        <v>1</v>
      </c>
      <c r="E87" s="78">
        <v>1</v>
      </c>
      <c r="F87" s="153">
        <f t="shared" si="86"/>
        <v>12</v>
      </c>
      <c r="G87" s="154">
        <f>References!B34</f>
        <v>482</v>
      </c>
      <c r="H87" s="77">
        <f t="shared" si="83"/>
        <v>5784</v>
      </c>
      <c r="I87" s="55">
        <f t="shared" si="87"/>
        <v>4302.7553901042984</v>
      </c>
      <c r="J87" s="76">
        <f>(References!$C$49*I87)</f>
        <v>31.022866362652024</v>
      </c>
      <c r="K87" s="76">
        <f>J87/References!$G$52</f>
        <v>31.827301405680604</v>
      </c>
      <c r="L87" s="76">
        <f t="shared" si="84"/>
        <v>2.6522751171400505</v>
      </c>
      <c r="M87" s="155">
        <f>'Tariff Changes'!C104</f>
        <v>113.74</v>
      </c>
      <c r="N87" s="310">
        <f t="shared" si="85"/>
        <v>116.39227511714004</v>
      </c>
      <c r="O87" s="155">
        <f>'Tariff Changes'!E104</f>
        <v>117.95</v>
      </c>
      <c r="P87" s="76"/>
      <c r="Q87" s="76"/>
      <c r="R87" s="76"/>
      <c r="S87" s="76"/>
      <c r="T87" s="76"/>
      <c r="U87" s="76"/>
      <c r="V87" s="76"/>
      <c r="W87" s="76"/>
      <c r="X87" s="68"/>
      <c r="Y87" s="68"/>
    </row>
    <row r="88" spans="1:25">
      <c r="A88" s="287"/>
      <c r="B88" s="51" t="str">
        <f>'Tariff Changes'!$A$103</f>
        <v>Item 255, pg 41 Compacted</v>
      </c>
      <c r="C88" s="66" t="str">
        <f>'Tariff Changes'!A105</f>
        <v>2 Yard</v>
      </c>
      <c r="D88" s="152">
        <v>1</v>
      </c>
      <c r="E88" s="78">
        <v>1</v>
      </c>
      <c r="F88" s="153">
        <f t="shared" si="86"/>
        <v>12</v>
      </c>
      <c r="G88" s="154">
        <f>References!B36</f>
        <v>892</v>
      </c>
      <c r="H88" s="77">
        <f t="shared" si="83"/>
        <v>10704</v>
      </c>
      <c r="I88" s="55">
        <f t="shared" si="87"/>
        <v>7962.7755352137647</v>
      </c>
      <c r="J88" s="76">
        <f>(References!$C$49*I88)</f>
        <v>57.411611608891306</v>
      </c>
      <c r="K88" s="76">
        <f>J88/References!$G$52</f>
        <v>58.900317124205607</v>
      </c>
      <c r="L88" s="76">
        <f t="shared" si="84"/>
        <v>4.9083597603504669</v>
      </c>
      <c r="M88" s="155">
        <f>'Tariff Changes'!C105</f>
        <v>156.4</v>
      </c>
      <c r="N88" s="310">
        <f t="shared" si="85"/>
        <v>161.30835976035047</v>
      </c>
      <c r="O88" s="155">
        <f>'Tariff Changes'!E105</f>
        <v>161.41999999999999</v>
      </c>
      <c r="P88" s="76"/>
      <c r="Q88" s="76"/>
      <c r="R88" s="76"/>
      <c r="S88" s="76"/>
      <c r="T88" s="76"/>
      <c r="U88" s="76"/>
      <c r="V88" s="76"/>
      <c r="W88" s="76"/>
      <c r="X88" s="68"/>
      <c r="Y88" s="68"/>
    </row>
    <row r="89" spans="1:25">
      <c r="A89" s="290"/>
      <c r="B89" s="51" t="str">
        <f>'Tariff Changes'!$A$103</f>
        <v>Item 255, pg 41 Compacted</v>
      </c>
      <c r="C89" s="66" t="str">
        <f>'Tariff Changes'!A106</f>
        <v>3 Yard</v>
      </c>
      <c r="D89" s="152">
        <v>1</v>
      </c>
      <c r="E89" s="78">
        <v>1</v>
      </c>
      <c r="F89" s="153">
        <f t="shared" si="86"/>
        <v>12</v>
      </c>
      <c r="G89" s="154">
        <f>References!B37</f>
        <v>1301</v>
      </c>
      <c r="H89" s="77">
        <f t="shared" si="83"/>
        <v>15612</v>
      </c>
      <c r="I89" s="55">
        <f t="shared" si="87"/>
        <v>11613.868801920524</v>
      </c>
      <c r="J89" s="76">
        <f>(References!$C$49*I89)</f>
        <v>83.735994061847066</v>
      </c>
      <c r="K89" s="76">
        <f>J89/References!$G$52</f>
        <v>85.90730109707566</v>
      </c>
      <c r="L89" s="76">
        <f t="shared" si="84"/>
        <v>7.1589417580896386</v>
      </c>
      <c r="M89" s="155">
        <f>'Tariff Changes'!C106</f>
        <v>190.89</v>
      </c>
      <c r="N89" s="310">
        <f t="shared" si="85"/>
        <v>198.04894175808963</v>
      </c>
      <c r="O89" s="155">
        <f>'Tariff Changes'!E106</f>
        <v>198.43</v>
      </c>
      <c r="P89" s="76"/>
      <c r="Q89" s="76"/>
      <c r="R89" s="76"/>
      <c r="S89" s="76"/>
      <c r="T89" s="76"/>
      <c r="U89" s="76"/>
      <c r="V89" s="76"/>
      <c r="W89" s="76"/>
      <c r="X89" s="68"/>
      <c r="Y89" s="68"/>
    </row>
    <row r="90" spans="1:25">
      <c r="A90" s="290"/>
      <c r="B90" s="51" t="str">
        <f>'Tariff Changes'!$A$103</f>
        <v>Item 255, pg 41 Compacted</v>
      </c>
      <c r="C90" s="66" t="str">
        <f>'Tariff Changes'!A107</f>
        <v>4 Yard</v>
      </c>
      <c r="D90" s="152">
        <v>1</v>
      </c>
      <c r="E90" s="78">
        <v>1</v>
      </c>
      <c r="F90" s="153">
        <f t="shared" si="86"/>
        <v>12</v>
      </c>
      <c r="G90" s="154">
        <f>References!B38</f>
        <v>1686</v>
      </c>
      <c r="H90" s="77">
        <f t="shared" si="83"/>
        <v>20232</v>
      </c>
      <c r="I90" s="55">
        <f t="shared" si="87"/>
        <v>15050.716986962339</v>
      </c>
      <c r="J90" s="76">
        <f>(References!$C$49*I90)</f>
        <v>108.51566947599859</v>
      </c>
      <c r="K90" s="76">
        <f>J90/References!$G$52</f>
        <v>111.32952317422719</v>
      </c>
      <c r="L90" s="76">
        <f t="shared" si="84"/>
        <v>9.2774602645189326</v>
      </c>
      <c r="M90" s="155">
        <f>'Tariff Changes'!C107</f>
        <v>222.88</v>
      </c>
      <c r="N90" s="310">
        <f t="shared" si="85"/>
        <v>232.15746026451893</v>
      </c>
      <c r="O90" s="155">
        <f>'Tariff Changes'!E107</f>
        <v>232.93</v>
      </c>
      <c r="P90" s="76"/>
      <c r="Q90" s="76"/>
      <c r="R90" s="76"/>
      <c r="S90" s="76"/>
      <c r="T90" s="76"/>
      <c r="U90" s="76"/>
      <c r="V90" s="76"/>
      <c r="W90" s="76"/>
      <c r="X90" s="68"/>
      <c r="Y90" s="68"/>
    </row>
    <row r="91" spans="1:25">
      <c r="A91" s="290"/>
      <c r="B91" s="51" t="str">
        <f>'Tariff Changes'!$A$103</f>
        <v>Item 255, pg 41 Compacted</v>
      </c>
      <c r="C91" s="66" t="str">
        <f>'Tariff Changes'!A108</f>
        <v>5 Yard</v>
      </c>
      <c r="D91" s="152">
        <v>1</v>
      </c>
      <c r="E91" s="78">
        <v>1</v>
      </c>
      <c r="F91" s="153">
        <f t="shared" si="86"/>
        <v>12</v>
      </c>
      <c r="G91" s="154">
        <f>References!B39</f>
        <v>2046</v>
      </c>
      <c r="H91" s="77">
        <f t="shared" si="83"/>
        <v>24552</v>
      </c>
      <c r="I91" s="55">
        <f t="shared" si="87"/>
        <v>18264.393211936505</v>
      </c>
      <c r="J91" s="76">
        <f>(References!$C$49*I91)</f>
        <v>131.68627505806236</v>
      </c>
      <c r="K91" s="76">
        <f>J91/References!$G$52</f>
        <v>135.10095161000524</v>
      </c>
      <c r="L91" s="76">
        <f t="shared" si="84"/>
        <v>11.258412634167103</v>
      </c>
      <c r="M91" s="155">
        <f>'Tariff Changes'!C108</f>
        <v>255.45</v>
      </c>
      <c r="N91" s="310">
        <f t="shared" si="85"/>
        <v>266.70841263416708</v>
      </c>
      <c r="O91" s="155">
        <f>'Tariff Changes'!E108</f>
        <v>268.01</v>
      </c>
      <c r="P91" s="76"/>
      <c r="Q91" s="76"/>
      <c r="R91" s="76"/>
      <c r="S91" s="76"/>
      <c r="T91" s="76"/>
      <c r="U91" s="76"/>
      <c r="V91" s="76"/>
      <c r="W91" s="76"/>
      <c r="X91" s="68"/>
      <c r="Y91" s="68"/>
    </row>
    <row r="92" spans="1:25">
      <c r="A92" s="290"/>
      <c r="B92" s="51" t="str">
        <f>'Tariff Changes'!$A$103</f>
        <v>Item 255, pg 41 Compacted</v>
      </c>
      <c r="C92" s="66" t="str">
        <f>'Tariff Changes'!A109</f>
        <v>6 Yard</v>
      </c>
      <c r="D92" s="152">
        <v>1</v>
      </c>
      <c r="E92" s="78">
        <v>1</v>
      </c>
      <c r="F92" s="153">
        <f t="shared" si="86"/>
        <v>12</v>
      </c>
      <c r="G92" s="154">
        <f>References!B40</f>
        <v>2310</v>
      </c>
      <c r="H92" s="77">
        <f t="shared" si="83"/>
        <v>27720</v>
      </c>
      <c r="I92" s="55">
        <f t="shared" si="87"/>
        <v>20621.089110250894</v>
      </c>
      <c r="J92" s="76">
        <f>(References!$C$49*I92)</f>
        <v>148.6780524849091</v>
      </c>
      <c r="K92" s="76">
        <f>J92/References!$G$52</f>
        <v>152.53333246290913</v>
      </c>
      <c r="L92" s="76">
        <f t="shared" si="84"/>
        <v>12.71111103857576</v>
      </c>
      <c r="M92" s="155">
        <f>'Tariff Changes'!C109</f>
        <v>325.26</v>
      </c>
      <c r="N92" s="310">
        <f t="shared" si="85"/>
        <v>337.97111103857577</v>
      </c>
      <c r="O92" s="155">
        <f>'Tariff Changes'!E109</f>
        <v>340.33</v>
      </c>
      <c r="P92" s="76"/>
      <c r="Q92" s="76"/>
      <c r="R92" s="76"/>
      <c r="S92" s="76"/>
      <c r="T92" s="76"/>
      <c r="U92" s="76"/>
      <c r="V92" s="76"/>
      <c r="W92" s="76"/>
      <c r="X92" s="68"/>
      <c r="Y92" s="68"/>
    </row>
    <row r="93" spans="1:25" s="68" customFormat="1">
      <c r="A93" s="287"/>
      <c r="B93" s="51" t="str">
        <f>'Tariff Changes'!$A$111</f>
        <v>Item 255, pg 42 Compacted</v>
      </c>
      <c r="C93" s="66" t="str">
        <f>'Tariff Changes'!A112</f>
        <v>1 Yard</v>
      </c>
      <c r="D93" s="152">
        <v>1</v>
      </c>
      <c r="E93" s="78">
        <v>1</v>
      </c>
      <c r="F93" s="153">
        <f t="shared" si="86"/>
        <v>12</v>
      </c>
      <c r="G93" s="154">
        <f>References!B34</f>
        <v>482</v>
      </c>
      <c r="H93" s="77">
        <f t="shared" si="83"/>
        <v>5784</v>
      </c>
      <c r="I93" s="55">
        <f t="shared" si="87"/>
        <v>4302.7553901042984</v>
      </c>
      <c r="J93" s="76">
        <f>(References!$C$49*I93)</f>
        <v>31.022866362652024</v>
      </c>
      <c r="K93" s="76">
        <f>J93/References!$G$52</f>
        <v>31.827301405680604</v>
      </c>
      <c r="L93" s="76">
        <f t="shared" si="84"/>
        <v>2.6522751171400505</v>
      </c>
      <c r="M93" s="155">
        <f>'Tariff Changes'!C112</f>
        <v>124.67</v>
      </c>
      <c r="N93" s="310">
        <f t="shared" si="85"/>
        <v>127.32227511714005</v>
      </c>
      <c r="O93" s="155">
        <f>'Tariff Changes'!E112</f>
        <v>129.28</v>
      </c>
      <c r="P93" s="76"/>
      <c r="Q93" s="76"/>
      <c r="R93" s="76"/>
      <c r="S93" s="76"/>
      <c r="T93" s="76"/>
      <c r="U93" s="76"/>
      <c r="V93" s="76"/>
      <c r="W93" s="76"/>
    </row>
    <row r="94" spans="1:25">
      <c r="A94" s="287"/>
      <c r="B94" s="51" t="str">
        <f>'Tariff Changes'!$A$111</f>
        <v>Item 255, pg 42 Compacted</v>
      </c>
      <c r="C94" s="66" t="str">
        <f>'Tariff Changes'!A113</f>
        <v>2 Yard</v>
      </c>
      <c r="D94" s="152">
        <v>1</v>
      </c>
      <c r="E94" s="78">
        <v>1</v>
      </c>
      <c r="F94" s="153">
        <f t="shared" si="86"/>
        <v>12</v>
      </c>
      <c r="G94" s="154">
        <f>References!B36</f>
        <v>892</v>
      </c>
      <c r="H94" s="77">
        <f t="shared" si="83"/>
        <v>10704</v>
      </c>
      <c r="I94" s="55">
        <f t="shared" si="87"/>
        <v>7962.7755352137647</v>
      </c>
      <c r="J94" s="76">
        <f>(References!$C$49*I94)</f>
        <v>57.411611608891306</v>
      </c>
      <c r="K94" s="76">
        <f>J94/References!$G$52</f>
        <v>58.900317124205607</v>
      </c>
      <c r="L94" s="76">
        <f t="shared" si="84"/>
        <v>4.9083597603504669</v>
      </c>
      <c r="M94" s="155">
        <f>'Tariff Changes'!C113</f>
        <v>186.34</v>
      </c>
      <c r="N94" s="310">
        <f t="shared" si="85"/>
        <v>191.24835976035047</v>
      </c>
      <c r="O94" s="155">
        <f>'Tariff Changes'!E113</f>
        <v>193.52</v>
      </c>
      <c r="P94" s="76"/>
      <c r="Q94" s="76"/>
      <c r="R94" s="76"/>
      <c r="S94" s="76"/>
      <c r="T94" s="76"/>
      <c r="U94" s="76"/>
      <c r="V94" s="76"/>
      <c r="W94" s="76"/>
      <c r="X94" s="68"/>
      <c r="Y94" s="68"/>
    </row>
    <row r="95" spans="1:25">
      <c r="A95" s="287"/>
      <c r="B95" s="51" t="str">
        <f>'Tariff Changes'!$A$111</f>
        <v>Item 255, pg 42 Compacted</v>
      </c>
      <c r="C95" s="66" t="str">
        <f>'Tariff Changes'!A114</f>
        <v>3 Yard</v>
      </c>
      <c r="D95" s="152">
        <v>1</v>
      </c>
      <c r="E95" s="78">
        <v>1</v>
      </c>
      <c r="F95" s="153">
        <f t="shared" si="86"/>
        <v>12</v>
      </c>
      <c r="G95" s="154">
        <f>References!B37</f>
        <v>1301</v>
      </c>
      <c r="H95" s="77">
        <f t="shared" si="83"/>
        <v>15612</v>
      </c>
      <c r="I95" s="55">
        <f t="shared" si="87"/>
        <v>11613.868801920524</v>
      </c>
      <c r="J95" s="76">
        <f>(References!$C$49*I95)</f>
        <v>83.735994061847066</v>
      </c>
      <c r="K95" s="76">
        <f>J95/References!$G$52</f>
        <v>85.90730109707566</v>
      </c>
      <c r="L95" s="76">
        <f t="shared" si="84"/>
        <v>7.1589417580896386</v>
      </c>
      <c r="M95" s="155">
        <f>'Tariff Changes'!C114</f>
        <v>232.6</v>
      </c>
      <c r="N95" s="310">
        <f t="shared" si="85"/>
        <v>239.75894175808963</v>
      </c>
      <c r="O95" s="155">
        <f>'Tariff Changes'!E114</f>
        <v>243.37</v>
      </c>
      <c r="P95" s="76"/>
      <c r="Q95" s="76"/>
      <c r="R95" s="76"/>
      <c r="S95" s="76"/>
      <c r="T95" s="76"/>
      <c r="U95" s="76"/>
      <c r="V95" s="76"/>
      <c r="W95" s="76"/>
      <c r="X95" s="68"/>
      <c r="Y95" s="68"/>
    </row>
    <row r="96" spans="1:25">
      <c r="A96" s="287"/>
      <c r="B96" s="51" t="str">
        <f>'Tariff Changes'!$A$111</f>
        <v>Item 255, pg 42 Compacted</v>
      </c>
      <c r="C96" s="66" t="str">
        <f>'Tariff Changes'!A115</f>
        <v>4 Yard</v>
      </c>
      <c r="D96" s="152">
        <v>1</v>
      </c>
      <c r="E96" s="78">
        <v>1</v>
      </c>
      <c r="F96" s="153">
        <f t="shared" si="86"/>
        <v>12</v>
      </c>
      <c r="G96" s="154">
        <f>References!B38</f>
        <v>1686</v>
      </c>
      <c r="H96" s="77">
        <f t="shared" si="83"/>
        <v>20232</v>
      </c>
      <c r="I96" s="55">
        <f t="shared" si="87"/>
        <v>15050.716986962339</v>
      </c>
      <c r="J96" s="76">
        <f>(References!$C$49*I96)</f>
        <v>108.51566947599859</v>
      </c>
      <c r="K96" s="76">
        <f>J96/References!$G$52</f>
        <v>111.32952317422719</v>
      </c>
      <c r="L96" s="76">
        <f t="shared" si="84"/>
        <v>9.2774602645189326</v>
      </c>
      <c r="M96" s="155">
        <f>'Tariff Changes'!C115</f>
        <v>278.88</v>
      </c>
      <c r="N96" s="310">
        <f t="shared" si="85"/>
        <v>288.15746026451893</v>
      </c>
      <c r="O96" s="155">
        <f>'Tariff Changes'!E115</f>
        <v>293.24</v>
      </c>
      <c r="P96" s="76"/>
      <c r="Q96" s="76"/>
      <c r="R96" s="76"/>
      <c r="S96" s="76"/>
      <c r="T96" s="76"/>
      <c r="U96" s="76"/>
      <c r="V96" s="76"/>
      <c r="W96" s="76"/>
      <c r="X96" s="68"/>
      <c r="Y96" s="68"/>
    </row>
    <row r="97" spans="1:25">
      <c r="A97" s="287"/>
      <c r="B97" s="51" t="str">
        <f>'Tariff Changes'!$A$111</f>
        <v>Item 255, pg 42 Compacted</v>
      </c>
      <c r="C97" s="66" t="str">
        <f>'Tariff Changes'!A116</f>
        <v>5 Yard</v>
      </c>
      <c r="D97" s="152">
        <v>1</v>
      </c>
      <c r="E97" s="78">
        <v>1</v>
      </c>
      <c r="F97" s="153">
        <f t="shared" si="86"/>
        <v>12</v>
      </c>
      <c r="G97" s="154">
        <f>References!B39</f>
        <v>2046</v>
      </c>
      <c r="H97" s="77">
        <f t="shared" si="83"/>
        <v>24552</v>
      </c>
      <c r="I97" s="55">
        <f t="shared" si="87"/>
        <v>18264.393211936505</v>
      </c>
      <c r="J97" s="76">
        <f>(References!$C$49*I97)</f>
        <v>131.68627505806236</v>
      </c>
      <c r="K97" s="76">
        <f>J97/References!$G$52</f>
        <v>135.10095161000524</v>
      </c>
      <c r="L97" s="76">
        <f t="shared" si="84"/>
        <v>11.258412634167103</v>
      </c>
      <c r="M97" s="155">
        <f>'Tariff Changes'!C116</f>
        <v>325.14</v>
      </c>
      <c r="N97" s="310">
        <f t="shared" si="85"/>
        <v>336.39841263416707</v>
      </c>
      <c r="O97" s="155">
        <f>'Tariff Changes'!E116</f>
        <v>343.09</v>
      </c>
      <c r="P97" s="76"/>
      <c r="Q97" s="76"/>
      <c r="R97" s="76"/>
      <c r="S97" s="76"/>
      <c r="T97" s="76"/>
      <c r="U97" s="76"/>
      <c r="V97" s="76"/>
      <c r="W97" s="76"/>
      <c r="X97" s="68"/>
      <c r="Y97" s="68"/>
    </row>
    <row r="98" spans="1:25">
      <c r="A98" s="287"/>
      <c r="B98" s="51" t="str">
        <f>'Tariff Changes'!$A$111</f>
        <v>Item 255, pg 42 Compacted</v>
      </c>
      <c r="C98" s="66" t="str">
        <f>'Tariff Changes'!A117</f>
        <v>6 Yard</v>
      </c>
      <c r="D98" s="152">
        <v>1</v>
      </c>
      <c r="E98" s="78">
        <v>1</v>
      </c>
      <c r="F98" s="153">
        <f t="shared" si="86"/>
        <v>12</v>
      </c>
      <c r="G98" s="154">
        <f>References!B40</f>
        <v>2310</v>
      </c>
      <c r="H98" s="77">
        <f t="shared" si="83"/>
        <v>27720</v>
      </c>
      <c r="I98" s="55">
        <f t="shared" si="87"/>
        <v>20621.089110250894</v>
      </c>
      <c r="J98" s="76">
        <f>(References!$C$49*I98)</f>
        <v>148.6780524849091</v>
      </c>
      <c r="K98" s="76">
        <f>J98/References!$G$52</f>
        <v>152.53333246290913</v>
      </c>
      <c r="L98" s="76">
        <f t="shared" si="84"/>
        <v>12.71111103857576</v>
      </c>
      <c r="M98" s="155">
        <f>'Tariff Changes'!C117</f>
        <v>371.4</v>
      </c>
      <c r="N98" s="310">
        <f t="shared" si="85"/>
        <v>384.11111103857576</v>
      </c>
      <c r="O98" s="155">
        <f>'Tariff Changes'!E117</f>
        <v>392.94</v>
      </c>
      <c r="P98" s="76"/>
      <c r="Q98" s="76"/>
      <c r="R98" s="76"/>
      <c r="S98" s="76"/>
      <c r="T98" s="76"/>
      <c r="U98" s="76"/>
      <c r="V98" s="76"/>
      <c r="W98" s="76"/>
      <c r="X98" s="68"/>
      <c r="Y98" s="68"/>
    </row>
    <row r="99" spans="1:25">
      <c r="A99" s="291"/>
      <c r="B99" s="292"/>
      <c r="C99" s="293"/>
      <c r="D99" s="294"/>
      <c r="E99" s="295"/>
      <c r="F99" s="296"/>
      <c r="G99" s="297"/>
      <c r="H99" s="298"/>
      <c r="I99" s="299"/>
      <c r="J99" s="300"/>
      <c r="K99" s="300"/>
      <c r="L99" s="300"/>
      <c r="M99" s="301"/>
      <c r="N99" s="7"/>
      <c r="O99" s="302"/>
      <c r="P99" s="76"/>
      <c r="Q99" s="76"/>
      <c r="R99" s="76"/>
      <c r="S99" s="76"/>
      <c r="T99" s="76"/>
      <c r="U99" s="76"/>
      <c r="V99" s="76"/>
      <c r="W99" s="76"/>
      <c r="X99" s="68"/>
      <c r="Y99" s="68"/>
    </row>
    <row r="100" spans="1:25">
      <c r="A100" s="71"/>
      <c r="C100" s="87"/>
      <c r="D100" s="47"/>
      <c r="E100" s="39"/>
      <c r="F100" s="65"/>
      <c r="G100" s="137"/>
      <c r="H100" s="65"/>
      <c r="J100" s="76"/>
      <c r="K100" s="89"/>
      <c r="L100" s="89"/>
      <c r="M100" s="89"/>
      <c r="N100" s="310"/>
      <c r="O100" s="76"/>
      <c r="P100" s="68"/>
      <c r="Q100" s="68"/>
      <c r="R100" s="68"/>
      <c r="S100" s="100"/>
      <c r="T100" s="68"/>
      <c r="U100" s="68"/>
      <c r="V100" s="68"/>
      <c r="W100" s="149">
        <f>References!B55</f>
        <v>305864.21811280109</v>
      </c>
    </row>
    <row r="101" spans="1:25">
      <c r="A101" s="71"/>
      <c r="C101" s="74"/>
      <c r="S101" s="69"/>
      <c r="W101" s="52">
        <f>W100-W44</f>
        <v>16.507936413050629</v>
      </c>
    </row>
    <row r="102" spans="1:25">
      <c r="A102" s="71"/>
      <c r="C102" s="74"/>
      <c r="S102" s="69"/>
    </row>
    <row r="103" spans="1:25">
      <c r="A103" s="71"/>
      <c r="C103" s="331" t="s">
        <v>96</v>
      </c>
      <c r="D103" s="331"/>
      <c r="E103" s="86"/>
      <c r="F103" s="86"/>
      <c r="H103" s="308"/>
    </row>
    <row r="104" spans="1:25">
      <c r="A104" s="71"/>
      <c r="D104" s="63" t="s">
        <v>17</v>
      </c>
      <c r="E104" s="46"/>
      <c r="F104" s="46"/>
      <c r="H104" s="308"/>
      <c r="J104" s="50"/>
      <c r="P104" s="67"/>
      <c r="Q104" s="50"/>
    </row>
    <row r="105" spans="1:25">
      <c r="A105" s="71"/>
      <c r="C105" s="66" t="s">
        <v>33</v>
      </c>
      <c r="D105" s="75">
        <v>20675</v>
      </c>
      <c r="E105" s="65"/>
      <c r="F105" s="65"/>
      <c r="G105" s="138"/>
      <c r="H105" s="88"/>
      <c r="J105" s="50"/>
      <c r="P105" s="67"/>
      <c r="Q105" s="89"/>
    </row>
    <row r="106" spans="1:25">
      <c r="A106" s="71"/>
      <c r="C106" s="66" t="s">
        <v>34</v>
      </c>
      <c r="D106" s="44">
        <f>D105*2000</f>
        <v>41350000</v>
      </c>
      <c r="E106" s="44"/>
      <c r="F106" s="44"/>
      <c r="H106" s="102"/>
      <c r="J106" s="50"/>
      <c r="Q106" s="89"/>
    </row>
    <row r="107" spans="1:25">
      <c r="A107" s="71"/>
      <c r="C107" s="66" t="s">
        <v>5</v>
      </c>
      <c r="D107" s="44">
        <f>F44</f>
        <v>1222180.2243333333</v>
      </c>
      <c r="E107" s="65"/>
      <c r="F107" s="65"/>
      <c r="H107" s="103"/>
      <c r="J107" s="50"/>
      <c r="P107" s="67"/>
      <c r="Q107" s="89"/>
    </row>
    <row r="108" spans="1:25">
      <c r="C108" s="51" t="s">
        <v>12</v>
      </c>
      <c r="D108" s="43">
        <f>D106/$H$44</f>
        <v>0.74390653355883452</v>
      </c>
      <c r="E108" s="43"/>
      <c r="F108" s="43"/>
      <c r="H108" s="38"/>
      <c r="J108" s="50"/>
      <c r="M108" s="49"/>
      <c r="N108" s="315"/>
      <c r="O108" s="49"/>
      <c r="P108" s="48"/>
      <c r="Q108" s="48"/>
    </row>
    <row r="109" spans="1:25">
      <c r="G109" s="138"/>
      <c r="H109" s="40"/>
      <c r="J109" s="50"/>
      <c r="M109" s="52"/>
      <c r="N109" s="316"/>
      <c r="O109" s="37"/>
      <c r="P109" s="69"/>
      <c r="Q109" s="38"/>
    </row>
    <row r="110" spans="1:25">
      <c r="D110" s="42"/>
      <c r="E110" s="41"/>
      <c r="G110" s="138"/>
      <c r="H110" s="40"/>
      <c r="J110" s="50"/>
      <c r="M110" s="52"/>
      <c r="N110" s="316"/>
      <c r="O110" s="37"/>
      <c r="P110" s="69"/>
      <c r="Q110" s="38"/>
    </row>
    <row r="111" spans="1:25">
      <c r="D111" s="42"/>
      <c r="E111" s="41"/>
      <c r="G111" s="138"/>
      <c r="H111" s="40"/>
      <c r="J111" s="50"/>
      <c r="M111" s="52"/>
      <c r="N111" s="316"/>
      <c r="O111" s="37"/>
      <c r="P111" s="69"/>
      <c r="Q111" s="38"/>
    </row>
    <row r="112" spans="1:25">
      <c r="D112" s="66"/>
      <c r="I112" s="66"/>
    </row>
    <row r="113" spans="4:9">
      <c r="D113" s="66"/>
      <c r="E113" s="50"/>
      <c r="I113" s="66"/>
    </row>
    <row r="114" spans="4:9">
      <c r="D114" s="66"/>
      <c r="I114" s="66"/>
    </row>
    <row r="115" spans="4:9">
      <c r="D115" s="66"/>
      <c r="I115" s="66"/>
    </row>
    <row r="116" spans="4:9">
      <c r="D116" s="66"/>
    </row>
  </sheetData>
  <mergeCells count="4">
    <mergeCell ref="C103:D103"/>
    <mergeCell ref="A32:A38"/>
    <mergeCell ref="A13:A25"/>
    <mergeCell ref="A2:A9"/>
  </mergeCells>
  <pageMargins left="0.2" right="0.22" top="0.63" bottom="0.34" header="0.19" footer="0.17"/>
  <pageSetup paperSize="5" scale="35" fitToHeight="0" orientation="landscape" r:id="rId1"/>
  <headerFooter>
    <oddHeader>&amp;C&amp;"-,Bold"&amp;12Murrey's Disposal Co, Inc&amp;"-,Regular"
Disposal Fee Staff Calculations</oddHeader>
    <oddFooter>&amp;L&amp;F - &amp;A&amp;C&amp;D&amp;R&amp;P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zoomScaleNormal="100" workbookViewId="0">
      <selection activeCell="G13" sqref="G13"/>
    </sheetView>
  </sheetViews>
  <sheetFormatPr defaultRowHeight="15"/>
  <cols>
    <col min="1" max="1" width="68.5703125" bestFit="1" customWidth="1"/>
    <col min="2" max="2" width="16.28515625" bestFit="1" customWidth="1"/>
    <col min="3" max="3" width="8.85546875" style="108" bestFit="1" customWidth="1"/>
    <col min="4" max="4" width="19.28515625" style="108" bestFit="1" customWidth="1"/>
    <col min="5" max="5" width="10.7109375" style="108" bestFit="1" customWidth="1"/>
    <col min="6" max="6" width="18.85546875" style="108" customWidth="1"/>
    <col min="7" max="7" width="11.140625" bestFit="1" customWidth="1"/>
    <col min="8" max="8" width="26.85546875" customWidth="1"/>
    <col min="257" max="257" width="68.5703125" bestFit="1" customWidth="1"/>
    <col min="258" max="258" width="12.5703125" bestFit="1" customWidth="1"/>
    <col min="259" max="259" width="8.85546875" bestFit="1" customWidth="1"/>
    <col min="260" max="260" width="19.28515625" bestFit="1" customWidth="1"/>
    <col min="261" max="261" width="10.7109375" bestFit="1" customWidth="1"/>
    <col min="262" max="262" width="18.85546875" customWidth="1"/>
    <col min="263" max="263" width="11.140625" bestFit="1" customWidth="1"/>
    <col min="264" max="264" width="26.85546875" customWidth="1"/>
    <col min="513" max="513" width="68.5703125" bestFit="1" customWidth="1"/>
    <col min="514" max="514" width="12.5703125" bestFit="1" customWidth="1"/>
    <col min="515" max="515" width="8.85546875" bestFit="1" customWidth="1"/>
    <col min="516" max="516" width="19.28515625" bestFit="1" customWidth="1"/>
    <col min="517" max="517" width="10.7109375" bestFit="1" customWidth="1"/>
    <col min="518" max="518" width="18.85546875" customWidth="1"/>
    <col min="519" max="519" width="11.140625" bestFit="1" customWidth="1"/>
    <col min="520" max="520" width="26.85546875" customWidth="1"/>
    <col min="769" max="769" width="68.5703125" bestFit="1" customWidth="1"/>
    <col min="770" max="770" width="12.5703125" bestFit="1" customWidth="1"/>
    <col min="771" max="771" width="8.85546875" bestFit="1" customWidth="1"/>
    <col min="772" max="772" width="19.28515625" bestFit="1" customWidth="1"/>
    <col min="773" max="773" width="10.7109375" bestFit="1" customWidth="1"/>
    <col min="774" max="774" width="18.85546875" customWidth="1"/>
    <col min="775" max="775" width="11.140625" bestFit="1" customWidth="1"/>
    <col min="776" max="776" width="26.85546875" customWidth="1"/>
    <col min="1025" max="1025" width="68.5703125" bestFit="1" customWidth="1"/>
    <col min="1026" max="1026" width="12.5703125" bestFit="1" customWidth="1"/>
    <col min="1027" max="1027" width="8.85546875" bestFit="1" customWidth="1"/>
    <col min="1028" max="1028" width="19.28515625" bestFit="1" customWidth="1"/>
    <col min="1029" max="1029" width="10.7109375" bestFit="1" customWidth="1"/>
    <col min="1030" max="1030" width="18.85546875" customWidth="1"/>
    <col min="1031" max="1031" width="11.140625" bestFit="1" customWidth="1"/>
    <col min="1032" max="1032" width="26.85546875" customWidth="1"/>
    <col min="1281" max="1281" width="68.5703125" bestFit="1" customWidth="1"/>
    <col min="1282" max="1282" width="12.5703125" bestFit="1" customWidth="1"/>
    <col min="1283" max="1283" width="8.85546875" bestFit="1" customWidth="1"/>
    <col min="1284" max="1284" width="19.28515625" bestFit="1" customWidth="1"/>
    <col min="1285" max="1285" width="10.7109375" bestFit="1" customWidth="1"/>
    <col min="1286" max="1286" width="18.85546875" customWidth="1"/>
    <col min="1287" max="1287" width="11.140625" bestFit="1" customWidth="1"/>
    <col min="1288" max="1288" width="26.85546875" customWidth="1"/>
    <col min="1537" max="1537" width="68.5703125" bestFit="1" customWidth="1"/>
    <col min="1538" max="1538" width="12.5703125" bestFit="1" customWidth="1"/>
    <col min="1539" max="1539" width="8.85546875" bestFit="1" customWidth="1"/>
    <col min="1540" max="1540" width="19.28515625" bestFit="1" customWidth="1"/>
    <col min="1541" max="1541" width="10.7109375" bestFit="1" customWidth="1"/>
    <col min="1542" max="1542" width="18.85546875" customWidth="1"/>
    <col min="1543" max="1543" width="11.140625" bestFit="1" customWidth="1"/>
    <col min="1544" max="1544" width="26.85546875" customWidth="1"/>
    <col min="1793" max="1793" width="68.5703125" bestFit="1" customWidth="1"/>
    <col min="1794" max="1794" width="12.5703125" bestFit="1" customWidth="1"/>
    <col min="1795" max="1795" width="8.85546875" bestFit="1" customWidth="1"/>
    <col min="1796" max="1796" width="19.28515625" bestFit="1" customWidth="1"/>
    <col min="1797" max="1797" width="10.7109375" bestFit="1" customWidth="1"/>
    <col min="1798" max="1798" width="18.85546875" customWidth="1"/>
    <col min="1799" max="1799" width="11.140625" bestFit="1" customWidth="1"/>
    <col min="1800" max="1800" width="26.85546875" customWidth="1"/>
    <col min="2049" max="2049" width="68.5703125" bestFit="1" customWidth="1"/>
    <col min="2050" max="2050" width="12.5703125" bestFit="1" customWidth="1"/>
    <col min="2051" max="2051" width="8.85546875" bestFit="1" customWidth="1"/>
    <col min="2052" max="2052" width="19.28515625" bestFit="1" customWidth="1"/>
    <col min="2053" max="2053" width="10.7109375" bestFit="1" customWidth="1"/>
    <col min="2054" max="2054" width="18.85546875" customWidth="1"/>
    <col min="2055" max="2055" width="11.140625" bestFit="1" customWidth="1"/>
    <col min="2056" max="2056" width="26.85546875" customWidth="1"/>
    <col min="2305" max="2305" width="68.5703125" bestFit="1" customWidth="1"/>
    <col min="2306" max="2306" width="12.5703125" bestFit="1" customWidth="1"/>
    <col min="2307" max="2307" width="8.85546875" bestFit="1" customWidth="1"/>
    <col min="2308" max="2308" width="19.28515625" bestFit="1" customWidth="1"/>
    <col min="2309" max="2309" width="10.7109375" bestFit="1" customWidth="1"/>
    <col min="2310" max="2310" width="18.85546875" customWidth="1"/>
    <col min="2311" max="2311" width="11.140625" bestFit="1" customWidth="1"/>
    <col min="2312" max="2312" width="26.85546875" customWidth="1"/>
    <col min="2561" max="2561" width="68.5703125" bestFit="1" customWidth="1"/>
    <col min="2562" max="2562" width="12.5703125" bestFit="1" customWidth="1"/>
    <col min="2563" max="2563" width="8.85546875" bestFit="1" customWidth="1"/>
    <col min="2564" max="2564" width="19.28515625" bestFit="1" customWidth="1"/>
    <col min="2565" max="2565" width="10.7109375" bestFit="1" customWidth="1"/>
    <col min="2566" max="2566" width="18.85546875" customWidth="1"/>
    <col min="2567" max="2567" width="11.140625" bestFit="1" customWidth="1"/>
    <col min="2568" max="2568" width="26.85546875" customWidth="1"/>
    <col min="2817" max="2817" width="68.5703125" bestFit="1" customWidth="1"/>
    <col min="2818" max="2818" width="12.5703125" bestFit="1" customWidth="1"/>
    <col min="2819" max="2819" width="8.85546875" bestFit="1" customWidth="1"/>
    <col min="2820" max="2820" width="19.28515625" bestFit="1" customWidth="1"/>
    <col min="2821" max="2821" width="10.7109375" bestFit="1" customWidth="1"/>
    <col min="2822" max="2822" width="18.85546875" customWidth="1"/>
    <col min="2823" max="2823" width="11.140625" bestFit="1" customWidth="1"/>
    <col min="2824" max="2824" width="26.85546875" customWidth="1"/>
    <col min="3073" max="3073" width="68.5703125" bestFit="1" customWidth="1"/>
    <col min="3074" max="3074" width="12.5703125" bestFit="1" customWidth="1"/>
    <col min="3075" max="3075" width="8.85546875" bestFit="1" customWidth="1"/>
    <col min="3076" max="3076" width="19.28515625" bestFit="1" customWidth="1"/>
    <col min="3077" max="3077" width="10.7109375" bestFit="1" customWidth="1"/>
    <col min="3078" max="3078" width="18.85546875" customWidth="1"/>
    <col min="3079" max="3079" width="11.140625" bestFit="1" customWidth="1"/>
    <col min="3080" max="3080" width="26.85546875" customWidth="1"/>
    <col min="3329" max="3329" width="68.5703125" bestFit="1" customWidth="1"/>
    <col min="3330" max="3330" width="12.5703125" bestFit="1" customWidth="1"/>
    <col min="3331" max="3331" width="8.85546875" bestFit="1" customWidth="1"/>
    <col min="3332" max="3332" width="19.28515625" bestFit="1" customWidth="1"/>
    <col min="3333" max="3333" width="10.7109375" bestFit="1" customWidth="1"/>
    <col min="3334" max="3334" width="18.85546875" customWidth="1"/>
    <col min="3335" max="3335" width="11.140625" bestFit="1" customWidth="1"/>
    <col min="3336" max="3336" width="26.85546875" customWidth="1"/>
    <col min="3585" max="3585" width="68.5703125" bestFit="1" customWidth="1"/>
    <col min="3586" max="3586" width="12.5703125" bestFit="1" customWidth="1"/>
    <col min="3587" max="3587" width="8.85546875" bestFit="1" customWidth="1"/>
    <col min="3588" max="3588" width="19.28515625" bestFit="1" customWidth="1"/>
    <col min="3589" max="3589" width="10.7109375" bestFit="1" customWidth="1"/>
    <col min="3590" max="3590" width="18.85546875" customWidth="1"/>
    <col min="3591" max="3591" width="11.140625" bestFit="1" customWidth="1"/>
    <col min="3592" max="3592" width="26.85546875" customWidth="1"/>
    <col min="3841" max="3841" width="68.5703125" bestFit="1" customWidth="1"/>
    <col min="3842" max="3842" width="12.5703125" bestFit="1" customWidth="1"/>
    <col min="3843" max="3843" width="8.85546875" bestFit="1" customWidth="1"/>
    <col min="3844" max="3844" width="19.28515625" bestFit="1" customWidth="1"/>
    <col min="3845" max="3845" width="10.7109375" bestFit="1" customWidth="1"/>
    <col min="3846" max="3846" width="18.85546875" customWidth="1"/>
    <col min="3847" max="3847" width="11.140625" bestFit="1" customWidth="1"/>
    <col min="3848" max="3848" width="26.85546875" customWidth="1"/>
    <col min="4097" max="4097" width="68.5703125" bestFit="1" customWidth="1"/>
    <col min="4098" max="4098" width="12.5703125" bestFit="1" customWidth="1"/>
    <col min="4099" max="4099" width="8.85546875" bestFit="1" customWidth="1"/>
    <col min="4100" max="4100" width="19.28515625" bestFit="1" customWidth="1"/>
    <col min="4101" max="4101" width="10.7109375" bestFit="1" customWidth="1"/>
    <col min="4102" max="4102" width="18.85546875" customWidth="1"/>
    <col min="4103" max="4103" width="11.140625" bestFit="1" customWidth="1"/>
    <col min="4104" max="4104" width="26.85546875" customWidth="1"/>
    <col min="4353" max="4353" width="68.5703125" bestFit="1" customWidth="1"/>
    <col min="4354" max="4354" width="12.5703125" bestFit="1" customWidth="1"/>
    <col min="4355" max="4355" width="8.85546875" bestFit="1" customWidth="1"/>
    <col min="4356" max="4356" width="19.28515625" bestFit="1" customWidth="1"/>
    <col min="4357" max="4357" width="10.7109375" bestFit="1" customWidth="1"/>
    <col min="4358" max="4358" width="18.85546875" customWidth="1"/>
    <col min="4359" max="4359" width="11.140625" bestFit="1" customWidth="1"/>
    <col min="4360" max="4360" width="26.85546875" customWidth="1"/>
    <col min="4609" max="4609" width="68.5703125" bestFit="1" customWidth="1"/>
    <col min="4610" max="4610" width="12.5703125" bestFit="1" customWidth="1"/>
    <col min="4611" max="4611" width="8.85546875" bestFit="1" customWidth="1"/>
    <col min="4612" max="4612" width="19.28515625" bestFit="1" customWidth="1"/>
    <col min="4613" max="4613" width="10.7109375" bestFit="1" customWidth="1"/>
    <col min="4614" max="4614" width="18.85546875" customWidth="1"/>
    <col min="4615" max="4615" width="11.140625" bestFit="1" customWidth="1"/>
    <col min="4616" max="4616" width="26.85546875" customWidth="1"/>
    <col min="4865" max="4865" width="68.5703125" bestFit="1" customWidth="1"/>
    <col min="4866" max="4866" width="12.5703125" bestFit="1" customWidth="1"/>
    <col min="4867" max="4867" width="8.85546875" bestFit="1" customWidth="1"/>
    <col min="4868" max="4868" width="19.28515625" bestFit="1" customWidth="1"/>
    <col min="4869" max="4869" width="10.7109375" bestFit="1" customWidth="1"/>
    <col min="4870" max="4870" width="18.85546875" customWidth="1"/>
    <col min="4871" max="4871" width="11.140625" bestFit="1" customWidth="1"/>
    <col min="4872" max="4872" width="26.85546875" customWidth="1"/>
    <col min="5121" max="5121" width="68.5703125" bestFit="1" customWidth="1"/>
    <col min="5122" max="5122" width="12.5703125" bestFit="1" customWidth="1"/>
    <col min="5123" max="5123" width="8.85546875" bestFit="1" customWidth="1"/>
    <col min="5124" max="5124" width="19.28515625" bestFit="1" customWidth="1"/>
    <col min="5125" max="5125" width="10.7109375" bestFit="1" customWidth="1"/>
    <col min="5126" max="5126" width="18.85546875" customWidth="1"/>
    <col min="5127" max="5127" width="11.140625" bestFit="1" customWidth="1"/>
    <col min="5128" max="5128" width="26.85546875" customWidth="1"/>
    <col min="5377" max="5377" width="68.5703125" bestFit="1" customWidth="1"/>
    <col min="5378" max="5378" width="12.5703125" bestFit="1" customWidth="1"/>
    <col min="5379" max="5379" width="8.85546875" bestFit="1" customWidth="1"/>
    <col min="5380" max="5380" width="19.28515625" bestFit="1" customWidth="1"/>
    <col min="5381" max="5381" width="10.7109375" bestFit="1" customWidth="1"/>
    <col min="5382" max="5382" width="18.85546875" customWidth="1"/>
    <col min="5383" max="5383" width="11.140625" bestFit="1" customWidth="1"/>
    <col min="5384" max="5384" width="26.85546875" customWidth="1"/>
    <col min="5633" max="5633" width="68.5703125" bestFit="1" customWidth="1"/>
    <col min="5634" max="5634" width="12.5703125" bestFit="1" customWidth="1"/>
    <col min="5635" max="5635" width="8.85546875" bestFit="1" customWidth="1"/>
    <col min="5636" max="5636" width="19.28515625" bestFit="1" customWidth="1"/>
    <col min="5637" max="5637" width="10.7109375" bestFit="1" customWidth="1"/>
    <col min="5638" max="5638" width="18.85546875" customWidth="1"/>
    <col min="5639" max="5639" width="11.140625" bestFit="1" customWidth="1"/>
    <col min="5640" max="5640" width="26.85546875" customWidth="1"/>
    <col min="5889" max="5889" width="68.5703125" bestFit="1" customWidth="1"/>
    <col min="5890" max="5890" width="12.5703125" bestFit="1" customWidth="1"/>
    <col min="5891" max="5891" width="8.85546875" bestFit="1" customWidth="1"/>
    <col min="5892" max="5892" width="19.28515625" bestFit="1" customWidth="1"/>
    <col min="5893" max="5893" width="10.7109375" bestFit="1" customWidth="1"/>
    <col min="5894" max="5894" width="18.85546875" customWidth="1"/>
    <col min="5895" max="5895" width="11.140625" bestFit="1" customWidth="1"/>
    <col min="5896" max="5896" width="26.85546875" customWidth="1"/>
    <col min="6145" max="6145" width="68.5703125" bestFit="1" customWidth="1"/>
    <col min="6146" max="6146" width="12.5703125" bestFit="1" customWidth="1"/>
    <col min="6147" max="6147" width="8.85546875" bestFit="1" customWidth="1"/>
    <col min="6148" max="6148" width="19.28515625" bestFit="1" customWidth="1"/>
    <col min="6149" max="6149" width="10.7109375" bestFit="1" customWidth="1"/>
    <col min="6150" max="6150" width="18.85546875" customWidth="1"/>
    <col min="6151" max="6151" width="11.140625" bestFit="1" customWidth="1"/>
    <col min="6152" max="6152" width="26.85546875" customWidth="1"/>
    <col min="6401" max="6401" width="68.5703125" bestFit="1" customWidth="1"/>
    <col min="6402" max="6402" width="12.5703125" bestFit="1" customWidth="1"/>
    <col min="6403" max="6403" width="8.85546875" bestFit="1" customWidth="1"/>
    <col min="6404" max="6404" width="19.28515625" bestFit="1" customWidth="1"/>
    <col min="6405" max="6405" width="10.7109375" bestFit="1" customWidth="1"/>
    <col min="6406" max="6406" width="18.85546875" customWidth="1"/>
    <col min="6407" max="6407" width="11.140625" bestFit="1" customWidth="1"/>
    <col min="6408" max="6408" width="26.85546875" customWidth="1"/>
    <col min="6657" max="6657" width="68.5703125" bestFit="1" customWidth="1"/>
    <col min="6658" max="6658" width="12.5703125" bestFit="1" customWidth="1"/>
    <col min="6659" max="6659" width="8.85546875" bestFit="1" customWidth="1"/>
    <col min="6660" max="6660" width="19.28515625" bestFit="1" customWidth="1"/>
    <col min="6661" max="6661" width="10.7109375" bestFit="1" customWidth="1"/>
    <col min="6662" max="6662" width="18.85546875" customWidth="1"/>
    <col min="6663" max="6663" width="11.140625" bestFit="1" customWidth="1"/>
    <col min="6664" max="6664" width="26.85546875" customWidth="1"/>
    <col min="6913" max="6913" width="68.5703125" bestFit="1" customWidth="1"/>
    <col min="6914" max="6914" width="12.5703125" bestFit="1" customWidth="1"/>
    <col min="6915" max="6915" width="8.85546875" bestFit="1" customWidth="1"/>
    <col min="6916" max="6916" width="19.28515625" bestFit="1" customWidth="1"/>
    <col min="6917" max="6917" width="10.7109375" bestFit="1" customWidth="1"/>
    <col min="6918" max="6918" width="18.85546875" customWidth="1"/>
    <col min="6919" max="6919" width="11.140625" bestFit="1" customWidth="1"/>
    <col min="6920" max="6920" width="26.85546875" customWidth="1"/>
    <col min="7169" max="7169" width="68.5703125" bestFit="1" customWidth="1"/>
    <col min="7170" max="7170" width="12.5703125" bestFit="1" customWidth="1"/>
    <col min="7171" max="7171" width="8.85546875" bestFit="1" customWidth="1"/>
    <col min="7172" max="7172" width="19.28515625" bestFit="1" customWidth="1"/>
    <col min="7173" max="7173" width="10.7109375" bestFit="1" customWidth="1"/>
    <col min="7174" max="7174" width="18.85546875" customWidth="1"/>
    <col min="7175" max="7175" width="11.140625" bestFit="1" customWidth="1"/>
    <col min="7176" max="7176" width="26.85546875" customWidth="1"/>
    <col min="7425" max="7425" width="68.5703125" bestFit="1" customWidth="1"/>
    <col min="7426" max="7426" width="12.5703125" bestFit="1" customWidth="1"/>
    <col min="7427" max="7427" width="8.85546875" bestFit="1" customWidth="1"/>
    <col min="7428" max="7428" width="19.28515625" bestFit="1" customWidth="1"/>
    <col min="7429" max="7429" width="10.7109375" bestFit="1" customWidth="1"/>
    <col min="7430" max="7430" width="18.85546875" customWidth="1"/>
    <col min="7431" max="7431" width="11.140625" bestFit="1" customWidth="1"/>
    <col min="7432" max="7432" width="26.85546875" customWidth="1"/>
    <col min="7681" max="7681" width="68.5703125" bestFit="1" customWidth="1"/>
    <col min="7682" max="7682" width="12.5703125" bestFit="1" customWidth="1"/>
    <col min="7683" max="7683" width="8.85546875" bestFit="1" customWidth="1"/>
    <col min="7684" max="7684" width="19.28515625" bestFit="1" customWidth="1"/>
    <col min="7685" max="7685" width="10.7109375" bestFit="1" customWidth="1"/>
    <col min="7686" max="7686" width="18.85546875" customWidth="1"/>
    <col min="7687" max="7687" width="11.140625" bestFit="1" customWidth="1"/>
    <col min="7688" max="7688" width="26.85546875" customWidth="1"/>
    <col min="7937" max="7937" width="68.5703125" bestFit="1" customWidth="1"/>
    <col min="7938" max="7938" width="12.5703125" bestFit="1" customWidth="1"/>
    <col min="7939" max="7939" width="8.85546875" bestFit="1" customWidth="1"/>
    <col min="7940" max="7940" width="19.28515625" bestFit="1" customWidth="1"/>
    <col min="7941" max="7941" width="10.7109375" bestFit="1" customWidth="1"/>
    <col min="7942" max="7942" width="18.85546875" customWidth="1"/>
    <col min="7943" max="7943" width="11.140625" bestFit="1" customWidth="1"/>
    <col min="7944" max="7944" width="26.85546875" customWidth="1"/>
    <col min="8193" max="8193" width="68.5703125" bestFit="1" customWidth="1"/>
    <col min="8194" max="8194" width="12.5703125" bestFit="1" customWidth="1"/>
    <col min="8195" max="8195" width="8.85546875" bestFit="1" customWidth="1"/>
    <col min="8196" max="8196" width="19.28515625" bestFit="1" customWidth="1"/>
    <col min="8197" max="8197" width="10.7109375" bestFit="1" customWidth="1"/>
    <col min="8198" max="8198" width="18.85546875" customWidth="1"/>
    <col min="8199" max="8199" width="11.140625" bestFit="1" customWidth="1"/>
    <col min="8200" max="8200" width="26.85546875" customWidth="1"/>
    <col min="8449" max="8449" width="68.5703125" bestFit="1" customWidth="1"/>
    <col min="8450" max="8450" width="12.5703125" bestFit="1" customWidth="1"/>
    <col min="8451" max="8451" width="8.85546875" bestFit="1" customWidth="1"/>
    <col min="8452" max="8452" width="19.28515625" bestFit="1" customWidth="1"/>
    <col min="8453" max="8453" width="10.7109375" bestFit="1" customWidth="1"/>
    <col min="8454" max="8454" width="18.85546875" customWidth="1"/>
    <col min="8455" max="8455" width="11.140625" bestFit="1" customWidth="1"/>
    <col min="8456" max="8456" width="26.85546875" customWidth="1"/>
    <col min="8705" max="8705" width="68.5703125" bestFit="1" customWidth="1"/>
    <col min="8706" max="8706" width="12.5703125" bestFit="1" customWidth="1"/>
    <col min="8707" max="8707" width="8.85546875" bestFit="1" customWidth="1"/>
    <col min="8708" max="8708" width="19.28515625" bestFit="1" customWidth="1"/>
    <col min="8709" max="8709" width="10.7109375" bestFit="1" customWidth="1"/>
    <col min="8710" max="8710" width="18.85546875" customWidth="1"/>
    <col min="8711" max="8711" width="11.140625" bestFit="1" customWidth="1"/>
    <col min="8712" max="8712" width="26.85546875" customWidth="1"/>
    <col min="8961" max="8961" width="68.5703125" bestFit="1" customWidth="1"/>
    <col min="8962" max="8962" width="12.5703125" bestFit="1" customWidth="1"/>
    <col min="8963" max="8963" width="8.85546875" bestFit="1" customWidth="1"/>
    <col min="8964" max="8964" width="19.28515625" bestFit="1" customWidth="1"/>
    <col min="8965" max="8965" width="10.7109375" bestFit="1" customWidth="1"/>
    <col min="8966" max="8966" width="18.85546875" customWidth="1"/>
    <col min="8967" max="8967" width="11.140625" bestFit="1" customWidth="1"/>
    <col min="8968" max="8968" width="26.85546875" customWidth="1"/>
    <col min="9217" max="9217" width="68.5703125" bestFit="1" customWidth="1"/>
    <col min="9218" max="9218" width="12.5703125" bestFit="1" customWidth="1"/>
    <col min="9219" max="9219" width="8.85546875" bestFit="1" customWidth="1"/>
    <col min="9220" max="9220" width="19.28515625" bestFit="1" customWidth="1"/>
    <col min="9221" max="9221" width="10.7109375" bestFit="1" customWidth="1"/>
    <col min="9222" max="9222" width="18.85546875" customWidth="1"/>
    <col min="9223" max="9223" width="11.140625" bestFit="1" customWidth="1"/>
    <col min="9224" max="9224" width="26.85546875" customWidth="1"/>
    <col min="9473" max="9473" width="68.5703125" bestFit="1" customWidth="1"/>
    <col min="9474" max="9474" width="12.5703125" bestFit="1" customWidth="1"/>
    <col min="9475" max="9475" width="8.85546875" bestFit="1" customWidth="1"/>
    <col min="9476" max="9476" width="19.28515625" bestFit="1" customWidth="1"/>
    <col min="9477" max="9477" width="10.7109375" bestFit="1" customWidth="1"/>
    <col min="9478" max="9478" width="18.85546875" customWidth="1"/>
    <col min="9479" max="9479" width="11.140625" bestFit="1" customWidth="1"/>
    <col min="9480" max="9480" width="26.85546875" customWidth="1"/>
    <col min="9729" max="9729" width="68.5703125" bestFit="1" customWidth="1"/>
    <col min="9730" max="9730" width="12.5703125" bestFit="1" customWidth="1"/>
    <col min="9731" max="9731" width="8.85546875" bestFit="1" customWidth="1"/>
    <col min="9732" max="9732" width="19.28515625" bestFit="1" customWidth="1"/>
    <col min="9733" max="9733" width="10.7109375" bestFit="1" customWidth="1"/>
    <col min="9734" max="9734" width="18.85546875" customWidth="1"/>
    <col min="9735" max="9735" width="11.140625" bestFit="1" customWidth="1"/>
    <col min="9736" max="9736" width="26.85546875" customWidth="1"/>
    <col min="9985" max="9985" width="68.5703125" bestFit="1" customWidth="1"/>
    <col min="9986" max="9986" width="12.5703125" bestFit="1" customWidth="1"/>
    <col min="9987" max="9987" width="8.85546875" bestFit="1" customWidth="1"/>
    <col min="9988" max="9988" width="19.28515625" bestFit="1" customWidth="1"/>
    <col min="9989" max="9989" width="10.7109375" bestFit="1" customWidth="1"/>
    <col min="9990" max="9990" width="18.85546875" customWidth="1"/>
    <col min="9991" max="9991" width="11.140625" bestFit="1" customWidth="1"/>
    <col min="9992" max="9992" width="26.85546875" customWidth="1"/>
    <col min="10241" max="10241" width="68.5703125" bestFit="1" customWidth="1"/>
    <col min="10242" max="10242" width="12.5703125" bestFit="1" customWidth="1"/>
    <col min="10243" max="10243" width="8.85546875" bestFit="1" customWidth="1"/>
    <col min="10244" max="10244" width="19.28515625" bestFit="1" customWidth="1"/>
    <col min="10245" max="10245" width="10.7109375" bestFit="1" customWidth="1"/>
    <col min="10246" max="10246" width="18.85546875" customWidth="1"/>
    <col min="10247" max="10247" width="11.140625" bestFit="1" customWidth="1"/>
    <col min="10248" max="10248" width="26.85546875" customWidth="1"/>
    <col min="10497" max="10497" width="68.5703125" bestFit="1" customWidth="1"/>
    <col min="10498" max="10498" width="12.5703125" bestFit="1" customWidth="1"/>
    <col min="10499" max="10499" width="8.85546875" bestFit="1" customWidth="1"/>
    <col min="10500" max="10500" width="19.28515625" bestFit="1" customWidth="1"/>
    <col min="10501" max="10501" width="10.7109375" bestFit="1" customWidth="1"/>
    <col min="10502" max="10502" width="18.85546875" customWidth="1"/>
    <col min="10503" max="10503" width="11.140625" bestFit="1" customWidth="1"/>
    <col min="10504" max="10504" width="26.85546875" customWidth="1"/>
    <col min="10753" max="10753" width="68.5703125" bestFit="1" customWidth="1"/>
    <col min="10754" max="10754" width="12.5703125" bestFit="1" customWidth="1"/>
    <col min="10755" max="10755" width="8.85546875" bestFit="1" customWidth="1"/>
    <col min="10756" max="10756" width="19.28515625" bestFit="1" customWidth="1"/>
    <col min="10757" max="10757" width="10.7109375" bestFit="1" customWidth="1"/>
    <col min="10758" max="10758" width="18.85546875" customWidth="1"/>
    <col min="10759" max="10759" width="11.140625" bestFit="1" customWidth="1"/>
    <col min="10760" max="10760" width="26.85546875" customWidth="1"/>
    <col min="11009" max="11009" width="68.5703125" bestFit="1" customWidth="1"/>
    <col min="11010" max="11010" width="12.5703125" bestFit="1" customWidth="1"/>
    <col min="11011" max="11011" width="8.85546875" bestFit="1" customWidth="1"/>
    <col min="11012" max="11012" width="19.28515625" bestFit="1" customWidth="1"/>
    <col min="11013" max="11013" width="10.7109375" bestFit="1" customWidth="1"/>
    <col min="11014" max="11014" width="18.85546875" customWidth="1"/>
    <col min="11015" max="11015" width="11.140625" bestFit="1" customWidth="1"/>
    <col min="11016" max="11016" width="26.85546875" customWidth="1"/>
    <col min="11265" max="11265" width="68.5703125" bestFit="1" customWidth="1"/>
    <col min="11266" max="11266" width="12.5703125" bestFit="1" customWidth="1"/>
    <col min="11267" max="11267" width="8.85546875" bestFit="1" customWidth="1"/>
    <col min="11268" max="11268" width="19.28515625" bestFit="1" customWidth="1"/>
    <col min="11269" max="11269" width="10.7109375" bestFit="1" customWidth="1"/>
    <col min="11270" max="11270" width="18.85546875" customWidth="1"/>
    <col min="11271" max="11271" width="11.140625" bestFit="1" customWidth="1"/>
    <col min="11272" max="11272" width="26.85546875" customWidth="1"/>
    <col min="11521" max="11521" width="68.5703125" bestFit="1" customWidth="1"/>
    <col min="11522" max="11522" width="12.5703125" bestFit="1" customWidth="1"/>
    <col min="11523" max="11523" width="8.85546875" bestFit="1" customWidth="1"/>
    <col min="11524" max="11524" width="19.28515625" bestFit="1" customWidth="1"/>
    <col min="11525" max="11525" width="10.7109375" bestFit="1" customWidth="1"/>
    <col min="11526" max="11526" width="18.85546875" customWidth="1"/>
    <col min="11527" max="11527" width="11.140625" bestFit="1" customWidth="1"/>
    <col min="11528" max="11528" width="26.85546875" customWidth="1"/>
    <col min="11777" max="11777" width="68.5703125" bestFit="1" customWidth="1"/>
    <col min="11778" max="11778" width="12.5703125" bestFit="1" customWidth="1"/>
    <col min="11779" max="11779" width="8.85546875" bestFit="1" customWidth="1"/>
    <col min="11780" max="11780" width="19.28515625" bestFit="1" customWidth="1"/>
    <col min="11781" max="11781" width="10.7109375" bestFit="1" customWidth="1"/>
    <col min="11782" max="11782" width="18.85546875" customWidth="1"/>
    <col min="11783" max="11783" width="11.140625" bestFit="1" customWidth="1"/>
    <col min="11784" max="11784" width="26.85546875" customWidth="1"/>
    <col min="12033" max="12033" width="68.5703125" bestFit="1" customWidth="1"/>
    <col min="12034" max="12034" width="12.5703125" bestFit="1" customWidth="1"/>
    <col min="12035" max="12035" width="8.85546875" bestFit="1" customWidth="1"/>
    <col min="12036" max="12036" width="19.28515625" bestFit="1" customWidth="1"/>
    <col min="12037" max="12037" width="10.7109375" bestFit="1" customWidth="1"/>
    <col min="12038" max="12038" width="18.85546875" customWidth="1"/>
    <col min="12039" max="12039" width="11.140625" bestFit="1" customWidth="1"/>
    <col min="12040" max="12040" width="26.85546875" customWidth="1"/>
    <col min="12289" max="12289" width="68.5703125" bestFit="1" customWidth="1"/>
    <col min="12290" max="12290" width="12.5703125" bestFit="1" customWidth="1"/>
    <col min="12291" max="12291" width="8.85546875" bestFit="1" customWidth="1"/>
    <col min="12292" max="12292" width="19.28515625" bestFit="1" customWidth="1"/>
    <col min="12293" max="12293" width="10.7109375" bestFit="1" customWidth="1"/>
    <col min="12294" max="12294" width="18.85546875" customWidth="1"/>
    <col min="12295" max="12295" width="11.140625" bestFit="1" customWidth="1"/>
    <col min="12296" max="12296" width="26.85546875" customWidth="1"/>
    <col min="12545" max="12545" width="68.5703125" bestFit="1" customWidth="1"/>
    <col min="12546" max="12546" width="12.5703125" bestFit="1" customWidth="1"/>
    <col min="12547" max="12547" width="8.85546875" bestFit="1" customWidth="1"/>
    <col min="12548" max="12548" width="19.28515625" bestFit="1" customWidth="1"/>
    <col min="12549" max="12549" width="10.7109375" bestFit="1" customWidth="1"/>
    <col min="12550" max="12550" width="18.85546875" customWidth="1"/>
    <col min="12551" max="12551" width="11.140625" bestFit="1" customWidth="1"/>
    <col min="12552" max="12552" width="26.85546875" customWidth="1"/>
    <col min="12801" max="12801" width="68.5703125" bestFit="1" customWidth="1"/>
    <col min="12802" max="12802" width="12.5703125" bestFit="1" customWidth="1"/>
    <col min="12803" max="12803" width="8.85546875" bestFit="1" customWidth="1"/>
    <col min="12804" max="12804" width="19.28515625" bestFit="1" customWidth="1"/>
    <col min="12805" max="12805" width="10.7109375" bestFit="1" customWidth="1"/>
    <col min="12806" max="12806" width="18.85546875" customWidth="1"/>
    <col min="12807" max="12807" width="11.140625" bestFit="1" customWidth="1"/>
    <col min="12808" max="12808" width="26.85546875" customWidth="1"/>
    <col min="13057" max="13057" width="68.5703125" bestFit="1" customWidth="1"/>
    <col min="13058" max="13058" width="12.5703125" bestFit="1" customWidth="1"/>
    <col min="13059" max="13059" width="8.85546875" bestFit="1" customWidth="1"/>
    <col min="13060" max="13060" width="19.28515625" bestFit="1" customWidth="1"/>
    <col min="13061" max="13061" width="10.7109375" bestFit="1" customWidth="1"/>
    <col min="13062" max="13062" width="18.85546875" customWidth="1"/>
    <col min="13063" max="13063" width="11.140625" bestFit="1" customWidth="1"/>
    <col min="13064" max="13064" width="26.85546875" customWidth="1"/>
    <col min="13313" max="13313" width="68.5703125" bestFit="1" customWidth="1"/>
    <col min="13314" max="13314" width="12.5703125" bestFit="1" customWidth="1"/>
    <col min="13315" max="13315" width="8.85546875" bestFit="1" customWidth="1"/>
    <col min="13316" max="13316" width="19.28515625" bestFit="1" customWidth="1"/>
    <col min="13317" max="13317" width="10.7109375" bestFit="1" customWidth="1"/>
    <col min="13318" max="13318" width="18.85546875" customWidth="1"/>
    <col min="13319" max="13319" width="11.140625" bestFit="1" customWidth="1"/>
    <col min="13320" max="13320" width="26.85546875" customWidth="1"/>
    <col min="13569" max="13569" width="68.5703125" bestFit="1" customWidth="1"/>
    <col min="13570" max="13570" width="12.5703125" bestFit="1" customWidth="1"/>
    <col min="13571" max="13571" width="8.85546875" bestFit="1" customWidth="1"/>
    <col min="13572" max="13572" width="19.28515625" bestFit="1" customWidth="1"/>
    <col min="13573" max="13573" width="10.7109375" bestFit="1" customWidth="1"/>
    <col min="13574" max="13574" width="18.85546875" customWidth="1"/>
    <col min="13575" max="13575" width="11.140625" bestFit="1" customWidth="1"/>
    <col min="13576" max="13576" width="26.85546875" customWidth="1"/>
    <col min="13825" max="13825" width="68.5703125" bestFit="1" customWidth="1"/>
    <col min="13826" max="13826" width="12.5703125" bestFit="1" customWidth="1"/>
    <col min="13827" max="13827" width="8.85546875" bestFit="1" customWidth="1"/>
    <col min="13828" max="13828" width="19.28515625" bestFit="1" customWidth="1"/>
    <col min="13829" max="13829" width="10.7109375" bestFit="1" customWidth="1"/>
    <col min="13830" max="13830" width="18.85546875" customWidth="1"/>
    <col min="13831" max="13831" width="11.140625" bestFit="1" customWidth="1"/>
    <col min="13832" max="13832" width="26.85546875" customWidth="1"/>
    <col min="14081" max="14081" width="68.5703125" bestFit="1" customWidth="1"/>
    <col min="14082" max="14082" width="12.5703125" bestFit="1" customWidth="1"/>
    <col min="14083" max="14083" width="8.85546875" bestFit="1" customWidth="1"/>
    <col min="14084" max="14084" width="19.28515625" bestFit="1" customWidth="1"/>
    <col min="14085" max="14085" width="10.7109375" bestFit="1" customWidth="1"/>
    <col min="14086" max="14086" width="18.85546875" customWidth="1"/>
    <col min="14087" max="14087" width="11.140625" bestFit="1" customWidth="1"/>
    <col min="14088" max="14088" width="26.85546875" customWidth="1"/>
    <col min="14337" max="14337" width="68.5703125" bestFit="1" customWidth="1"/>
    <col min="14338" max="14338" width="12.5703125" bestFit="1" customWidth="1"/>
    <col min="14339" max="14339" width="8.85546875" bestFit="1" customWidth="1"/>
    <col min="14340" max="14340" width="19.28515625" bestFit="1" customWidth="1"/>
    <col min="14341" max="14341" width="10.7109375" bestFit="1" customWidth="1"/>
    <col min="14342" max="14342" width="18.85546875" customWidth="1"/>
    <col min="14343" max="14343" width="11.140625" bestFit="1" customWidth="1"/>
    <col min="14344" max="14344" width="26.85546875" customWidth="1"/>
    <col min="14593" max="14593" width="68.5703125" bestFit="1" customWidth="1"/>
    <col min="14594" max="14594" width="12.5703125" bestFit="1" customWidth="1"/>
    <col min="14595" max="14595" width="8.85546875" bestFit="1" customWidth="1"/>
    <col min="14596" max="14596" width="19.28515625" bestFit="1" customWidth="1"/>
    <col min="14597" max="14597" width="10.7109375" bestFit="1" customWidth="1"/>
    <col min="14598" max="14598" width="18.85546875" customWidth="1"/>
    <col min="14599" max="14599" width="11.140625" bestFit="1" customWidth="1"/>
    <col min="14600" max="14600" width="26.85546875" customWidth="1"/>
    <col min="14849" max="14849" width="68.5703125" bestFit="1" customWidth="1"/>
    <col min="14850" max="14850" width="12.5703125" bestFit="1" customWidth="1"/>
    <col min="14851" max="14851" width="8.85546875" bestFit="1" customWidth="1"/>
    <col min="14852" max="14852" width="19.28515625" bestFit="1" customWidth="1"/>
    <col min="14853" max="14853" width="10.7109375" bestFit="1" customWidth="1"/>
    <col min="14854" max="14854" width="18.85546875" customWidth="1"/>
    <col min="14855" max="14855" width="11.140625" bestFit="1" customWidth="1"/>
    <col min="14856" max="14856" width="26.85546875" customWidth="1"/>
    <col min="15105" max="15105" width="68.5703125" bestFit="1" customWidth="1"/>
    <col min="15106" max="15106" width="12.5703125" bestFit="1" customWidth="1"/>
    <col min="15107" max="15107" width="8.85546875" bestFit="1" customWidth="1"/>
    <col min="15108" max="15108" width="19.28515625" bestFit="1" customWidth="1"/>
    <col min="15109" max="15109" width="10.7109375" bestFit="1" customWidth="1"/>
    <col min="15110" max="15110" width="18.85546875" customWidth="1"/>
    <col min="15111" max="15111" width="11.140625" bestFit="1" customWidth="1"/>
    <col min="15112" max="15112" width="26.85546875" customWidth="1"/>
    <col min="15361" max="15361" width="68.5703125" bestFit="1" customWidth="1"/>
    <col min="15362" max="15362" width="12.5703125" bestFit="1" customWidth="1"/>
    <col min="15363" max="15363" width="8.85546875" bestFit="1" customWidth="1"/>
    <col min="15364" max="15364" width="19.28515625" bestFit="1" customWidth="1"/>
    <col min="15365" max="15365" width="10.7109375" bestFit="1" customWidth="1"/>
    <col min="15366" max="15366" width="18.85546875" customWidth="1"/>
    <col min="15367" max="15367" width="11.140625" bestFit="1" customWidth="1"/>
    <col min="15368" max="15368" width="26.85546875" customWidth="1"/>
    <col min="15617" max="15617" width="68.5703125" bestFit="1" customWidth="1"/>
    <col min="15618" max="15618" width="12.5703125" bestFit="1" customWidth="1"/>
    <col min="15619" max="15619" width="8.85546875" bestFit="1" customWidth="1"/>
    <col min="15620" max="15620" width="19.28515625" bestFit="1" customWidth="1"/>
    <col min="15621" max="15621" width="10.7109375" bestFit="1" customWidth="1"/>
    <col min="15622" max="15622" width="18.85546875" customWidth="1"/>
    <col min="15623" max="15623" width="11.140625" bestFit="1" customWidth="1"/>
    <col min="15624" max="15624" width="26.85546875" customWidth="1"/>
    <col min="15873" max="15873" width="68.5703125" bestFit="1" customWidth="1"/>
    <col min="15874" max="15874" width="12.5703125" bestFit="1" customWidth="1"/>
    <col min="15875" max="15875" width="8.85546875" bestFit="1" customWidth="1"/>
    <col min="15876" max="15876" width="19.28515625" bestFit="1" customWidth="1"/>
    <col min="15877" max="15877" width="10.7109375" bestFit="1" customWidth="1"/>
    <col min="15878" max="15878" width="18.85546875" customWidth="1"/>
    <col min="15879" max="15879" width="11.140625" bestFit="1" customWidth="1"/>
    <col min="15880" max="15880" width="26.85546875" customWidth="1"/>
    <col min="16129" max="16129" width="68.5703125" bestFit="1" customWidth="1"/>
    <col min="16130" max="16130" width="12.5703125" bestFit="1" customWidth="1"/>
    <col min="16131" max="16131" width="8.85546875" bestFit="1" customWidth="1"/>
    <col min="16132" max="16132" width="19.28515625" bestFit="1" customWidth="1"/>
    <col min="16133" max="16133" width="10.7109375" bestFit="1" customWidth="1"/>
    <col min="16134" max="16134" width="18.85546875" customWidth="1"/>
    <col min="16135" max="16135" width="11.140625" bestFit="1" customWidth="1"/>
    <col min="16136" max="16136" width="26.85546875" customWidth="1"/>
  </cols>
  <sheetData>
    <row r="1" spans="1:12">
      <c r="A1" s="107" t="s">
        <v>261</v>
      </c>
    </row>
    <row r="2" spans="1:12">
      <c r="A2" s="109" t="s">
        <v>161</v>
      </c>
      <c r="B2" s="110"/>
      <c r="C2" s="111"/>
      <c r="D2" s="112"/>
      <c r="E2" s="112"/>
      <c r="F2" s="112"/>
      <c r="G2" s="113"/>
      <c r="H2" s="113"/>
      <c r="I2" s="113"/>
      <c r="J2" s="113"/>
      <c r="K2" s="113"/>
      <c r="L2" s="113"/>
    </row>
    <row r="3" spans="1:12">
      <c r="A3" s="268" t="s">
        <v>275</v>
      </c>
      <c r="B3" s="113"/>
      <c r="C3" s="114"/>
      <c r="D3" s="115"/>
      <c r="E3" s="115" t="s">
        <v>105</v>
      </c>
      <c r="F3" s="112"/>
      <c r="G3" s="113"/>
      <c r="H3" s="113"/>
      <c r="I3" s="113"/>
      <c r="J3" s="116"/>
      <c r="K3" s="113"/>
      <c r="L3" s="113"/>
    </row>
    <row r="4" spans="1:12">
      <c r="A4" s="113"/>
      <c r="B4" s="113"/>
      <c r="C4" s="114" t="s">
        <v>102</v>
      </c>
      <c r="D4" s="115" t="s">
        <v>106</v>
      </c>
      <c r="E4" s="115" t="s">
        <v>103</v>
      </c>
      <c r="F4" s="115"/>
      <c r="G4" s="113"/>
      <c r="H4" s="117"/>
      <c r="I4" s="116"/>
      <c r="J4" s="118"/>
      <c r="K4" s="113"/>
      <c r="L4" s="113"/>
    </row>
    <row r="5" spans="1:12">
      <c r="A5" s="113"/>
      <c r="B5" s="113"/>
      <c r="C5" s="114" t="s">
        <v>104</v>
      </c>
      <c r="D5" s="115" t="s">
        <v>10</v>
      </c>
      <c r="E5" s="119">
        <v>42736</v>
      </c>
      <c r="F5" s="120"/>
      <c r="G5" s="113"/>
      <c r="H5" s="121"/>
      <c r="I5" s="116"/>
      <c r="J5" s="116"/>
      <c r="K5" s="113"/>
      <c r="L5" s="113"/>
    </row>
    <row r="6" spans="1:12">
      <c r="A6" s="109"/>
      <c r="B6" s="109"/>
      <c r="C6" s="122"/>
      <c r="D6" s="112"/>
      <c r="E6" s="112"/>
      <c r="F6" s="112"/>
      <c r="G6" s="113"/>
      <c r="H6" s="113"/>
      <c r="I6" s="116"/>
      <c r="J6" s="113"/>
      <c r="K6" s="113"/>
      <c r="L6" s="113"/>
    </row>
    <row r="7" spans="1:12">
      <c r="A7" s="269" t="s">
        <v>276</v>
      </c>
      <c r="B7" s="109"/>
      <c r="C7" s="122"/>
      <c r="D7" s="112"/>
      <c r="E7" s="112"/>
      <c r="F7" s="112"/>
      <c r="G7" s="113"/>
      <c r="H7" s="124"/>
      <c r="I7" s="125"/>
      <c r="J7" s="124"/>
      <c r="K7" s="113"/>
      <c r="L7" s="113"/>
    </row>
    <row r="8" spans="1:12">
      <c r="A8" s="151" t="s">
        <v>114</v>
      </c>
      <c r="B8" s="126"/>
      <c r="C8" s="112">
        <v>9.31</v>
      </c>
      <c r="D8" s="112">
        <v>0.26731444551813116</v>
      </c>
      <c r="E8" s="112">
        <f>C8+D8</f>
        <v>9.577314445518132</v>
      </c>
      <c r="F8" s="158"/>
      <c r="G8" s="151"/>
      <c r="H8" s="303"/>
      <c r="I8" s="127"/>
      <c r="J8" s="124"/>
      <c r="K8" s="113"/>
      <c r="L8" s="113"/>
    </row>
    <row r="9" spans="1:12">
      <c r="A9" s="139" t="s">
        <v>115</v>
      </c>
      <c r="B9" s="126"/>
      <c r="C9" s="112">
        <v>15.24</v>
      </c>
      <c r="D9" s="112">
        <v>0.45016867328634752</v>
      </c>
      <c r="E9" s="112">
        <f t="shared" ref="E9:E17" si="0">C9+D9</f>
        <v>15.690168673286347</v>
      </c>
      <c r="F9" s="158"/>
      <c r="G9" s="151"/>
      <c r="H9" s="303"/>
      <c r="I9" s="127"/>
      <c r="J9" s="124"/>
      <c r="K9" s="113"/>
      <c r="L9" s="113"/>
    </row>
    <row r="10" spans="1:12">
      <c r="A10" s="139" t="s">
        <v>116</v>
      </c>
      <c r="B10" s="126"/>
      <c r="C10" s="112">
        <v>24.68</v>
      </c>
      <c r="D10" s="112">
        <v>0.90033734657269504</v>
      </c>
      <c r="E10" s="112">
        <f t="shared" si="0"/>
        <v>25.580337346572694</v>
      </c>
      <c r="F10" s="158"/>
      <c r="G10" s="151"/>
      <c r="H10" s="303"/>
      <c r="I10" s="127"/>
      <c r="J10" s="124"/>
      <c r="K10" s="113"/>
      <c r="L10" s="113"/>
    </row>
    <row r="11" spans="1:12">
      <c r="A11" s="139" t="s">
        <v>117</v>
      </c>
      <c r="B11" s="126"/>
      <c r="C11" s="112">
        <v>35.35</v>
      </c>
      <c r="D11" s="112">
        <v>1.3505060198590426</v>
      </c>
      <c r="E11" s="112">
        <f t="shared" si="0"/>
        <v>36.700506019859041</v>
      </c>
      <c r="F11" s="158"/>
      <c r="G11" s="151"/>
      <c r="H11" s="303"/>
      <c r="I11" s="127"/>
      <c r="J11" s="124"/>
      <c r="K11" s="113"/>
      <c r="L11" s="113"/>
    </row>
    <row r="12" spans="1:12">
      <c r="A12" s="139" t="s">
        <v>118</v>
      </c>
      <c r="B12" s="126"/>
      <c r="C12" s="112">
        <v>47.25</v>
      </c>
      <c r="D12" s="112">
        <v>1.8006746931453901</v>
      </c>
      <c r="E12" s="112">
        <f t="shared" si="0"/>
        <v>49.050674693145389</v>
      </c>
      <c r="F12" s="158"/>
      <c r="G12" s="304"/>
      <c r="H12" s="303"/>
      <c r="I12" s="127"/>
      <c r="J12" s="124"/>
      <c r="K12" s="113"/>
      <c r="L12" s="113"/>
    </row>
    <row r="13" spans="1:12">
      <c r="A13" s="270" t="s">
        <v>162</v>
      </c>
      <c r="B13" s="271"/>
      <c r="C13" s="272">
        <v>57.81</v>
      </c>
      <c r="D13" s="272">
        <f>E13-C13</f>
        <v>2.25</v>
      </c>
      <c r="E13" s="272">
        <v>60.06</v>
      </c>
      <c r="F13" s="158"/>
      <c r="G13" s="304"/>
      <c r="H13" s="303"/>
      <c r="I13" s="127"/>
      <c r="J13" s="124"/>
      <c r="K13" s="113"/>
      <c r="L13" s="113"/>
    </row>
    <row r="14" spans="1:12">
      <c r="A14" s="139" t="s">
        <v>119</v>
      </c>
      <c r="B14" s="126"/>
      <c r="C14" s="112">
        <v>13.96</v>
      </c>
      <c r="D14" s="112">
        <v>0.45016867328634752</v>
      </c>
      <c r="E14" s="112">
        <f t="shared" si="0"/>
        <v>14.410168673286348</v>
      </c>
      <c r="F14" s="158"/>
      <c r="G14" s="304"/>
      <c r="H14" s="303"/>
      <c r="I14" s="127"/>
      <c r="J14" s="124"/>
      <c r="K14" s="113"/>
      <c r="L14" s="113"/>
    </row>
    <row r="15" spans="1:12">
      <c r="A15" s="139" t="s">
        <v>164</v>
      </c>
      <c r="B15" s="126"/>
      <c r="C15" s="112">
        <v>22.5</v>
      </c>
      <c r="D15" s="112">
        <v>0.90033734657269504</v>
      </c>
      <c r="E15" s="112">
        <f t="shared" si="0"/>
        <v>23.400337346572694</v>
      </c>
      <c r="F15" s="158"/>
      <c r="G15" s="304"/>
      <c r="H15" s="303"/>
      <c r="I15" s="127"/>
      <c r="J15" s="124"/>
      <c r="K15" s="113"/>
      <c r="L15" s="113"/>
    </row>
    <row r="16" spans="1:12">
      <c r="A16" s="139" t="s">
        <v>165</v>
      </c>
      <c r="B16" s="126"/>
      <c r="C16" s="112">
        <v>30.2</v>
      </c>
      <c r="D16" s="112">
        <v>1.3505060198590426</v>
      </c>
      <c r="E16" s="112">
        <f t="shared" si="0"/>
        <v>31.550506019859043</v>
      </c>
      <c r="F16" s="158"/>
      <c r="G16" s="151"/>
      <c r="H16" s="303"/>
      <c r="I16" s="127"/>
      <c r="J16" s="124"/>
      <c r="K16" s="113"/>
      <c r="L16" s="113"/>
    </row>
    <row r="17" spans="1:12">
      <c r="A17" s="139" t="s">
        <v>108</v>
      </c>
      <c r="B17" s="126"/>
      <c r="C17" s="112">
        <v>5.97</v>
      </c>
      <c r="D17" s="112">
        <v>0.1039650515672858</v>
      </c>
      <c r="E17" s="112">
        <f t="shared" si="0"/>
        <v>6.0739650515672858</v>
      </c>
      <c r="F17" s="158"/>
      <c r="G17" s="151"/>
      <c r="H17" s="303"/>
      <c r="I17" s="127"/>
      <c r="J17" s="124"/>
      <c r="K17" s="113"/>
      <c r="L17" s="113"/>
    </row>
    <row r="18" spans="1:12">
      <c r="A18" s="113"/>
      <c r="B18" s="113"/>
      <c r="C18" s="112"/>
      <c r="D18" s="112"/>
      <c r="E18" s="112"/>
      <c r="F18" s="112"/>
      <c r="G18" s="305"/>
      <c r="H18" s="306"/>
      <c r="I18" s="127"/>
      <c r="J18" s="124"/>
      <c r="K18" s="113"/>
      <c r="L18" s="113"/>
    </row>
    <row r="19" spans="1:12">
      <c r="A19" s="269" t="s">
        <v>277</v>
      </c>
      <c r="B19" s="109"/>
      <c r="C19" s="122"/>
      <c r="D19" s="112"/>
      <c r="E19" s="112"/>
      <c r="F19" s="112"/>
      <c r="G19" s="305"/>
      <c r="H19" s="307"/>
      <c r="I19" s="125"/>
      <c r="J19" s="124"/>
      <c r="K19" s="113"/>
      <c r="L19" s="113"/>
    </row>
    <row r="20" spans="1:12">
      <c r="A20" s="273" t="s">
        <v>278</v>
      </c>
      <c r="B20" s="271" t="s">
        <v>107</v>
      </c>
      <c r="C20" s="272">
        <v>2.5499999999999998</v>
      </c>
      <c r="D20" s="272">
        <f>E20-C20</f>
        <v>0.10000000000000009</v>
      </c>
      <c r="E20" s="272">
        <v>2.65</v>
      </c>
      <c r="F20" s="158"/>
      <c r="G20" s="151"/>
      <c r="H20" s="303"/>
      <c r="I20" s="127"/>
      <c r="J20" s="124"/>
      <c r="K20" s="113"/>
      <c r="L20" s="113"/>
    </row>
    <row r="21" spans="1:12">
      <c r="A21" s="113"/>
      <c r="B21" s="113"/>
      <c r="C21" s="122"/>
      <c r="D21" s="112"/>
      <c r="E21" s="112"/>
      <c r="F21" s="112"/>
      <c r="G21" s="305"/>
      <c r="H21" s="307"/>
      <c r="I21" s="125"/>
      <c r="J21" s="124"/>
      <c r="K21" s="113"/>
      <c r="L21" s="113"/>
    </row>
    <row r="22" spans="1:12">
      <c r="A22" s="109" t="s">
        <v>279</v>
      </c>
      <c r="B22" s="113"/>
      <c r="C22" s="122"/>
      <c r="D22" s="112"/>
      <c r="E22" s="112"/>
      <c r="F22" s="112"/>
      <c r="G22" s="113"/>
      <c r="H22" s="113"/>
      <c r="I22" s="123"/>
      <c r="J22" s="113"/>
      <c r="K22" s="113"/>
      <c r="L22" s="113"/>
    </row>
    <row r="23" spans="1:12">
      <c r="A23" s="274" t="s">
        <v>280</v>
      </c>
      <c r="B23" s="275" t="s">
        <v>107</v>
      </c>
      <c r="C23" s="272">
        <v>4.05</v>
      </c>
      <c r="D23" s="272">
        <f>E23-C23</f>
        <v>0.11000000000000032</v>
      </c>
      <c r="E23" s="272">
        <v>4.16</v>
      </c>
      <c r="F23" s="112"/>
      <c r="G23" s="113"/>
      <c r="H23" s="113"/>
      <c r="I23" s="123"/>
      <c r="J23" s="113"/>
      <c r="K23" s="113"/>
      <c r="L23" s="113"/>
    </row>
    <row r="24" spans="1:12">
      <c r="A24" s="145" t="s">
        <v>260</v>
      </c>
      <c r="B24" s="113" t="s">
        <v>107</v>
      </c>
      <c r="C24" s="112">
        <v>4.05</v>
      </c>
      <c r="D24" s="112">
        <v>0.11342092054316752</v>
      </c>
      <c r="E24" s="112">
        <f>C24+D24</f>
        <v>4.1634209205431674</v>
      </c>
      <c r="F24" s="112"/>
      <c r="G24" s="113"/>
      <c r="H24" s="123"/>
      <c r="I24" s="123"/>
      <c r="J24" s="113"/>
      <c r="K24" s="129"/>
      <c r="L24" s="113"/>
    </row>
    <row r="25" spans="1:12">
      <c r="A25" s="145" t="s">
        <v>152</v>
      </c>
      <c r="B25" s="113" t="s">
        <v>107</v>
      </c>
      <c r="C25" s="112">
        <v>4.05</v>
      </c>
      <c r="D25" s="112">
        <v>0.11342092054316752</v>
      </c>
      <c r="E25" s="112">
        <f t="shared" ref="E25:E34" si="1">C25+D25</f>
        <v>4.1634209205431674</v>
      </c>
      <c r="F25" s="112"/>
      <c r="G25" s="113"/>
      <c r="H25" s="123"/>
      <c r="I25" s="123"/>
      <c r="J25" s="113"/>
      <c r="K25" s="129"/>
      <c r="L25" s="113"/>
    </row>
    <row r="26" spans="1:12">
      <c r="A26" s="274" t="s">
        <v>281</v>
      </c>
      <c r="B26" s="275" t="s">
        <v>107</v>
      </c>
      <c r="C26" s="272">
        <v>6.71</v>
      </c>
      <c r="D26" s="272">
        <f>E26-C26</f>
        <v>0.23000000000000043</v>
      </c>
      <c r="E26" s="272">
        <v>6.94</v>
      </c>
      <c r="F26" s="112"/>
      <c r="G26" s="113"/>
      <c r="H26" s="123"/>
      <c r="I26" s="123"/>
      <c r="J26" s="113"/>
      <c r="K26" s="129"/>
      <c r="L26" s="113"/>
    </row>
    <row r="27" spans="1:12">
      <c r="A27" s="145" t="s">
        <v>153</v>
      </c>
      <c r="B27" s="113" t="s">
        <v>107</v>
      </c>
      <c r="C27" s="112">
        <v>10</v>
      </c>
      <c r="D27" s="112">
        <v>0.34026276162950247</v>
      </c>
      <c r="E27" s="112">
        <f t="shared" si="1"/>
        <v>10.340262761629502</v>
      </c>
      <c r="F27" s="112"/>
      <c r="G27" s="113"/>
      <c r="H27" s="123"/>
      <c r="I27" s="123"/>
      <c r="J27" s="113"/>
      <c r="K27" s="129"/>
      <c r="L27" s="113"/>
    </row>
    <row r="28" spans="1:12">
      <c r="A28" s="145" t="s">
        <v>154</v>
      </c>
      <c r="B28" s="113" t="s">
        <v>107</v>
      </c>
      <c r="C28" s="112">
        <v>21.22</v>
      </c>
      <c r="D28" s="112">
        <v>0.71785392748840204</v>
      </c>
      <c r="E28" s="112">
        <f t="shared" si="1"/>
        <v>21.937853927488401</v>
      </c>
      <c r="F28" s="112"/>
      <c r="G28" s="123"/>
      <c r="H28" s="123"/>
      <c r="I28" s="123"/>
      <c r="J28" s="113"/>
      <c r="K28" s="129"/>
      <c r="L28" s="113"/>
    </row>
    <row r="29" spans="1:12">
      <c r="A29" s="145" t="s">
        <v>155</v>
      </c>
      <c r="B29" s="113" t="s">
        <v>107</v>
      </c>
      <c r="C29" s="112">
        <v>28.7</v>
      </c>
      <c r="D29" s="112">
        <v>1.0767808912326029</v>
      </c>
      <c r="E29" s="112">
        <f t="shared" si="1"/>
        <v>29.776780891232601</v>
      </c>
      <c r="F29" s="112"/>
      <c r="G29" s="123"/>
      <c r="H29" s="123"/>
      <c r="I29" s="123"/>
      <c r="J29" s="113"/>
      <c r="K29" s="129"/>
      <c r="L29" s="113"/>
    </row>
    <row r="30" spans="1:12">
      <c r="A30" s="145" t="s">
        <v>156</v>
      </c>
      <c r="B30" s="113" t="s">
        <v>107</v>
      </c>
      <c r="C30" s="112">
        <v>39.82</v>
      </c>
      <c r="D30" s="112">
        <v>1.4357078549768041</v>
      </c>
      <c r="E30" s="112">
        <f t="shared" si="1"/>
        <v>41.255707854976805</v>
      </c>
      <c r="F30" s="112"/>
      <c r="G30" s="123"/>
      <c r="H30" s="123"/>
      <c r="I30" s="123"/>
      <c r="J30" s="113"/>
      <c r="K30" s="129"/>
      <c r="L30" s="113"/>
    </row>
    <row r="31" spans="1:12">
      <c r="A31" s="145" t="s">
        <v>157</v>
      </c>
      <c r="B31" s="113" t="s">
        <v>107</v>
      </c>
      <c r="C31" s="112">
        <v>56.78</v>
      </c>
      <c r="D31" s="112">
        <v>2.1535617824652058</v>
      </c>
      <c r="E31" s="112">
        <f t="shared" si="1"/>
        <v>58.933561782465205</v>
      </c>
      <c r="F31" s="112"/>
      <c r="G31" s="123"/>
      <c r="H31" s="123"/>
      <c r="I31" s="123"/>
      <c r="J31" s="113"/>
      <c r="K31" s="129"/>
      <c r="L31" s="113"/>
    </row>
    <row r="32" spans="1:12">
      <c r="A32" s="145" t="s">
        <v>158</v>
      </c>
      <c r="B32" s="113" t="s">
        <v>107</v>
      </c>
      <c r="C32" s="112">
        <v>71.19</v>
      </c>
      <c r="D32" s="112">
        <v>2.8714157099536082</v>
      </c>
      <c r="E32" s="112">
        <f t="shared" si="1"/>
        <v>74.061415709953607</v>
      </c>
      <c r="F32" s="112"/>
      <c r="G32" s="123"/>
      <c r="H32" s="123"/>
      <c r="I32" s="123"/>
      <c r="J32" s="113"/>
      <c r="K32" s="129"/>
      <c r="L32" s="113"/>
    </row>
    <row r="33" spans="1:12">
      <c r="A33" s="145" t="s">
        <v>159</v>
      </c>
      <c r="B33" s="113" t="s">
        <v>107</v>
      </c>
      <c r="C33" s="112">
        <v>106.31</v>
      </c>
      <c r="D33" s="112">
        <v>4.3071235649304116</v>
      </c>
      <c r="E33" s="112">
        <f t="shared" si="1"/>
        <v>110.61712356493041</v>
      </c>
      <c r="F33" s="112"/>
      <c r="G33" s="123"/>
      <c r="H33" s="123"/>
      <c r="I33" s="123"/>
      <c r="J33" s="113"/>
      <c r="K33" s="129"/>
      <c r="L33" s="113"/>
    </row>
    <row r="34" spans="1:12">
      <c r="A34" s="145" t="s">
        <v>160</v>
      </c>
      <c r="B34" s="113" t="s">
        <v>107</v>
      </c>
      <c r="C34" s="112">
        <v>135.06</v>
      </c>
      <c r="D34" s="112">
        <v>5.7428314199072164</v>
      </c>
      <c r="E34" s="112">
        <f t="shared" si="1"/>
        <v>140.80283141990722</v>
      </c>
      <c r="F34" s="112"/>
      <c r="G34" s="123"/>
      <c r="H34" s="123"/>
      <c r="I34" s="123"/>
      <c r="J34" s="113"/>
      <c r="K34" s="129"/>
      <c r="L34" s="113"/>
    </row>
    <row r="35" spans="1:12">
      <c r="A35" s="113"/>
      <c r="B35" s="113"/>
      <c r="C35" s="112"/>
      <c r="D35" s="112"/>
      <c r="E35" s="112"/>
      <c r="F35" s="128"/>
      <c r="G35" s="113"/>
      <c r="H35" s="113"/>
      <c r="I35" s="123"/>
      <c r="J35" s="113"/>
      <c r="K35" s="113"/>
      <c r="L35" s="113"/>
    </row>
    <row r="36" spans="1:12">
      <c r="A36" s="274" t="s">
        <v>282</v>
      </c>
      <c r="B36" s="275" t="s">
        <v>107</v>
      </c>
      <c r="C36" s="272">
        <v>8.7200000000000006</v>
      </c>
      <c r="D36" s="272">
        <f>E36-C36</f>
        <v>0.24000000000000021</v>
      </c>
      <c r="E36" s="272">
        <v>8.9600000000000009</v>
      </c>
      <c r="F36" s="112"/>
      <c r="G36" s="113"/>
      <c r="H36" s="113"/>
      <c r="I36" s="123"/>
      <c r="J36" s="113"/>
      <c r="K36" s="113"/>
      <c r="L36" s="113"/>
    </row>
    <row r="37" spans="1:12">
      <c r="A37" s="274" t="s">
        <v>284</v>
      </c>
      <c r="B37" s="275" t="s">
        <v>107</v>
      </c>
      <c r="C37" s="272">
        <v>8.7200000000000006</v>
      </c>
      <c r="D37" s="272">
        <f t="shared" ref="D37:D46" si="2">E37-C37</f>
        <v>0.24000000000000021</v>
      </c>
      <c r="E37" s="272">
        <v>8.9600000000000009</v>
      </c>
      <c r="F37" s="112"/>
      <c r="G37" s="113"/>
      <c r="H37" s="123"/>
      <c r="I37" s="123"/>
      <c r="J37" s="113"/>
      <c r="K37" s="129"/>
      <c r="L37" s="113"/>
    </row>
    <row r="38" spans="1:12">
      <c r="A38" s="274" t="s">
        <v>283</v>
      </c>
      <c r="B38" s="275" t="s">
        <v>107</v>
      </c>
      <c r="C38" s="272">
        <v>10.09</v>
      </c>
      <c r="D38" s="272">
        <f t="shared" si="2"/>
        <v>0.33999999999999986</v>
      </c>
      <c r="E38" s="272">
        <v>10.43</v>
      </c>
      <c r="F38" s="112"/>
      <c r="G38" s="113"/>
      <c r="H38" s="123"/>
      <c r="I38" s="123"/>
      <c r="J38" s="113"/>
      <c r="K38" s="129"/>
      <c r="L38" s="113"/>
    </row>
    <row r="39" spans="1:12">
      <c r="A39" s="274" t="s">
        <v>285</v>
      </c>
      <c r="B39" s="275" t="s">
        <v>107</v>
      </c>
      <c r="C39" s="272">
        <v>12.5</v>
      </c>
      <c r="D39" s="272">
        <f t="shared" si="2"/>
        <v>0.42999999999999972</v>
      </c>
      <c r="E39" s="272">
        <v>12.93</v>
      </c>
      <c r="F39" s="112"/>
      <c r="G39" s="113"/>
      <c r="H39" s="123"/>
      <c r="I39" s="123"/>
      <c r="J39" s="113"/>
      <c r="K39" s="129"/>
      <c r="L39" s="113"/>
    </row>
    <row r="40" spans="1:12">
      <c r="A40" s="274" t="s">
        <v>254</v>
      </c>
      <c r="B40" s="275" t="s">
        <v>107</v>
      </c>
      <c r="C40" s="272">
        <v>22.72</v>
      </c>
      <c r="D40" s="272">
        <f t="shared" si="2"/>
        <v>0.76999999999999957</v>
      </c>
      <c r="E40" s="272">
        <v>23.49</v>
      </c>
      <c r="F40" s="112"/>
      <c r="G40" s="123"/>
      <c r="H40" s="123"/>
      <c r="I40" s="123"/>
      <c r="J40" s="113"/>
      <c r="K40" s="129"/>
      <c r="L40" s="113"/>
    </row>
    <row r="41" spans="1:12">
      <c r="A41" s="274" t="s">
        <v>286</v>
      </c>
      <c r="B41" s="275" t="s">
        <v>107</v>
      </c>
      <c r="C41" s="272">
        <v>30.55</v>
      </c>
      <c r="D41" s="272">
        <f t="shared" si="2"/>
        <v>1.0799999999999983</v>
      </c>
      <c r="E41" s="272">
        <v>31.63</v>
      </c>
      <c r="F41" s="112"/>
      <c r="G41" s="123"/>
      <c r="H41" s="123"/>
      <c r="I41" s="123"/>
      <c r="J41" s="113"/>
      <c r="K41" s="129"/>
      <c r="L41" s="113"/>
    </row>
    <row r="42" spans="1:12">
      <c r="A42" s="274" t="s">
        <v>255</v>
      </c>
      <c r="B42" s="275" t="s">
        <v>107</v>
      </c>
      <c r="C42" s="272">
        <v>43.27</v>
      </c>
      <c r="D42" s="272">
        <f t="shared" si="2"/>
        <v>1.4599999999999937</v>
      </c>
      <c r="E42" s="272">
        <v>44.73</v>
      </c>
      <c r="F42" s="112"/>
      <c r="G42" s="123"/>
      <c r="H42" s="123"/>
      <c r="I42" s="123"/>
      <c r="J42" s="113"/>
      <c r="K42" s="129"/>
      <c r="L42" s="113"/>
    </row>
    <row r="43" spans="1:12">
      <c r="A43" s="274" t="s">
        <v>256</v>
      </c>
      <c r="B43" s="275" t="s">
        <v>107</v>
      </c>
      <c r="C43" s="272">
        <v>60.12</v>
      </c>
      <c r="D43" s="272">
        <f t="shared" si="2"/>
        <v>2.1500000000000057</v>
      </c>
      <c r="E43" s="272">
        <v>62.27</v>
      </c>
      <c r="F43" s="112"/>
      <c r="G43" s="123"/>
      <c r="H43" s="123"/>
      <c r="I43" s="123"/>
      <c r="J43" s="113"/>
      <c r="K43" s="129"/>
      <c r="L43" s="113"/>
    </row>
    <row r="44" spans="1:12">
      <c r="A44" s="274" t="s">
        <v>257</v>
      </c>
      <c r="B44" s="275" t="s">
        <v>107</v>
      </c>
      <c r="C44" s="272">
        <v>74.36</v>
      </c>
      <c r="D44" s="272">
        <f t="shared" si="2"/>
        <v>2.8700000000000045</v>
      </c>
      <c r="E44" s="272">
        <v>77.23</v>
      </c>
      <c r="F44" s="112"/>
      <c r="G44" s="123"/>
      <c r="H44" s="123"/>
      <c r="I44" s="123"/>
      <c r="J44" s="113"/>
      <c r="K44" s="129"/>
      <c r="L44" s="113"/>
    </row>
    <row r="45" spans="1:12">
      <c r="A45" s="274" t="s">
        <v>258</v>
      </c>
      <c r="B45" s="275" t="s">
        <v>107</v>
      </c>
      <c r="C45" s="272">
        <v>112.12</v>
      </c>
      <c r="D45" s="272">
        <f t="shared" si="2"/>
        <v>4.3100000000000023</v>
      </c>
      <c r="E45" s="272">
        <v>116.43</v>
      </c>
      <c r="F45" s="112"/>
      <c r="G45" s="123"/>
      <c r="H45" s="123"/>
      <c r="I45" s="123"/>
      <c r="J45" s="113"/>
      <c r="K45" s="129"/>
      <c r="L45" s="113"/>
    </row>
    <row r="46" spans="1:12">
      <c r="A46" s="274" t="s">
        <v>259</v>
      </c>
      <c r="B46" s="275" t="s">
        <v>107</v>
      </c>
      <c r="C46" s="272">
        <v>137.69999999999999</v>
      </c>
      <c r="D46" s="272">
        <f t="shared" si="2"/>
        <v>5.7400000000000091</v>
      </c>
      <c r="E46" s="272">
        <v>143.44</v>
      </c>
      <c r="F46" s="112"/>
      <c r="G46" s="123"/>
      <c r="H46" s="123"/>
      <c r="I46" s="123"/>
      <c r="J46" s="113"/>
      <c r="K46" s="129"/>
      <c r="L46" s="113"/>
    </row>
    <row r="47" spans="1:12">
      <c r="A47" s="113"/>
      <c r="B47" s="113"/>
      <c r="C47" s="112"/>
      <c r="D47" s="112"/>
      <c r="E47" s="112"/>
      <c r="F47" s="128"/>
      <c r="G47" s="113"/>
      <c r="H47" s="113"/>
      <c r="I47" s="123"/>
      <c r="J47" s="113"/>
      <c r="K47" s="113"/>
      <c r="L47" s="113"/>
    </row>
    <row r="48" spans="1:12">
      <c r="A48" s="109" t="s">
        <v>293</v>
      </c>
      <c r="B48" s="113"/>
      <c r="C48" s="112"/>
      <c r="D48" s="112"/>
      <c r="E48" s="112"/>
      <c r="F48" s="128"/>
      <c r="G48" s="123"/>
      <c r="H48" s="113"/>
      <c r="I48" s="113"/>
      <c r="J48" s="113"/>
    </row>
    <row r="49" spans="1:10">
      <c r="A49" s="275" t="s">
        <v>287</v>
      </c>
      <c r="B49" s="275" t="s">
        <v>107</v>
      </c>
      <c r="C49" s="272">
        <v>119.81</v>
      </c>
      <c r="D49" s="272">
        <f t="shared" ref="D49:D54" si="3">E49-C49</f>
        <v>4.0699999999999932</v>
      </c>
      <c r="E49" s="272">
        <v>123.88</v>
      </c>
      <c r="F49" s="128"/>
      <c r="G49" s="123"/>
      <c r="H49" s="113"/>
      <c r="I49" s="113"/>
      <c r="J49" s="113"/>
    </row>
    <row r="50" spans="1:10">
      <c r="A50" s="275" t="s">
        <v>288</v>
      </c>
      <c r="B50" s="275" t="s">
        <v>107</v>
      </c>
      <c r="C50" s="272">
        <v>168.54</v>
      </c>
      <c r="D50" s="272">
        <f t="shared" si="3"/>
        <v>5.0200000000000102</v>
      </c>
      <c r="E50" s="272">
        <v>173.56</v>
      </c>
      <c r="F50" s="128"/>
      <c r="G50" s="123"/>
      <c r="H50" s="113"/>
      <c r="I50" s="113"/>
      <c r="J50" s="113"/>
    </row>
    <row r="51" spans="1:10">
      <c r="A51" s="275" t="s">
        <v>289</v>
      </c>
      <c r="B51" s="275" t="s">
        <v>107</v>
      </c>
      <c r="C51" s="272">
        <v>209.11</v>
      </c>
      <c r="D51" s="272">
        <f t="shared" si="3"/>
        <v>7.539999999999992</v>
      </c>
      <c r="E51" s="272">
        <v>216.65</v>
      </c>
      <c r="F51" s="128"/>
      <c r="G51" s="123"/>
      <c r="H51" s="113"/>
      <c r="I51" s="113"/>
      <c r="J51" s="113"/>
    </row>
    <row r="52" spans="1:10">
      <c r="A52" s="275" t="s">
        <v>290</v>
      </c>
      <c r="B52" s="275" t="s">
        <v>107</v>
      </c>
      <c r="C52" s="272">
        <v>247.17</v>
      </c>
      <c r="D52" s="272">
        <f t="shared" si="3"/>
        <v>10.05000000000004</v>
      </c>
      <c r="E52" s="272">
        <v>257.22000000000003</v>
      </c>
      <c r="F52" s="128"/>
      <c r="G52" s="123"/>
      <c r="H52" s="113"/>
      <c r="I52" s="113"/>
      <c r="J52" s="113"/>
    </row>
    <row r="53" spans="1:10">
      <c r="A53" s="275" t="s">
        <v>291</v>
      </c>
      <c r="B53" s="275" t="s">
        <v>107</v>
      </c>
      <c r="C53" s="272">
        <v>285.81</v>
      </c>
      <c r="D53" s="272">
        <f t="shared" si="3"/>
        <v>12.560000000000002</v>
      </c>
      <c r="E53" s="272">
        <v>298.37</v>
      </c>
      <c r="F53" s="128"/>
      <c r="G53" s="123"/>
      <c r="H53" s="113"/>
      <c r="I53" s="113"/>
      <c r="J53" s="113"/>
    </row>
    <row r="54" spans="1:10">
      <c r="A54" s="275" t="s">
        <v>292</v>
      </c>
      <c r="B54" s="275" t="s">
        <v>107</v>
      </c>
      <c r="C54" s="272">
        <v>361.69</v>
      </c>
      <c r="D54" s="272">
        <f t="shared" si="3"/>
        <v>15.069999999999993</v>
      </c>
      <c r="E54" s="272">
        <v>376.76</v>
      </c>
      <c r="F54" s="128"/>
      <c r="G54" s="123"/>
      <c r="H54" s="113"/>
      <c r="I54" s="113"/>
      <c r="J54" s="113"/>
    </row>
    <row r="55" spans="1:10">
      <c r="A55" s="113"/>
      <c r="B55" s="113"/>
      <c r="C55" s="112"/>
      <c r="D55" s="112"/>
      <c r="E55" s="112"/>
      <c r="F55" s="128"/>
      <c r="G55" s="123"/>
      <c r="H55" s="113"/>
      <c r="I55" s="113"/>
      <c r="J55" s="113"/>
    </row>
    <row r="56" spans="1:10">
      <c r="A56" s="109" t="s">
        <v>294</v>
      </c>
      <c r="B56" s="113"/>
      <c r="C56" s="112"/>
      <c r="D56" s="112"/>
      <c r="E56" s="112"/>
      <c r="F56" s="128"/>
      <c r="G56" s="123"/>
      <c r="H56" s="113"/>
      <c r="I56" s="113"/>
      <c r="J56" s="113"/>
    </row>
    <row r="57" spans="1:10">
      <c r="A57" s="275" t="s">
        <v>287</v>
      </c>
      <c r="B57" s="275" t="s">
        <v>107</v>
      </c>
      <c r="C57" s="272">
        <v>133.35</v>
      </c>
      <c r="D57" s="272">
        <f t="shared" ref="D57:D62" si="4">E57-C57</f>
        <v>4.5300000000000011</v>
      </c>
      <c r="E57" s="272">
        <v>137.88</v>
      </c>
      <c r="F57" s="128"/>
      <c r="G57" s="123"/>
      <c r="H57" s="113"/>
      <c r="I57" s="113"/>
      <c r="J57" s="113"/>
    </row>
    <row r="58" spans="1:10">
      <c r="A58" s="275" t="s">
        <v>288</v>
      </c>
      <c r="B58" s="275" t="s">
        <v>107</v>
      </c>
      <c r="C58" s="272">
        <v>203.69</v>
      </c>
      <c r="D58" s="272">
        <f t="shared" si="4"/>
        <v>7.1800000000000068</v>
      </c>
      <c r="E58" s="272">
        <v>210.87</v>
      </c>
      <c r="F58" s="128"/>
      <c r="G58" s="123"/>
      <c r="H58" s="113"/>
      <c r="I58" s="113"/>
      <c r="J58" s="113"/>
    </row>
    <row r="59" spans="1:10">
      <c r="A59" s="275" t="s">
        <v>289</v>
      </c>
      <c r="B59" s="275" t="s">
        <v>107</v>
      </c>
      <c r="C59" s="272">
        <v>258.62</v>
      </c>
      <c r="D59" s="272">
        <f t="shared" si="4"/>
        <v>10.769999999999982</v>
      </c>
      <c r="E59" s="272">
        <v>269.39</v>
      </c>
      <c r="F59" s="128"/>
      <c r="G59" s="123"/>
      <c r="H59" s="113"/>
      <c r="I59" s="113"/>
      <c r="J59" s="113"/>
    </row>
    <row r="60" spans="1:10">
      <c r="A60" s="275" t="s">
        <v>290</v>
      </c>
      <c r="B60" s="275" t="s">
        <v>107</v>
      </c>
      <c r="C60" s="272">
        <v>313.57</v>
      </c>
      <c r="D60" s="272">
        <f t="shared" si="4"/>
        <v>14.360000000000014</v>
      </c>
      <c r="E60" s="272">
        <v>327.93</v>
      </c>
      <c r="F60" s="128"/>
      <c r="G60" s="123"/>
      <c r="H60" s="113"/>
      <c r="I60" s="113"/>
      <c r="J60" s="113"/>
    </row>
    <row r="61" spans="1:10">
      <c r="A61" s="275" t="s">
        <v>291</v>
      </c>
      <c r="B61" s="275" t="s">
        <v>107</v>
      </c>
      <c r="C61" s="272">
        <v>368.52</v>
      </c>
      <c r="D61" s="272">
        <f t="shared" si="4"/>
        <v>17.950000000000045</v>
      </c>
      <c r="E61" s="272">
        <v>386.47</v>
      </c>
      <c r="F61" s="128"/>
      <c r="G61" s="123"/>
      <c r="H61" s="113"/>
      <c r="I61" s="113"/>
      <c r="J61" s="113"/>
    </row>
    <row r="62" spans="1:10">
      <c r="A62" s="275" t="s">
        <v>292</v>
      </c>
      <c r="B62" s="275" t="s">
        <v>107</v>
      </c>
      <c r="C62" s="272">
        <v>423.45</v>
      </c>
      <c r="D62" s="272">
        <f t="shared" si="4"/>
        <v>21.54000000000002</v>
      </c>
      <c r="E62" s="272">
        <v>444.99</v>
      </c>
      <c r="F62" s="128"/>
      <c r="G62" s="123"/>
      <c r="H62" s="113"/>
      <c r="I62" s="113"/>
      <c r="J62" s="113"/>
    </row>
    <row r="63" spans="1:10">
      <c r="A63" s="113"/>
      <c r="B63" s="113"/>
      <c r="C63" s="112"/>
      <c r="D63" s="112"/>
      <c r="E63" s="112"/>
      <c r="F63" s="128"/>
      <c r="G63" s="123"/>
      <c r="H63" s="113"/>
      <c r="I63" s="113"/>
      <c r="J63" s="113"/>
    </row>
    <row r="64" spans="1:10">
      <c r="A64" s="109" t="s">
        <v>295</v>
      </c>
      <c r="B64" s="113"/>
      <c r="C64" s="112"/>
      <c r="D64" s="112"/>
      <c r="E64" s="112"/>
      <c r="F64" s="128"/>
      <c r="G64" s="123"/>
      <c r="H64" s="113"/>
      <c r="I64" s="113"/>
      <c r="J64" s="113"/>
    </row>
    <row r="65" spans="1:12">
      <c r="A65" s="275" t="s">
        <v>296</v>
      </c>
      <c r="B65" s="275" t="s">
        <v>297</v>
      </c>
      <c r="C65" s="272">
        <v>13.8</v>
      </c>
      <c r="D65" s="272">
        <f t="shared" ref="D65:D66" si="5">E65-C65</f>
        <v>0.51999999999999957</v>
      </c>
      <c r="E65" s="272">
        <v>14.32</v>
      </c>
      <c r="F65" s="128"/>
      <c r="G65" s="123"/>
      <c r="H65" s="113"/>
      <c r="I65" s="113"/>
      <c r="J65" s="113"/>
    </row>
    <row r="66" spans="1:12">
      <c r="A66" s="275" t="s">
        <v>298</v>
      </c>
      <c r="B66" s="275" t="s">
        <v>297</v>
      </c>
      <c r="C66" s="272">
        <v>13.8</v>
      </c>
      <c r="D66" s="272">
        <f t="shared" si="5"/>
        <v>0.51999999999999957</v>
      </c>
      <c r="E66" s="272">
        <v>14.32</v>
      </c>
      <c r="F66" s="128"/>
      <c r="G66" s="123"/>
      <c r="H66" s="113"/>
      <c r="I66" s="113"/>
      <c r="J66" s="113"/>
    </row>
    <row r="67" spans="1:12" s="277" customFormat="1">
      <c r="A67" s="124"/>
      <c r="B67" s="124"/>
      <c r="C67" s="122"/>
      <c r="D67" s="122"/>
      <c r="E67" s="122"/>
      <c r="F67" s="276"/>
      <c r="G67" s="125"/>
      <c r="H67" s="124"/>
      <c r="I67" s="124"/>
      <c r="J67" s="124"/>
    </row>
    <row r="68" spans="1:12">
      <c r="A68" s="109" t="s">
        <v>304</v>
      </c>
      <c r="B68" s="113"/>
      <c r="C68" s="112"/>
      <c r="D68" s="112"/>
      <c r="E68" s="112"/>
      <c r="F68" s="128"/>
      <c r="G68" s="113"/>
      <c r="H68" s="113"/>
      <c r="I68" s="123"/>
      <c r="J68" s="113"/>
      <c r="K68" s="113"/>
      <c r="L68" s="113"/>
    </row>
    <row r="69" spans="1:12">
      <c r="A69" s="113" t="s">
        <v>143</v>
      </c>
      <c r="B69" s="113" t="s">
        <v>112</v>
      </c>
      <c r="C69" s="112">
        <v>120.17</v>
      </c>
      <c r="D69" s="112">
        <f t="shared" ref="D69" si="6">E69-C69</f>
        <v>14.420000000000002</v>
      </c>
      <c r="E69" s="112">
        <v>134.59</v>
      </c>
      <c r="F69" s="128"/>
      <c r="G69" s="113"/>
      <c r="H69" s="113"/>
      <c r="I69" s="123"/>
      <c r="J69" s="113"/>
      <c r="K69" s="113"/>
      <c r="L69" s="113"/>
    </row>
    <row r="70" spans="1:12">
      <c r="A70" s="113"/>
      <c r="B70" s="113"/>
      <c r="C70" s="112"/>
      <c r="D70" s="112"/>
      <c r="E70" s="112"/>
      <c r="F70" s="128"/>
      <c r="G70" s="113"/>
      <c r="H70" s="113"/>
      <c r="I70" s="123"/>
      <c r="J70" s="113"/>
      <c r="K70" s="113"/>
      <c r="L70" s="113"/>
    </row>
    <row r="71" spans="1:12">
      <c r="A71" s="109" t="s">
        <v>305</v>
      </c>
      <c r="B71" s="113"/>
      <c r="C71" s="122"/>
      <c r="D71" s="112"/>
      <c r="E71" s="112"/>
      <c r="F71" s="112"/>
      <c r="G71" s="113"/>
      <c r="H71" s="113"/>
      <c r="I71" s="123"/>
      <c r="J71" s="113"/>
      <c r="K71" s="113"/>
      <c r="L71" s="113"/>
    </row>
    <row r="72" spans="1:12">
      <c r="A72" s="145" t="s">
        <v>152</v>
      </c>
      <c r="B72" s="113" t="s">
        <v>107</v>
      </c>
      <c r="C72" s="112">
        <v>3.77</v>
      </c>
      <c r="D72" s="112">
        <v>0.11342092054316752</v>
      </c>
      <c r="E72" s="112">
        <v>3.88</v>
      </c>
      <c r="F72" s="112"/>
      <c r="G72" s="113"/>
      <c r="H72" s="123"/>
      <c r="I72" s="123"/>
      <c r="J72" s="113"/>
      <c r="K72" s="129"/>
      <c r="L72" s="113"/>
    </row>
    <row r="73" spans="1:12">
      <c r="A73" s="274" t="s">
        <v>281</v>
      </c>
      <c r="B73" s="275" t="s">
        <v>107</v>
      </c>
      <c r="C73" s="272">
        <v>6.15</v>
      </c>
      <c r="D73" s="272">
        <f>E73-C73</f>
        <v>0.22999999999999954</v>
      </c>
      <c r="E73" s="272">
        <v>6.38</v>
      </c>
      <c r="F73" s="112"/>
      <c r="G73" s="113"/>
      <c r="H73" s="123"/>
      <c r="I73" s="123"/>
      <c r="J73" s="113"/>
      <c r="K73" s="129"/>
      <c r="L73" s="113"/>
    </row>
    <row r="74" spans="1:12">
      <c r="A74" s="274" t="s">
        <v>153</v>
      </c>
      <c r="B74" s="275" t="s">
        <v>107</v>
      </c>
      <c r="C74" s="272">
        <v>9.2200000000000006</v>
      </c>
      <c r="D74" s="272">
        <v>0.34026276162950247</v>
      </c>
      <c r="E74" s="272">
        <v>9.56</v>
      </c>
      <c r="F74" s="112"/>
      <c r="G74" s="113"/>
      <c r="H74" s="123"/>
      <c r="I74" s="123"/>
      <c r="J74" s="113"/>
      <c r="K74" s="129"/>
      <c r="L74" s="113"/>
    </row>
    <row r="75" spans="1:12">
      <c r="A75" s="145" t="s">
        <v>154</v>
      </c>
      <c r="B75" s="113" t="s">
        <v>107</v>
      </c>
      <c r="C75" s="112">
        <v>19.48</v>
      </c>
      <c r="D75" s="112">
        <v>0.71785392748840204</v>
      </c>
      <c r="E75" s="112">
        <f t="shared" ref="E75:E81" si="7">C75+D75</f>
        <v>20.197853927488403</v>
      </c>
      <c r="F75" s="112"/>
      <c r="G75" s="113"/>
      <c r="H75" s="123"/>
      <c r="I75" s="123"/>
      <c r="J75" s="113"/>
      <c r="K75" s="129"/>
      <c r="L75" s="113"/>
    </row>
    <row r="76" spans="1:12">
      <c r="A76" s="145" t="s">
        <v>155</v>
      </c>
      <c r="B76" s="113" t="s">
        <v>107</v>
      </c>
      <c r="C76" s="112">
        <v>26.1</v>
      </c>
      <c r="D76" s="112">
        <v>1.0767808912326029</v>
      </c>
      <c r="E76" s="112">
        <f t="shared" si="7"/>
        <v>27.176780891232603</v>
      </c>
      <c r="F76" s="112"/>
      <c r="G76" s="113"/>
      <c r="H76" s="123"/>
      <c r="I76" s="123"/>
      <c r="J76" s="113"/>
      <c r="K76" s="129"/>
      <c r="L76" s="113"/>
    </row>
    <row r="77" spans="1:12">
      <c r="A77" s="145" t="s">
        <v>156</v>
      </c>
      <c r="B77" s="113" t="s">
        <v>107</v>
      </c>
      <c r="C77" s="112">
        <v>36.35</v>
      </c>
      <c r="D77" s="112">
        <v>1.4357078549768041</v>
      </c>
      <c r="E77" s="112">
        <f t="shared" si="7"/>
        <v>37.785707854976806</v>
      </c>
      <c r="F77" s="112"/>
      <c r="G77" s="113"/>
      <c r="H77" s="123"/>
      <c r="I77" s="123"/>
      <c r="J77" s="113"/>
      <c r="K77" s="129"/>
      <c r="L77" s="113"/>
    </row>
    <row r="78" spans="1:12">
      <c r="A78" s="145" t="s">
        <v>157</v>
      </c>
      <c r="B78" s="113" t="s">
        <v>107</v>
      </c>
      <c r="C78" s="112">
        <v>51.57</v>
      </c>
      <c r="D78" s="112">
        <v>2.1535617824652058</v>
      </c>
      <c r="E78" s="112">
        <f t="shared" si="7"/>
        <v>53.723561782465204</v>
      </c>
      <c r="F78" s="112"/>
      <c r="G78" s="123"/>
      <c r="H78" s="123"/>
      <c r="I78" s="123"/>
      <c r="J78" s="113"/>
      <c r="K78" s="129"/>
      <c r="L78" s="113"/>
    </row>
    <row r="79" spans="1:12">
      <c r="A79" s="145" t="s">
        <v>158</v>
      </c>
      <c r="B79" s="113" t="s">
        <v>107</v>
      </c>
      <c r="C79" s="112">
        <v>64.25</v>
      </c>
      <c r="D79" s="112">
        <v>2.8714157099536082</v>
      </c>
      <c r="E79" s="112">
        <f t="shared" si="7"/>
        <v>67.12141570995361</v>
      </c>
      <c r="F79" s="112"/>
      <c r="G79" s="123"/>
      <c r="H79" s="123"/>
      <c r="I79" s="123"/>
      <c r="J79" s="113"/>
      <c r="K79" s="129"/>
      <c r="L79" s="113"/>
    </row>
    <row r="80" spans="1:12">
      <c r="A80" s="145" t="s">
        <v>159</v>
      </c>
      <c r="B80" s="113" t="s">
        <v>107</v>
      </c>
      <c r="C80" s="112">
        <v>95.9</v>
      </c>
      <c r="D80" s="112">
        <v>4.3071235649304116</v>
      </c>
      <c r="E80" s="112">
        <f t="shared" si="7"/>
        <v>100.20712356493041</v>
      </c>
      <c r="F80" s="112"/>
      <c r="G80" s="123"/>
      <c r="H80" s="123"/>
      <c r="I80" s="123"/>
      <c r="J80" s="113"/>
      <c r="K80" s="129"/>
      <c r="L80" s="113"/>
    </row>
    <row r="81" spans="1:12">
      <c r="A81" s="145" t="s">
        <v>160</v>
      </c>
      <c r="B81" s="113" t="s">
        <v>107</v>
      </c>
      <c r="C81" s="112">
        <v>121.19</v>
      </c>
      <c r="D81" s="112">
        <v>5.7428314199072164</v>
      </c>
      <c r="E81" s="112">
        <f t="shared" si="7"/>
        <v>126.93283141990722</v>
      </c>
      <c r="F81" s="112"/>
      <c r="G81" s="123"/>
      <c r="H81" s="123"/>
      <c r="I81" s="123"/>
      <c r="J81" s="113"/>
      <c r="K81" s="129"/>
      <c r="L81" s="113"/>
    </row>
    <row r="82" spans="1:12">
      <c r="A82" s="145"/>
      <c r="B82" s="113"/>
      <c r="C82" s="112"/>
      <c r="D82" s="112"/>
      <c r="E82" s="112"/>
      <c r="F82" s="112"/>
      <c r="G82" s="123"/>
      <c r="H82" s="123"/>
      <c r="I82" s="123"/>
      <c r="J82" s="113"/>
      <c r="K82" s="129"/>
      <c r="L82" s="113"/>
    </row>
    <row r="83" spans="1:12">
      <c r="A83" s="274" t="s">
        <v>299</v>
      </c>
      <c r="B83" s="275" t="s">
        <v>107</v>
      </c>
      <c r="C83" s="272">
        <v>8.4499999999999993</v>
      </c>
      <c r="D83" s="272">
        <v>0.11342092054316752</v>
      </c>
      <c r="E83" s="272">
        <v>8.6999999999999993</v>
      </c>
      <c r="F83" s="112"/>
      <c r="G83" s="113"/>
      <c r="H83" s="123"/>
      <c r="I83" s="123"/>
      <c r="J83" s="113"/>
      <c r="K83" s="129"/>
      <c r="L83" s="113"/>
    </row>
    <row r="84" spans="1:12">
      <c r="A84" s="274" t="s">
        <v>283</v>
      </c>
      <c r="B84" s="275" t="s">
        <v>107</v>
      </c>
      <c r="C84" s="272">
        <v>9.5399999999999991</v>
      </c>
      <c r="D84" s="272">
        <f>E84-C84</f>
        <v>0.35000000000000142</v>
      </c>
      <c r="E84" s="272">
        <v>9.89</v>
      </c>
      <c r="F84" s="112"/>
      <c r="G84" s="113"/>
      <c r="H84" s="123"/>
      <c r="I84" s="123"/>
      <c r="J84" s="113"/>
      <c r="K84" s="129"/>
      <c r="L84" s="113"/>
    </row>
    <row r="85" spans="1:12">
      <c r="A85" s="274" t="s">
        <v>300</v>
      </c>
      <c r="B85" s="275" t="s">
        <v>107</v>
      </c>
      <c r="C85" s="272">
        <v>11.67</v>
      </c>
      <c r="D85" s="272">
        <v>0.34026276162950247</v>
      </c>
      <c r="E85" s="272">
        <v>12.1</v>
      </c>
      <c r="F85" s="112"/>
      <c r="G85" s="113"/>
      <c r="H85" s="123"/>
      <c r="I85" s="123"/>
      <c r="J85" s="113"/>
      <c r="K85" s="129"/>
      <c r="L85" s="113"/>
    </row>
    <row r="86" spans="1:12">
      <c r="A86" s="113" t="s">
        <v>254</v>
      </c>
      <c r="B86" s="113" t="s">
        <v>107</v>
      </c>
      <c r="C86" s="122">
        <v>20.98</v>
      </c>
      <c r="D86" s="112">
        <v>0.71785392748840204</v>
      </c>
      <c r="E86" s="112">
        <v>21.7</v>
      </c>
      <c r="F86" s="112"/>
      <c r="G86" s="113"/>
      <c r="H86" s="123"/>
      <c r="I86" s="123"/>
      <c r="J86" s="113"/>
      <c r="K86" s="113"/>
      <c r="L86" s="113"/>
    </row>
    <row r="87" spans="1:12">
      <c r="A87" s="274" t="s">
        <v>155</v>
      </c>
      <c r="B87" s="275" t="s">
        <v>107</v>
      </c>
      <c r="C87" s="272">
        <v>27.984999999999999</v>
      </c>
      <c r="D87" s="272">
        <v>1.0767808912326029</v>
      </c>
      <c r="E87" s="272">
        <v>29.03</v>
      </c>
      <c r="F87" s="112"/>
      <c r="G87" s="113"/>
      <c r="H87" s="123"/>
      <c r="I87" s="123"/>
      <c r="J87" s="113"/>
      <c r="K87" s="129"/>
      <c r="L87" s="113"/>
    </row>
    <row r="88" spans="1:12">
      <c r="A88" s="113" t="s">
        <v>255</v>
      </c>
      <c r="B88" s="113" t="s">
        <v>107</v>
      </c>
      <c r="C88" s="122">
        <v>39.799999999999997</v>
      </c>
      <c r="D88" s="112">
        <v>1.4357078549768041</v>
      </c>
      <c r="E88" s="112">
        <v>41.24</v>
      </c>
      <c r="F88" s="112"/>
      <c r="G88" s="113"/>
      <c r="H88" s="123"/>
      <c r="I88" s="123"/>
      <c r="J88" s="113"/>
      <c r="K88" s="113"/>
      <c r="L88" s="113"/>
    </row>
    <row r="89" spans="1:12">
      <c r="A89" s="113" t="s">
        <v>256</v>
      </c>
      <c r="B89" s="113" t="s">
        <v>107</v>
      </c>
      <c r="C89" s="122">
        <v>54.92</v>
      </c>
      <c r="D89" s="112">
        <v>2.1535617824652058</v>
      </c>
      <c r="E89" s="112">
        <v>57.07</v>
      </c>
      <c r="F89" s="112"/>
      <c r="G89" s="113"/>
      <c r="H89" s="123"/>
      <c r="I89" s="123"/>
      <c r="J89" s="113"/>
      <c r="K89" s="113"/>
      <c r="L89" s="113"/>
    </row>
    <row r="90" spans="1:12">
      <c r="A90" s="113" t="s">
        <v>257</v>
      </c>
      <c r="B90" s="113" t="s">
        <v>107</v>
      </c>
      <c r="C90" s="122">
        <v>67.42</v>
      </c>
      <c r="D90" s="112">
        <v>2.8714157099536082</v>
      </c>
      <c r="E90" s="112">
        <v>70.290000000000006</v>
      </c>
      <c r="F90" s="112"/>
      <c r="G90" s="113"/>
      <c r="H90" s="123"/>
      <c r="I90" s="123"/>
      <c r="J90" s="113"/>
      <c r="K90" s="113"/>
      <c r="L90" s="113"/>
    </row>
    <row r="91" spans="1:12">
      <c r="A91" s="113" t="s">
        <v>258</v>
      </c>
      <c r="B91" s="113" t="s">
        <v>107</v>
      </c>
      <c r="C91" s="122">
        <v>101.71</v>
      </c>
      <c r="D91" s="112">
        <v>4.3071235649304116</v>
      </c>
      <c r="E91" s="112">
        <v>106.02</v>
      </c>
      <c r="F91" s="112"/>
      <c r="G91" s="113"/>
      <c r="H91" s="123"/>
      <c r="I91" s="123"/>
      <c r="J91" s="113"/>
      <c r="K91" s="113"/>
      <c r="L91" s="113"/>
    </row>
    <row r="92" spans="1:12" s="30" customFormat="1">
      <c r="A92" s="126" t="s">
        <v>259</v>
      </c>
      <c r="B92" s="126" t="s">
        <v>107</v>
      </c>
      <c r="C92" s="112">
        <v>123.82</v>
      </c>
      <c r="D92" s="112">
        <v>5.7428314199072164</v>
      </c>
      <c r="E92" s="112">
        <v>129.56</v>
      </c>
      <c r="F92" s="112"/>
      <c r="G92" s="126"/>
      <c r="H92" s="260"/>
      <c r="I92" s="260"/>
      <c r="J92" s="126"/>
      <c r="K92" s="126"/>
      <c r="L92" s="126"/>
    </row>
    <row r="93" spans="1:12">
      <c r="A93" s="113"/>
      <c r="B93" s="113"/>
      <c r="D93" s="112"/>
      <c r="E93" s="112"/>
      <c r="F93" s="122"/>
      <c r="G93" s="124"/>
      <c r="H93" s="124"/>
      <c r="I93" s="113"/>
      <c r="J93" s="113"/>
      <c r="K93" s="113"/>
      <c r="L93" s="113"/>
    </row>
    <row r="94" spans="1:12">
      <c r="A94" s="261" t="s">
        <v>306</v>
      </c>
      <c r="B94" s="124"/>
      <c r="C94" s="112"/>
      <c r="D94" s="112"/>
      <c r="E94" s="112"/>
      <c r="F94" s="122"/>
      <c r="G94" s="124"/>
      <c r="H94" s="124"/>
      <c r="I94" s="113"/>
      <c r="J94" s="113"/>
      <c r="K94" s="113"/>
      <c r="L94" s="113"/>
    </row>
    <row r="95" spans="1:12">
      <c r="A95" s="113" t="s">
        <v>152</v>
      </c>
      <c r="B95" s="126" t="s">
        <v>107</v>
      </c>
      <c r="C95" s="112">
        <v>3.77</v>
      </c>
      <c r="D95" s="112">
        <v>0.11342092054316752</v>
      </c>
      <c r="E95" s="112">
        <f t="shared" ref="E95" si="8">C95+D95</f>
        <v>3.8834209205431676</v>
      </c>
      <c r="F95" s="122"/>
      <c r="G95" s="124"/>
      <c r="H95" s="124"/>
      <c r="I95" s="113"/>
      <c r="J95" s="113"/>
      <c r="K95" s="113"/>
      <c r="L95" s="113"/>
    </row>
    <row r="96" spans="1:12">
      <c r="A96" s="274" t="s">
        <v>281</v>
      </c>
      <c r="B96" s="275" t="s">
        <v>107</v>
      </c>
      <c r="C96" s="272">
        <v>6.15</v>
      </c>
      <c r="D96" s="272">
        <f>E96-C96</f>
        <v>0.22999999999999954</v>
      </c>
      <c r="E96" s="272">
        <v>6.38</v>
      </c>
      <c r="F96" s="112"/>
      <c r="G96" s="113"/>
      <c r="H96" s="123"/>
      <c r="I96" s="123"/>
      <c r="J96" s="113"/>
      <c r="K96" s="129"/>
      <c r="L96" s="113"/>
    </row>
    <row r="97" spans="1:12">
      <c r="A97" s="274" t="s">
        <v>153</v>
      </c>
      <c r="B97" s="275" t="s">
        <v>107</v>
      </c>
      <c r="C97" s="272">
        <v>9.2200000000000006</v>
      </c>
      <c r="D97" s="272">
        <v>0.34026276162950247</v>
      </c>
      <c r="E97" s="272">
        <v>9.56</v>
      </c>
      <c r="F97" s="112"/>
      <c r="G97" s="113"/>
      <c r="H97" s="123"/>
      <c r="I97" s="123"/>
      <c r="J97" s="113"/>
      <c r="K97" s="129"/>
      <c r="L97" s="113"/>
    </row>
    <row r="98" spans="1:12">
      <c r="A98" s="109"/>
      <c r="B98" s="113"/>
      <c r="C98" s="112"/>
      <c r="D98" s="112"/>
      <c r="E98" s="122"/>
      <c r="F98" s="122"/>
      <c r="G98" s="124"/>
      <c r="H98" s="124"/>
      <c r="I98" s="113"/>
      <c r="J98" s="113"/>
      <c r="K98" s="113"/>
      <c r="L98" s="113"/>
    </row>
    <row r="99" spans="1:12">
      <c r="A99" s="274" t="s">
        <v>299</v>
      </c>
      <c r="B99" s="275" t="s">
        <v>107</v>
      </c>
      <c r="C99" s="272">
        <v>8.4499999999999993</v>
      </c>
      <c r="D99" s="272">
        <v>0.11342092054316752</v>
      </c>
      <c r="E99" s="272">
        <v>8.6999999999999993</v>
      </c>
      <c r="F99" s="112"/>
      <c r="G99" s="113"/>
      <c r="H99" s="123"/>
      <c r="I99" s="123"/>
      <c r="J99" s="113"/>
      <c r="K99" s="129"/>
      <c r="L99" s="113"/>
    </row>
    <row r="100" spans="1:12">
      <c r="A100" s="274" t="s">
        <v>283</v>
      </c>
      <c r="B100" s="275" t="s">
        <v>107</v>
      </c>
      <c r="C100" s="272">
        <v>9.5399999999999991</v>
      </c>
      <c r="D100" s="272">
        <f>E100-C100</f>
        <v>0.35000000000000142</v>
      </c>
      <c r="E100" s="272">
        <v>9.89</v>
      </c>
      <c r="F100" s="112"/>
      <c r="G100" s="113"/>
      <c r="H100" s="123"/>
      <c r="I100" s="123"/>
      <c r="J100" s="113"/>
      <c r="K100" s="129"/>
      <c r="L100" s="113"/>
    </row>
    <row r="101" spans="1:12">
      <c r="A101" s="274" t="s">
        <v>300</v>
      </c>
      <c r="B101" s="275" t="s">
        <v>107</v>
      </c>
      <c r="C101" s="272">
        <v>11.67</v>
      </c>
      <c r="D101" s="272">
        <v>0.34026276162950247</v>
      </c>
      <c r="E101" s="272">
        <v>12.1</v>
      </c>
      <c r="F101" s="112"/>
      <c r="G101" s="113"/>
      <c r="H101" s="123"/>
      <c r="I101" s="123"/>
      <c r="J101" s="113"/>
      <c r="K101" s="129"/>
      <c r="L101" s="113"/>
    </row>
    <row r="102" spans="1:12">
      <c r="A102" s="109"/>
      <c r="B102" s="113"/>
      <c r="C102" s="112"/>
      <c r="D102" s="112"/>
      <c r="E102" s="122"/>
      <c r="F102" s="122"/>
      <c r="G102" s="124"/>
      <c r="H102" s="124"/>
      <c r="I102" s="113"/>
      <c r="J102" s="113"/>
      <c r="K102" s="113"/>
      <c r="L102" s="113"/>
    </row>
    <row r="103" spans="1:12">
      <c r="A103" s="109" t="s">
        <v>301</v>
      </c>
      <c r="B103" s="113"/>
      <c r="C103" s="112"/>
      <c r="D103" s="112"/>
      <c r="E103" s="112"/>
      <c r="F103" s="128"/>
      <c r="G103" s="123"/>
      <c r="H103" s="113"/>
      <c r="I103" s="113"/>
      <c r="J103" s="113"/>
    </row>
    <row r="104" spans="1:12">
      <c r="A104" s="275" t="s">
        <v>287</v>
      </c>
      <c r="B104" s="275" t="s">
        <v>107</v>
      </c>
      <c r="C104" s="272">
        <v>113.74</v>
      </c>
      <c r="D104" s="272">
        <f t="shared" ref="D104:D109" si="9">E104-C104</f>
        <v>4.210000000000008</v>
      </c>
      <c r="E104" s="272">
        <v>117.95</v>
      </c>
      <c r="F104" s="128"/>
      <c r="G104" s="123"/>
      <c r="H104" s="113"/>
      <c r="I104" s="113"/>
      <c r="J104" s="113"/>
    </row>
    <row r="105" spans="1:12">
      <c r="A105" s="275" t="s">
        <v>288</v>
      </c>
      <c r="B105" s="275" t="s">
        <v>107</v>
      </c>
      <c r="C105" s="272">
        <v>156.4</v>
      </c>
      <c r="D105" s="272">
        <f t="shared" si="9"/>
        <v>5.0199999999999818</v>
      </c>
      <c r="E105" s="272">
        <v>161.41999999999999</v>
      </c>
      <c r="F105" s="128"/>
      <c r="G105" s="123"/>
      <c r="H105" s="113"/>
      <c r="I105" s="113"/>
      <c r="J105" s="113"/>
    </row>
    <row r="106" spans="1:12">
      <c r="A106" s="275" t="s">
        <v>289</v>
      </c>
      <c r="B106" s="275" t="s">
        <v>107</v>
      </c>
      <c r="C106" s="272">
        <v>190.89</v>
      </c>
      <c r="D106" s="272">
        <f t="shared" si="9"/>
        <v>7.5400000000000205</v>
      </c>
      <c r="E106" s="272">
        <v>198.43</v>
      </c>
      <c r="F106" s="128"/>
      <c r="G106" s="123"/>
      <c r="H106" s="113"/>
      <c r="I106" s="113"/>
      <c r="J106" s="113"/>
    </row>
    <row r="107" spans="1:12">
      <c r="A107" s="275" t="s">
        <v>290</v>
      </c>
      <c r="B107" s="275" t="s">
        <v>107</v>
      </c>
      <c r="C107" s="272">
        <v>222.88</v>
      </c>
      <c r="D107" s="272">
        <f t="shared" si="9"/>
        <v>10.050000000000011</v>
      </c>
      <c r="E107" s="272">
        <v>232.93</v>
      </c>
      <c r="F107" s="128"/>
      <c r="G107" s="123"/>
      <c r="H107" s="113"/>
      <c r="I107" s="113"/>
      <c r="J107" s="113"/>
    </row>
    <row r="108" spans="1:12">
      <c r="A108" s="275" t="s">
        <v>291</v>
      </c>
      <c r="B108" s="275" t="s">
        <v>107</v>
      </c>
      <c r="C108" s="272">
        <v>255.45</v>
      </c>
      <c r="D108" s="272">
        <f t="shared" si="9"/>
        <v>12.560000000000002</v>
      </c>
      <c r="E108" s="272">
        <v>268.01</v>
      </c>
      <c r="F108" s="128"/>
      <c r="G108" s="123"/>
      <c r="H108" s="113"/>
      <c r="I108" s="113"/>
      <c r="J108" s="113"/>
    </row>
    <row r="109" spans="1:12">
      <c r="A109" s="275" t="s">
        <v>292</v>
      </c>
      <c r="B109" s="275" t="s">
        <v>107</v>
      </c>
      <c r="C109" s="272">
        <v>325.26</v>
      </c>
      <c r="D109" s="272">
        <f t="shared" si="9"/>
        <v>15.069999999999993</v>
      </c>
      <c r="E109" s="272">
        <v>340.33</v>
      </c>
      <c r="F109" s="128"/>
      <c r="G109" s="123"/>
      <c r="H109" s="113"/>
      <c r="I109" s="113"/>
      <c r="J109" s="113"/>
    </row>
    <row r="111" spans="1:12">
      <c r="A111" s="109" t="s">
        <v>302</v>
      </c>
      <c r="B111" s="113"/>
      <c r="C111" s="112"/>
      <c r="D111" s="112"/>
      <c r="E111" s="112"/>
      <c r="F111" s="128"/>
      <c r="G111" s="123"/>
      <c r="H111" s="113"/>
      <c r="I111" s="113"/>
      <c r="J111" s="113"/>
    </row>
    <row r="112" spans="1:12">
      <c r="A112" s="275" t="s">
        <v>287</v>
      </c>
      <c r="B112" s="275" t="s">
        <v>107</v>
      </c>
      <c r="C112" s="272">
        <v>124.67</v>
      </c>
      <c r="D112" s="272">
        <f t="shared" ref="D112:D117" si="10">E112-C112</f>
        <v>4.6099999999999994</v>
      </c>
      <c r="E112" s="272">
        <v>129.28</v>
      </c>
      <c r="F112" s="128"/>
      <c r="G112" s="123"/>
      <c r="H112" s="113"/>
      <c r="I112" s="113"/>
      <c r="J112" s="113"/>
    </row>
    <row r="113" spans="1:10">
      <c r="A113" s="275" t="s">
        <v>288</v>
      </c>
      <c r="B113" s="275" t="s">
        <v>107</v>
      </c>
      <c r="C113" s="272">
        <v>186.34</v>
      </c>
      <c r="D113" s="272">
        <f t="shared" si="10"/>
        <v>7.1800000000000068</v>
      </c>
      <c r="E113" s="272">
        <v>193.52</v>
      </c>
      <c r="F113" s="128"/>
      <c r="G113" s="123"/>
      <c r="H113" s="113"/>
      <c r="I113" s="113"/>
      <c r="J113" s="113"/>
    </row>
    <row r="114" spans="1:10">
      <c r="A114" s="275" t="s">
        <v>289</v>
      </c>
      <c r="B114" s="275" t="s">
        <v>107</v>
      </c>
      <c r="C114" s="272">
        <v>232.6</v>
      </c>
      <c r="D114" s="272">
        <f t="shared" si="10"/>
        <v>10.77000000000001</v>
      </c>
      <c r="E114" s="272">
        <v>243.37</v>
      </c>
      <c r="F114" s="128"/>
      <c r="G114" s="123"/>
      <c r="H114" s="113"/>
      <c r="I114" s="113"/>
      <c r="J114" s="113"/>
    </row>
    <row r="115" spans="1:10">
      <c r="A115" s="275" t="s">
        <v>290</v>
      </c>
      <c r="B115" s="275" t="s">
        <v>107</v>
      </c>
      <c r="C115" s="272">
        <v>278.88</v>
      </c>
      <c r="D115" s="272">
        <f t="shared" si="10"/>
        <v>14.360000000000014</v>
      </c>
      <c r="E115" s="272">
        <v>293.24</v>
      </c>
      <c r="F115" s="128"/>
      <c r="G115" s="123"/>
      <c r="H115" s="113"/>
      <c r="I115" s="113"/>
      <c r="J115" s="113"/>
    </row>
    <row r="116" spans="1:10">
      <c r="A116" s="275" t="s">
        <v>291</v>
      </c>
      <c r="B116" s="275" t="s">
        <v>107</v>
      </c>
      <c r="C116" s="272">
        <v>325.14</v>
      </c>
      <c r="D116" s="272">
        <f t="shared" si="10"/>
        <v>17.949999999999989</v>
      </c>
      <c r="E116" s="272">
        <v>343.09</v>
      </c>
      <c r="F116" s="128"/>
      <c r="G116" s="123"/>
      <c r="H116" s="113"/>
      <c r="I116" s="113"/>
      <c r="J116" s="113"/>
    </row>
    <row r="117" spans="1:10">
      <c r="A117" s="275" t="s">
        <v>292</v>
      </c>
      <c r="B117" s="275" t="s">
        <v>107</v>
      </c>
      <c r="C117" s="272">
        <v>371.4</v>
      </c>
      <c r="D117" s="272">
        <f t="shared" si="10"/>
        <v>21.54000000000002</v>
      </c>
      <c r="E117" s="272">
        <v>392.94</v>
      </c>
      <c r="F117" s="128"/>
      <c r="G117" s="123"/>
      <c r="H117" s="113"/>
      <c r="I117" s="113"/>
      <c r="J117" s="113"/>
    </row>
  </sheetData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C273"/>
  <sheetViews>
    <sheetView workbookViewId="0">
      <pane xSplit="1" ySplit="17" topLeftCell="B39" activePane="bottomRight" state="frozen"/>
      <selection pane="topRight" activeCell="B1" sqref="B1"/>
      <selection pane="bottomLeft" activeCell="A18" sqref="A18"/>
      <selection pane="bottomRight" activeCell="V48" sqref="V48"/>
    </sheetView>
  </sheetViews>
  <sheetFormatPr defaultRowHeight="11.25"/>
  <cols>
    <col min="1" max="1" width="21" style="160" bestFit="1" customWidth="1"/>
    <col min="2" max="2" width="7.28515625" style="160" customWidth="1"/>
    <col min="3" max="3" width="9.140625" style="160" customWidth="1"/>
    <col min="4" max="4" width="4.7109375" style="160" customWidth="1"/>
    <col min="5" max="5" width="8.140625" style="160" bestFit="1" customWidth="1"/>
    <col min="6" max="6" width="6.28515625" style="160" bestFit="1" customWidth="1"/>
    <col min="7" max="7" width="4.85546875" style="160" bestFit="1" customWidth="1"/>
    <col min="8" max="8" width="9.28515625" style="160" customWidth="1"/>
    <col min="9" max="9" width="9.85546875" style="160" customWidth="1"/>
    <col min="10" max="10" width="7" style="160" bestFit="1" customWidth="1"/>
    <col min="11" max="11" width="12.42578125" style="160" customWidth="1"/>
    <col min="12" max="12" width="7.28515625" style="160" bestFit="1" customWidth="1"/>
    <col min="13" max="13" width="5.7109375" style="161" bestFit="1" customWidth="1"/>
    <col min="14" max="15" width="7.28515625" style="160" bestFit="1" customWidth="1"/>
    <col min="16" max="16" width="5.28515625" style="160" hidden="1" customWidth="1"/>
    <col min="17" max="17" width="17.42578125" style="160" bestFit="1" customWidth="1"/>
    <col min="18" max="18" width="11.140625" style="160" customWidth="1"/>
    <col min="19" max="19" width="6.140625" style="160" bestFit="1" customWidth="1"/>
    <col min="20" max="20" width="16.140625" style="160" bestFit="1" customWidth="1"/>
    <col min="21" max="21" width="6.42578125" style="160" bestFit="1" customWidth="1"/>
    <col min="22" max="22" width="14" style="160" bestFit="1" customWidth="1"/>
    <col min="23" max="24" width="11.7109375" style="160" bestFit="1" customWidth="1"/>
    <col min="25" max="25" width="11.42578125" style="160" bestFit="1" customWidth="1"/>
    <col min="26" max="26" width="1.85546875" style="160" customWidth="1"/>
    <col min="27" max="27" width="11.140625" style="160" bestFit="1" customWidth="1"/>
    <col min="28" max="29" width="9.42578125" style="162" bestFit="1" customWidth="1"/>
    <col min="30" max="256" width="8.85546875" style="162"/>
    <col min="257" max="257" width="21" style="162" bestFit="1" customWidth="1"/>
    <col min="258" max="258" width="4" style="162" bestFit="1" customWidth="1"/>
    <col min="259" max="259" width="4.85546875" style="162" customWidth="1"/>
    <col min="260" max="260" width="4.7109375" style="162" customWidth="1"/>
    <col min="261" max="261" width="8.140625" style="162" bestFit="1" customWidth="1"/>
    <col min="262" max="262" width="6.28515625" style="162" bestFit="1" customWidth="1"/>
    <col min="263" max="263" width="4.85546875" style="162" bestFit="1" customWidth="1"/>
    <col min="264" max="264" width="9.28515625" style="162" customWidth="1"/>
    <col min="265" max="266" width="7" style="162" bestFit="1" customWidth="1"/>
    <col min="267" max="267" width="8.140625" style="162" bestFit="1" customWidth="1"/>
    <col min="268" max="268" width="7.28515625" style="162" bestFit="1" customWidth="1"/>
    <col min="269" max="269" width="5.7109375" style="162" bestFit="1" customWidth="1"/>
    <col min="270" max="271" width="7.28515625" style="162" bestFit="1" customWidth="1"/>
    <col min="272" max="272" width="0" style="162" hidden="1" customWidth="1"/>
    <col min="273" max="273" width="17.42578125" style="162" bestFit="1" customWidth="1"/>
    <col min="274" max="274" width="7" style="162" bestFit="1" customWidth="1"/>
    <col min="275" max="275" width="6.140625" style="162" bestFit="1" customWidth="1"/>
    <col min="276" max="276" width="16.140625" style="162" bestFit="1" customWidth="1"/>
    <col min="277" max="277" width="6.42578125" style="162" bestFit="1" customWidth="1"/>
    <col min="278" max="278" width="14" style="162" bestFit="1" customWidth="1"/>
    <col min="279" max="280" width="11.7109375" style="162" bestFit="1" customWidth="1"/>
    <col min="281" max="281" width="11.42578125" style="162" bestFit="1" customWidth="1"/>
    <col min="282" max="282" width="1.85546875" style="162" customWidth="1"/>
    <col min="283" max="283" width="11.140625" style="162" bestFit="1" customWidth="1"/>
    <col min="284" max="285" width="9.42578125" style="162" bestFit="1" customWidth="1"/>
    <col min="286" max="512" width="8.85546875" style="162"/>
    <col min="513" max="513" width="21" style="162" bestFit="1" customWidth="1"/>
    <col min="514" max="514" width="4" style="162" bestFit="1" customWidth="1"/>
    <col min="515" max="515" width="4.85546875" style="162" customWidth="1"/>
    <col min="516" max="516" width="4.7109375" style="162" customWidth="1"/>
    <col min="517" max="517" width="8.140625" style="162" bestFit="1" customWidth="1"/>
    <col min="518" max="518" width="6.28515625" style="162" bestFit="1" customWidth="1"/>
    <col min="519" max="519" width="4.85546875" style="162" bestFit="1" customWidth="1"/>
    <col min="520" max="520" width="9.28515625" style="162" customWidth="1"/>
    <col min="521" max="522" width="7" style="162" bestFit="1" customWidth="1"/>
    <col min="523" max="523" width="8.140625" style="162" bestFit="1" customWidth="1"/>
    <col min="524" max="524" width="7.28515625" style="162" bestFit="1" customWidth="1"/>
    <col min="525" max="525" width="5.7109375" style="162" bestFit="1" customWidth="1"/>
    <col min="526" max="527" width="7.28515625" style="162" bestFit="1" customWidth="1"/>
    <col min="528" max="528" width="0" style="162" hidden="1" customWidth="1"/>
    <col min="529" max="529" width="17.42578125" style="162" bestFit="1" customWidth="1"/>
    <col min="530" max="530" width="7" style="162" bestFit="1" customWidth="1"/>
    <col min="531" max="531" width="6.140625" style="162" bestFit="1" customWidth="1"/>
    <col min="532" max="532" width="16.140625" style="162" bestFit="1" customWidth="1"/>
    <col min="533" max="533" width="6.42578125" style="162" bestFit="1" customWidth="1"/>
    <col min="534" max="534" width="14" style="162" bestFit="1" customWidth="1"/>
    <col min="535" max="536" width="11.7109375" style="162" bestFit="1" customWidth="1"/>
    <col min="537" max="537" width="11.42578125" style="162" bestFit="1" customWidth="1"/>
    <col min="538" max="538" width="1.85546875" style="162" customWidth="1"/>
    <col min="539" max="539" width="11.140625" style="162" bestFit="1" customWidth="1"/>
    <col min="540" max="541" width="9.42578125" style="162" bestFit="1" customWidth="1"/>
    <col min="542" max="768" width="8.85546875" style="162"/>
    <col min="769" max="769" width="21" style="162" bestFit="1" customWidth="1"/>
    <col min="770" max="770" width="4" style="162" bestFit="1" customWidth="1"/>
    <col min="771" max="771" width="4.85546875" style="162" customWidth="1"/>
    <col min="772" max="772" width="4.7109375" style="162" customWidth="1"/>
    <col min="773" max="773" width="8.140625" style="162" bestFit="1" customWidth="1"/>
    <col min="774" max="774" width="6.28515625" style="162" bestFit="1" customWidth="1"/>
    <col min="775" max="775" width="4.85546875" style="162" bestFit="1" customWidth="1"/>
    <col min="776" max="776" width="9.28515625" style="162" customWidth="1"/>
    <col min="777" max="778" width="7" style="162" bestFit="1" customWidth="1"/>
    <col min="779" max="779" width="8.140625" style="162" bestFit="1" customWidth="1"/>
    <col min="780" max="780" width="7.28515625" style="162" bestFit="1" customWidth="1"/>
    <col min="781" max="781" width="5.7109375" style="162" bestFit="1" customWidth="1"/>
    <col min="782" max="783" width="7.28515625" style="162" bestFit="1" customWidth="1"/>
    <col min="784" max="784" width="0" style="162" hidden="1" customWidth="1"/>
    <col min="785" max="785" width="17.42578125" style="162" bestFit="1" customWidth="1"/>
    <col min="786" max="786" width="7" style="162" bestFit="1" customWidth="1"/>
    <col min="787" max="787" width="6.140625" style="162" bestFit="1" customWidth="1"/>
    <col min="788" max="788" width="16.140625" style="162" bestFit="1" customWidth="1"/>
    <col min="789" max="789" width="6.42578125" style="162" bestFit="1" customWidth="1"/>
    <col min="790" max="790" width="14" style="162" bestFit="1" customWidth="1"/>
    <col min="791" max="792" width="11.7109375" style="162" bestFit="1" customWidth="1"/>
    <col min="793" max="793" width="11.42578125" style="162" bestFit="1" customWidth="1"/>
    <col min="794" max="794" width="1.85546875" style="162" customWidth="1"/>
    <col min="795" max="795" width="11.140625" style="162" bestFit="1" customWidth="1"/>
    <col min="796" max="797" width="9.42578125" style="162" bestFit="1" customWidth="1"/>
    <col min="798" max="1024" width="8.85546875" style="162"/>
    <col min="1025" max="1025" width="21" style="162" bestFit="1" customWidth="1"/>
    <col min="1026" max="1026" width="4" style="162" bestFit="1" customWidth="1"/>
    <col min="1027" max="1027" width="4.85546875" style="162" customWidth="1"/>
    <col min="1028" max="1028" width="4.7109375" style="162" customWidth="1"/>
    <col min="1029" max="1029" width="8.140625" style="162" bestFit="1" customWidth="1"/>
    <col min="1030" max="1030" width="6.28515625" style="162" bestFit="1" customWidth="1"/>
    <col min="1031" max="1031" width="4.85546875" style="162" bestFit="1" customWidth="1"/>
    <col min="1032" max="1032" width="9.28515625" style="162" customWidth="1"/>
    <col min="1033" max="1034" width="7" style="162" bestFit="1" customWidth="1"/>
    <col min="1035" max="1035" width="8.140625" style="162" bestFit="1" customWidth="1"/>
    <col min="1036" max="1036" width="7.28515625" style="162" bestFit="1" customWidth="1"/>
    <col min="1037" max="1037" width="5.7109375" style="162" bestFit="1" customWidth="1"/>
    <col min="1038" max="1039" width="7.28515625" style="162" bestFit="1" customWidth="1"/>
    <col min="1040" max="1040" width="0" style="162" hidden="1" customWidth="1"/>
    <col min="1041" max="1041" width="17.42578125" style="162" bestFit="1" customWidth="1"/>
    <col min="1042" max="1042" width="7" style="162" bestFit="1" customWidth="1"/>
    <col min="1043" max="1043" width="6.140625" style="162" bestFit="1" customWidth="1"/>
    <col min="1044" max="1044" width="16.140625" style="162" bestFit="1" customWidth="1"/>
    <col min="1045" max="1045" width="6.42578125" style="162" bestFit="1" customWidth="1"/>
    <col min="1046" max="1046" width="14" style="162" bestFit="1" customWidth="1"/>
    <col min="1047" max="1048" width="11.7109375" style="162" bestFit="1" customWidth="1"/>
    <col min="1049" max="1049" width="11.42578125" style="162" bestFit="1" customWidth="1"/>
    <col min="1050" max="1050" width="1.85546875" style="162" customWidth="1"/>
    <col min="1051" max="1051" width="11.140625" style="162" bestFit="1" customWidth="1"/>
    <col min="1052" max="1053" width="9.42578125" style="162" bestFit="1" customWidth="1"/>
    <col min="1054" max="1280" width="8.85546875" style="162"/>
    <col min="1281" max="1281" width="21" style="162" bestFit="1" customWidth="1"/>
    <col min="1282" max="1282" width="4" style="162" bestFit="1" customWidth="1"/>
    <col min="1283" max="1283" width="4.85546875" style="162" customWidth="1"/>
    <col min="1284" max="1284" width="4.7109375" style="162" customWidth="1"/>
    <col min="1285" max="1285" width="8.140625" style="162" bestFit="1" customWidth="1"/>
    <col min="1286" max="1286" width="6.28515625" style="162" bestFit="1" customWidth="1"/>
    <col min="1287" max="1287" width="4.85546875" style="162" bestFit="1" customWidth="1"/>
    <col min="1288" max="1288" width="9.28515625" style="162" customWidth="1"/>
    <col min="1289" max="1290" width="7" style="162" bestFit="1" customWidth="1"/>
    <col min="1291" max="1291" width="8.140625" style="162" bestFit="1" customWidth="1"/>
    <col min="1292" max="1292" width="7.28515625" style="162" bestFit="1" customWidth="1"/>
    <col min="1293" max="1293" width="5.7109375" style="162" bestFit="1" customWidth="1"/>
    <col min="1294" max="1295" width="7.28515625" style="162" bestFit="1" customWidth="1"/>
    <col min="1296" max="1296" width="0" style="162" hidden="1" customWidth="1"/>
    <col min="1297" max="1297" width="17.42578125" style="162" bestFit="1" customWidth="1"/>
    <col min="1298" max="1298" width="7" style="162" bestFit="1" customWidth="1"/>
    <col min="1299" max="1299" width="6.140625" style="162" bestFit="1" customWidth="1"/>
    <col min="1300" max="1300" width="16.140625" style="162" bestFit="1" customWidth="1"/>
    <col min="1301" max="1301" width="6.42578125" style="162" bestFit="1" customWidth="1"/>
    <col min="1302" max="1302" width="14" style="162" bestFit="1" customWidth="1"/>
    <col min="1303" max="1304" width="11.7109375" style="162" bestFit="1" customWidth="1"/>
    <col min="1305" max="1305" width="11.42578125" style="162" bestFit="1" customWidth="1"/>
    <col min="1306" max="1306" width="1.85546875" style="162" customWidth="1"/>
    <col min="1307" max="1307" width="11.140625" style="162" bestFit="1" customWidth="1"/>
    <col min="1308" max="1309" width="9.42578125" style="162" bestFit="1" customWidth="1"/>
    <col min="1310" max="1536" width="8.85546875" style="162"/>
    <col min="1537" max="1537" width="21" style="162" bestFit="1" customWidth="1"/>
    <col min="1538" max="1538" width="4" style="162" bestFit="1" customWidth="1"/>
    <col min="1539" max="1539" width="4.85546875" style="162" customWidth="1"/>
    <col min="1540" max="1540" width="4.7109375" style="162" customWidth="1"/>
    <col min="1541" max="1541" width="8.140625" style="162" bestFit="1" customWidth="1"/>
    <col min="1542" max="1542" width="6.28515625" style="162" bestFit="1" customWidth="1"/>
    <col min="1543" max="1543" width="4.85546875" style="162" bestFit="1" customWidth="1"/>
    <col min="1544" max="1544" width="9.28515625" style="162" customWidth="1"/>
    <col min="1545" max="1546" width="7" style="162" bestFit="1" customWidth="1"/>
    <col min="1547" max="1547" width="8.140625" style="162" bestFit="1" customWidth="1"/>
    <col min="1548" max="1548" width="7.28515625" style="162" bestFit="1" customWidth="1"/>
    <col min="1549" max="1549" width="5.7109375" style="162" bestFit="1" customWidth="1"/>
    <col min="1550" max="1551" width="7.28515625" style="162" bestFit="1" customWidth="1"/>
    <col min="1552" max="1552" width="0" style="162" hidden="1" customWidth="1"/>
    <col min="1553" max="1553" width="17.42578125" style="162" bestFit="1" customWidth="1"/>
    <col min="1554" max="1554" width="7" style="162" bestFit="1" customWidth="1"/>
    <col min="1555" max="1555" width="6.140625" style="162" bestFit="1" customWidth="1"/>
    <col min="1556" max="1556" width="16.140625" style="162" bestFit="1" customWidth="1"/>
    <col min="1557" max="1557" width="6.42578125" style="162" bestFit="1" customWidth="1"/>
    <col min="1558" max="1558" width="14" style="162" bestFit="1" customWidth="1"/>
    <col min="1559" max="1560" width="11.7109375" style="162" bestFit="1" customWidth="1"/>
    <col min="1561" max="1561" width="11.42578125" style="162" bestFit="1" customWidth="1"/>
    <col min="1562" max="1562" width="1.85546875" style="162" customWidth="1"/>
    <col min="1563" max="1563" width="11.140625" style="162" bestFit="1" customWidth="1"/>
    <col min="1564" max="1565" width="9.42578125" style="162" bestFit="1" customWidth="1"/>
    <col min="1566" max="1792" width="8.85546875" style="162"/>
    <col min="1793" max="1793" width="21" style="162" bestFit="1" customWidth="1"/>
    <col min="1794" max="1794" width="4" style="162" bestFit="1" customWidth="1"/>
    <col min="1795" max="1795" width="4.85546875" style="162" customWidth="1"/>
    <col min="1796" max="1796" width="4.7109375" style="162" customWidth="1"/>
    <col min="1797" max="1797" width="8.140625" style="162" bestFit="1" customWidth="1"/>
    <col min="1798" max="1798" width="6.28515625" style="162" bestFit="1" customWidth="1"/>
    <col min="1799" max="1799" width="4.85546875" style="162" bestFit="1" customWidth="1"/>
    <col min="1800" max="1800" width="9.28515625" style="162" customWidth="1"/>
    <col min="1801" max="1802" width="7" style="162" bestFit="1" customWidth="1"/>
    <col min="1803" max="1803" width="8.140625" style="162" bestFit="1" customWidth="1"/>
    <col min="1804" max="1804" width="7.28515625" style="162" bestFit="1" customWidth="1"/>
    <col min="1805" max="1805" width="5.7109375" style="162" bestFit="1" customWidth="1"/>
    <col min="1806" max="1807" width="7.28515625" style="162" bestFit="1" customWidth="1"/>
    <col min="1808" max="1808" width="0" style="162" hidden="1" customWidth="1"/>
    <col min="1809" max="1809" width="17.42578125" style="162" bestFit="1" customWidth="1"/>
    <col min="1810" max="1810" width="7" style="162" bestFit="1" customWidth="1"/>
    <col min="1811" max="1811" width="6.140625" style="162" bestFit="1" customWidth="1"/>
    <col min="1812" max="1812" width="16.140625" style="162" bestFit="1" customWidth="1"/>
    <col min="1813" max="1813" width="6.42578125" style="162" bestFit="1" customWidth="1"/>
    <col min="1814" max="1814" width="14" style="162" bestFit="1" customWidth="1"/>
    <col min="1815" max="1816" width="11.7109375" style="162" bestFit="1" customWidth="1"/>
    <col min="1817" max="1817" width="11.42578125" style="162" bestFit="1" customWidth="1"/>
    <col min="1818" max="1818" width="1.85546875" style="162" customWidth="1"/>
    <col min="1819" max="1819" width="11.140625" style="162" bestFit="1" customWidth="1"/>
    <col min="1820" max="1821" width="9.42578125" style="162" bestFit="1" customWidth="1"/>
    <col min="1822" max="2048" width="8.85546875" style="162"/>
    <col min="2049" max="2049" width="21" style="162" bestFit="1" customWidth="1"/>
    <col min="2050" max="2050" width="4" style="162" bestFit="1" customWidth="1"/>
    <col min="2051" max="2051" width="4.85546875" style="162" customWidth="1"/>
    <col min="2052" max="2052" width="4.7109375" style="162" customWidth="1"/>
    <col min="2053" max="2053" width="8.140625" style="162" bestFit="1" customWidth="1"/>
    <col min="2054" max="2054" width="6.28515625" style="162" bestFit="1" customWidth="1"/>
    <col min="2055" max="2055" width="4.85546875" style="162" bestFit="1" customWidth="1"/>
    <col min="2056" max="2056" width="9.28515625" style="162" customWidth="1"/>
    <col min="2057" max="2058" width="7" style="162" bestFit="1" customWidth="1"/>
    <col min="2059" max="2059" width="8.140625" style="162" bestFit="1" customWidth="1"/>
    <col min="2060" max="2060" width="7.28515625" style="162" bestFit="1" customWidth="1"/>
    <col min="2061" max="2061" width="5.7109375" style="162" bestFit="1" customWidth="1"/>
    <col min="2062" max="2063" width="7.28515625" style="162" bestFit="1" customWidth="1"/>
    <col min="2064" max="2064" width="0" style="162" hidden="1" customWidth="1"/>
    <col min="2065" max="2065" width="17.42578125" style="162" bestFit="1" customWidth="1"/>
    <col min="2066" max="2066" width="7" style="162" bestFit="1" customWidth="1"/>
    <col min="2067" max="2067" width="6.140625" style="162" bestFit="1" customWidth="1"/>
    <col min="2068" max="2068" width="16.140625" style="162" bestFit="1" customWidth="1"/>
    <col min="2069" max="2069" width="6.42578125" style="162" bestFit="1" customWidth="1"/>
    <col min="2070" max="2070" width="14" style="162" bestFit="1" customWidth="1"/>
    <col min="2071" max="2072" width="11.7109375" style="162" bestFit="1" customWidth="1"/>
    <col min="2073" max="2073" width="11.42578125" style="162" bestFit="1" customWidth="1"/>
    <col min="2074" max="2074" width="1.85546875" style="162" customWidth="1"/>
    <col min="2075" max="2075" width="11.140625" style="162" bestFit="1" customWidth="1"/>
    <col min="2076" max="2077" width="9.42578125" style="162" bestFit="1" customWidth="1"/>
    <col min="2078" max="2304" width="8.85546875" style="162"/>
    <col min="2305" max="2305" width="21" style="162" bestFit="1" customWidth="1"/>
    <col min="2306" max="2306" width="4" style="162" bestFit="1" customWidth="1"/>
    <col min="2307" max="2307" width="4.85546875" style="162" customWidth="1"/>
    <col min="2308" max="2308" width="4.7109375" style="162" customWidth="1"/>
    <col min="2309" max="2309" width="8.140625" style="162" bestFit="1" customWidth="1"/>
    <col min="2310" max="2310" width="6.28515625" style="162" bestFit="1" customWidth="1"/>
    <col min="2311" max="2311" width="4.85546875" style="162" bestFit="1" customWidth="1"/>
    <col min="2312" max="2312" width="9.28515625" style="162" customWidth="1"/>
    <col min="2313" max="2314" width="7" style="162" bestFit="1" customWidth="1"/>
    <col min="2315" max="2315" width="8.140625" style="162" bestFit="1" customWidth="1"/>
    <col min="2316" max="2316" width="7.28515625" style="162" bestFit="1" customWidth="1"/>
    <col min="2317" max="2317" width="5.7109375" style="162" bestFit="1" customWidth="1"/>
    <col min="2318" max="2319" width="7.28515625" style="162" bestFit="1" customWidth="1"/>
    <col min="2320" max="2320" width="0" style="162" hidden="1" customWidth="1"/>
    <col min="2321" max="2321" width="17.42578125" style="162" bestFit="1" customWidth="1"/>
    <col min="2322" max="2322" width="7" style="162" bestFit="1" customWidth="1"/>
    <col min="2323" max="2323" width="6.140625" style="162" bestFit="1" customWidth="1"/>
    <col min="2324" max="2324" width="16.140625" style="162" bestFit="1" customWidth="1"/>
    <col min="2325" max="2325" width="6.42578125" style="162" bestFit="1" customWidth="1"/>
    <col min="2326" max="2326" width="14" style="162" bestFit="1" customWidth="1"/>
    <col min="2327" max="2328" width="11.7109375" style="162" bestFit="1" customWidth="1"/>
    <col min="2329" max="2329" width="11.42578125" style="162" bestFit="1" customWidth="1"/>
    <col min="2330" max="2330" width="1.85546875" style="162" customWidth="1"/>
    <col min="2331" max="2331" width="11.140625" style="162" bestFit="1" customWidth="1"/>
    <col min="2332" max="2333" width="9.42578125" style="162" bestFit="1" customWidth="1"/>
    <col min="2334" max="2560" width="8.85546875" style="162"/>
    <col min="2561" max="2561" width="21" style="162" bestFit="1" customWidth="1"/>
    <col min="2562" max="2562" width="4" style="162" bestFit="1" customWidth="1"/>
    <col min="2563" max="2563" width="4.85546875" style="162" customWidth="1"/>
    <col min="2564" max="2564" width="4.7109375" style="162" customWidth="1"/>
    <col min="2565" max="2565" width="8.140625" style="162" bestFit="1" customWidth="1"/>
    <col min="2566" max="2566" width="6.28515625" style="162" bestFit="1" customWidth="1"/>
    <col min="2567" max="2567" width="4.85546875" style="162" bestFit="1" customWidth="1"/>
    <col min="2568" max="2568" width="9.28515625" style="162" customWidth="1"/>
    <col min="2569" max="2570" width="7" style="162" bestFit="1" customWidth="1"/>
    <col min="2571" max="2571" width="8.140625" style="162" bestFit="1" customWidth="1"/>
    <col min="2572" max="2572" width="7.28515625" style="162" bestFit="1" customWidth="1"/>
    <col min="2573" max="2573" width="5.7109375" style="162" bestFit="1" customWidth="1"/>
    <col min="2574" max="2575" width="7.28515625" style="162" bestFit="1" customWidth="1"/>
    <col min="2576" max="2576" width="0" style="162" hidden="1" customWidth="1"/>
    <col min="2577" max="2577" width="17.42578125" style="162" bestFit="1" customWidth="1"/>
    <col min="2578" max="2578" width="7" style="162" bestFit="1" customWidth="1"/>
    <col min="2579" max="2579" width="6.140625" style="162" bestFit="1" customWidth="1"/>
    <col min="2580" max="2580" width="16.140625" style="162" bestFit="1" customWidth="1"/>
    <col min="2581" max="2581" width="6.42578125" style="162" bestFit="1" customWidth="1"/>
    <col min="2582" max="2582" width="14" style="162" bestFit="1" customWidth="1"/>
    <col min="2583" max="2584" width="11.7109375" style="162" bestFit="1" customWidth="1"/>
    <col min="2585" max="2585" width="11.42578125" style="162" bestFit="1" customWidth="1"/>
    <col min="2586" max="2586" width="1.85546875" style="162" customWidth="1"/>
    <col min="2587" max="2587" width="11.140625" style="162" bestFit="1" customWidth="1"/>
    <col min="2588" max="2589" width="9.42578125" style="162" bestFit="1" customWidth="1"/>
    <col min="2590" max="2816" width="8.85546875" style="162"/>
    <col min="2817" max="2817" width="21" style="162" bestFit="1" customWidth="1"/>
    <col min="2818" max="2818" width="4" style="162" bestFit="1" customWidth="1"/>
    <col min="2819" max="2819" width="4.85546875" style="162" customWidth="1"/>
    <col min="2820" max="2820" width="4.7109375" style="162" customWidth="1"/>
    <col min="2821" max="2821" width="8.140625" style="162" bestFit="1" customWidth="1"/>
    <col min="2822" max="2822" width="6.28515625" style="162" bestFit="1" customWidth="1"/>
    <col min="2823" max="2823" width="4.85546875" style="162" bestFit="1" customWidth="1"/>
    <col min="2824" max="2824" width="9.28515625" style="162" customWidth="1"/>
    <col min="2825" max="2826" width="7" style="162" bestFit="1" customWidth="1"/>
    <col min="2827" max="2827" width="8.140625" style="162" bestFit="1" customWidth="1"/>
    <col min="2828" max="2828" width="7.28515625" style="162" bestFit="1" customWidth="1"/>
    <col min="2829" max="2829" width="5.7109375" style="162" bestFit="1" customWidth="1"/>
    <col min="2830" max="2831" width="7.28515625" style="162" bestFit="1" customWidth="1"/>
    <col min="2832" max="2832" width="0" style="162" hidden="1" customWidth="1"/>
    <col min="2833" max="2833" width="17.42578125" style="162" bestFit="1" customWidth="1"/>
    <col min="2834" max="2834" width="7" style="162" bestFit="1" customWidth="1"/>
    <col min="2835" max="2835" width="6.140625" style="162" bestFit="1" customWidth="1"/>
    <col min="2836" max="2836" width="16.140625" style="162" bestFit="1" customWidth="1"/>
    <col min="2837" max="2837" width="6.42578125" style="162" bestFit="1" customWidth="1"/>
    <col min="2838" max="2838" width="14" style="162" bestFit="1" customWidth="1"/>
    <col min="2839" max="2840" width="11.7109375" style="162" bestFit="1" customWidth="1"/>
    <col min="2841" max="2841" width="11.42578125" style="162" bestFit="1" customWidth="1"/>
    <col min="2842" max="2842" width="1.85546875" style="162" customWidth="1"/>
    <col min="2843" max="2843" width="11.140625" style="162" bestFit="1" customWidth="1"/>
    <col min="2844" max="2845" width="9.42578125" style="162" bestFit="1" customWidth="1"/>
    <col min="2846" max="3072" width="8.85546875" style="162"/>
    <col min="3073" max="3073" width="21" style="162" bestFit="1" customWidth="1"/>
    <col min="3074" max="3074" width="4" style="162" bestFit="1" customWidth="1"/>
    <col min="3075" max="3075" width="4.85546875" style="162" customWidth="1"/>
    <col min="3076" max="3076" width="4.7109375" style="162" customWidth="1"/>
    <col min="3077" max="3077" width="8.140625" style="162" bestFit="1" customWidth="1"/>
    <col min="3078" max="3078" width="6.28515625" style="162" bestFit="1" customWidth="1"/>
    <col min="3079" max="3079" width="4.85546875" style="162" bestFit="1" customWidth="1"/>
    <col min="3080" max="3080" width="9.28515625" style="162" customWidth="1"/>
    <col min="3081" max="3082" width="7" style="162" bestFit="1" customWidth="1"/>
    <col min="3083" max="3083" width="8.140625" style="162" bestFit="1" customWidth="1"/>
    <col min="3084" max="3084" width="7.28515625" style="162" bestFit="1" customWidth="1"/>
    <col min="3085" max="3085" width="5.7109375" style="162" bestFit="1" customWidth="1"/>
    <col min="3086" max="3087" width="7.28515625" style="162" bestFit="1" customWidth="1"/>
    <col min="3088" max="3088" width="0" style="162" hidden="1" customWidth="1"/>
    <col min="3089" max="3089" width="17.42578125" style="162" bestFit="1" customWidth="1"/>
    <col min="3090" max="3090" width="7" style="162" bestFit="1" customWidth="1"/>
    <col min="3091" max="3091" width="6.140625" style="162" bestFit="1" customWidth="1"/>
    <col min="3092" max="3092" width="16.140625" style="162" bestFit="1" customWidth="1"/>
    <col min="3093" max="3093" width="6.42578125" style="162" bestFit="1" customWidth="1"/>
    <col min="3094" max="3094" width="14" style="162" bestFit="1" customWidth="1"/>
    <col min="3095" max="3096" width="11.7109375" style="162" bestFit="1" customWidth="1"/>
    <col min="3097" max="3097" width="11.42578125" style="162" bestFit="1" customWidth="1"/>
    <col min="3098" max="3098" width="1.85546875" style="162" customWidth="1"/>
    <col min="3099" max="3099" width="11.140625" style="162" bestFit="1" customWidth="1"/>
    <col min="3100" max="3101" width="9.42578125" style="162" bestFit="1" customWidth="1"/>
    <col min="3102" max="3328" width="8.85546875" style="162"/>
    <col min="3329" max="3329" width="21" style="162" bestFit="1" customWidth="1"/>
    <col min="3330" max="3330" width="4" style="162" bestFit="1" customWidth="1"/>
    <col min="3331" max="3331" width="4.85546875" style="162" customWidth="1"/>
    <col min="3332" max="3332" width="4.7109375" style="162" customWidth="1"/>
    <col min="3333" max="3333" width="8.140625" style="162" bestFit="1" customWidth="1"/>
    <col min="3334" max="3334" width="6.28515625" style="162" bestFit="1" customWidth="1"/>
    <col min="3335" max="3335" width="4.85546875" style="162" bestFit="1" customWidth="1"/>
    <col min="3336" max="3336" width="9.28515625" style="162" customWidth="1"/>
    <col min="3337" max="3338" width="7" style="162" bestFit="1" customWidth="1"/>
    <col min="3339" max="3339" width="8.140625" style="162" bestFit="1" customWidth="1"/>
    <col min="3340" max="3340" width="7.28515625" style="162" bestFit="1" customWidth="1"/>
    <col min="3341" max="3341" width="5.7109375" style="162" bestFit="1" customWidth="1"/>
    <col min="3342" max="3343" width="7.28515625" style="162" bestFit="1" customWidth="1"/>
    <col min="3344" max="3344" width="0" style="162" hidden="1" customWidth="1"/>
    <col min="3345" max="3345" width="17.42578125" style="162" bestFit="1" customWidth="1"/>
    <col min="3346" max="3346" width="7" style="162" bestFit="1" customWidth="1"/>
    <col min="3347" max="3347" width="6.140625" style="162" bestFit="1" customWidth="1"/>
    <col min="3348" max="3348" width="16.140625" style="162" bestFit="1" customWidth="1"/>
    <col min="3349" max="3349" width="6.42578125" style="162" bestFit="1" customWidth="1"/>
    <col min="3350" max="3350" width="14" style="162" bestFit="1" customWidth="1"/>
    <col min="3351" max="3352" width="11.7109375" style="162" bestFit="1" customWidth="1"/>
    <col min="3353" max="3353" width="11.42578125" style="162" bestFit="1" customWidth="1"/>
    <col min="3354" max="3354" width="1.85546875" style="162" customWidth="1"/>
    <col min="3355" max="3355" width="11.140625" style="162" bestFit="1" customWidth="1"/>
    <col min="3356" max="3357" width="9.42578125" style="162" bestFit="1" customWidth="1"/>
    <col min="3358" max="3584" width="8.85546875" style="162"/>
    <col min="3585" max="3585" width="21" style="162" bestFit="1" customWidth="1"/>
    <col min="3586" max="3586" width="4" style="162" bestFit="1" customWidth="1"/>
    <col min="3587" max="3587" width="4.85546875" style="162" customWidth="1"/>
    <col min="3588" max="3588" width="4.7109375" style="162" customWidth="1"/>
    <col min="3589" max="3589" width="8.140625" style="162" bestFit="1" customWidth="1"/>
    <col min="3590" max="3590" width="6.28515625" style="162" bestFit="1" customWidth="1"/>
    <col min="3591" max="3591" width="4.85546875" style="162" bestFit="1" customWidth="1"/>
    <col min="3592" max="3592" width="9.28515625" style="162" customWidth="1"/>
    <col min="3593" max="3594" width="7" style="162" bestFit="1" customWidth="1"/>
    <col min="3595" max="3595" width="8.140625" style="162" bestFit="1" customWidth="1"/>
    <col min="3596" max="3596" width="7.28515625" style="162" bestFit="1" customWidth="1"/>
    <col min="3597" max="3597" width="5.7109375" style="162" bestFit="1" customWidth="1"/>
    <col min="3598" max="3599" width="7.28515625" style="162" bestFit="1" customWidth="1"/>
    <col min="3600" max="3600" width="0" style="162" hidden="1" customWidth="1"/>
    <col min="3601" max="3601" width="17.42578125" style="162" bestFit="1" customWidth="1"/>
    <col min="3602" max="3602" width="7" style="162" bestFit="1" customWidth="1"/>
    <col min="3603" max="3603" width="6.140625" style="162" bestFit="1" customWidth="1"/>
    <col min="3604" max="3604" width="16.140625" style="162" bestFit="1" customWidth="1"/>
    <col min="3605" max="3605" width="6.42578125" style="162" bestFit="1" customWidth="1"/>
    <col min="3606" max="3606" width="14" style="162" bestFit="1" customWidth="1"/>
    <col min="3607" max="3608" width="11.7109375" style="162" bestFit="1" customWidth="1"/>
    <col min="3609" max="3609" width="11.42578125" style="162" bestFit="1" customWidth="1"/>
    <col min="3610" max="3610" width="1.85546875" style="162" customWidth="1"/>
    <col min="3611" max="3611" width="11.140625" style="162" bestFit="1" customWidth="1"/>
    <col min="3612" max="3613" width="9.42578125" style="162" bestFit="1" customWidth="1"/>
    <col min="3614" max="3840" width="8.85546875" style="162"/>
    <col min="3841" max="3841" width="21" style="162" bestFit="1" customWidth="1"/>
    <col min="3842" max="3842" width="4" style="162" bestFit="1" customWidth="1"/>
    <col min="3843" max="3843" width="4.85546875" style="162" customWidth="1"/>
    <col min="3844" max="3844" width="4.7109375" style="162" customWidth="1"/>
    <col min="3845" max="3845" width="8.140625" style="162" bestFit="1" customWidth="1"/>
    <col min="3846" max="3846" width="6.28515625" style="162" bestFit="1" customWidth="1"/>
    <col min="3847" max="3847" width="4.85546875" style="162" bestFit="1" customWidth="1"/>
    <col min="3848" max="3848" width="9.28515625" style="162" customWidth="1"/>
    <col min="3849" max="3850" width="7" style="162" bestFit="1" customWidth="1"/>
    <col min="3851" max="3851" width="8.140625" style="162" bestFit="1" customWidth="1"/>
    <col min="3852" max="3852" width="7.28515625" style="162" bestFit="1" customWidth="1"/>
    <col min="3853" max="3853" width="5.7109375" style="162" bestFit="1" customWidth="1"/>
    <col min="3854" max="3855" width="7.28515625" style="162" bestFit="1" customWidth="1"/>
    <col min="3856" max="3856" width="0" style="162" hidden="1" customWidth="1"/>
    <col min="3857" max="3857" width="17.42578125" style="162" bestFit="1" customWidth="1"/>
    <col min="3858" max="3858" width="7" style="162" bestFit="1" customWidth="1"/>
    <col min="3859" max="3859" width="6.140625" style="162" bestFit="1" customWidth="1"/>
    <col min="3860" max="3860" width="16.140625" style="162" bestFit="1" customWidth="1"/>
    <col min="3861" max="3861" width="6.42578125" style="162" bestFit="1" customWidth="1"/>
    <col min="3862" max="3862" width="14" style="162" bestFit="1" customWidth="1"/>
    <col min="3863" max="3864" width="11.7109375" style="162" bestFit="1" customWidth="1"/>
    <col min="3865" max="3865" width="11.42578125" style="162" bestFit="1" customWidth="1"/>
    <col min="3866" max="3866" width="1.85546875" style="162" customWidth="1"/>
    <col min="3867" max="3867" width="11.140625" style="162" bestFit="1" customWidth="1"/>
    <col min="3868" max="3869" width="9.42578125" style="162" bestFit="1" customWidth="1"/>
    <col min="3870" max="4096" width="8.85546875" style="162"/>
    <col min="4097" max="4097" width="21" style="162" bestFit="1" customWidth="1"/>
    <col min="4098" max="4098" width="4" style="162" bestFit="1" customWidth="1"/>
    <col min="4099" max="4099" width="4.85546875" style="162" customWidth="1"/>
    <col min="4100" max="4100" width="4.7109375" style="162" customWidth="1"/>
    <col min="4101" max="4101" width="8.140625" style="162" bestFit="1" customWidth="1"/>
    <col min="4102" max="4102" width="6.28515625" style="162" bestFit="1" customWidth="1"/>
    <col min="4103" max="4103" width="4.85546875" style="162" bestFit="1" customWidth="1"/>
    <col min="4104" max="4104" width="9.28515625" style="162" customWidth="1"/>
    <col min="4105" max="4106" width="7" style="162" bestFit="1" customWidth="1"/>
    <col min="4107" max="4107" width="8.140625" style="162" bestFit="1" customWidth="1"/>
    <col min="4108" max="4108" width="7.28515625" style="162" bestFit="1" customWidth="1"/>
    <col min="4109" max="4109" width="5.7109375" style="162" bestFit="1" customWidth="1"/>
    <col min="4110" max="4111" width="7.28515625" style="162" bestFit="1" customWidth="1"/>
    <col min="4112" max="4112" width="0" style="162" hidden="1" customWidth="1"/>
    <col min="4113" max="4113" width="17.42578125" style="162" bestFit="1" customWidth="1"/>
    <col min="4114" max="4114" width="7" style="162" bestFit="1" customWidth="1"/>
    <col min="4115" max="4115" width="6.140625" style="162" bestFit="1" customWidth="1"/>
    <col min="4116" max="4116" width="16.140625" style="162" bestFit="1" customWidth="1"/>
    <col min="4117" max="4117" width="6.42578125" style="162" bestFit="1" customWidth="1"/>
    <col min="4118" max="4118" width="14" style="162" bestFit="1" customWidth="1"/>
    <col min="4119" max="4120" width="11.7109375" style="162" bestFit="1" customWidth="1"/>
    <col min="4121" max="4121" width="11.42578125" style="162" bestFit="1" customWidth="1"/>
    <col min="4122" max="4122" width="1.85546875" style="162" customWidth="1"/>
    <col min="4123" max="4123" width="11.140625" style="162" bestFit="1" customWidth="1"/>
    <col min="4124" max="4125" width="9.42578125" style="162" bestFit="1" customWidth="1"/>
    <col min="4126" max="4352" width="8.85546875" style="162"/>
    <col min="4353" max="4353" width="21" style="162" bestFit="1" customWidth="1"/>
    <col min="4354" max="4354" width="4" style="162" bestFit="1" customWidth="1"/>
    <col min="4355" max="4355" width="4.85546875" style="162" customWidth="1"/>
    <col min="4356" max="4356" width="4.7109375" style="162" customWidth="1"/>
    <col min="4357" max="4357" width="8.140625" style="162" bestFit="1" customWidth="1"/>
    <col min="4358" max="4358" width="6.28515625" style="162" bestFit="1" customWidth="1"/>
    <col min="4359" max="4359" width="4.85546875" style="162" bestFit="1" customWidth="1"/>
    <col min="4360" max="4360" width="9.28515625" style="162" customWidth="1"/>
    <col min="4361" max="4362" width="7" style="162" bestFit="1" customWidth="1"/>
    <col min="4363" max="4363" width="8.140625" style="162" bestFit="1" customWidth="1"/>
    <col min="4364" max="4364" width="7.28515625" style="162" bestFit="1" customWidth="1"/>
    <col min="4365" max="4365" width="5.7109375" style="162" bestFit="1" customWidth="1"/>
    <col min="4366" max="4367" width="7.28515625" style="162" bestFit="1" customWidth="1"/>
    <col min="4368" max="4368" width="0" style="162" hidden="1" customWidth="1"/>
    <col min="4369" max="4369" width="17.42578125" style="162" bestFit="1" customWidth="1"/>
    <col min="4370" max="4370" width="7" style="162" bestFit="1" customWidth="1"/>
    <col min="4371" max="4371" width="6.140625" style="162" bestFit="1" customWidth="1"/>
    <col min="4372" max="4372" width="16.140625" style="162" bestFit="1" customWidth="1"/>
    <col min="4373" max="4373" width="6.42578125" style="162" bestFit="1" customWidth="1"/>
    <col min="4374" max="4374" width="14" style="162" bestFit="1" customWidth="1"/>
    <col min="4375" max="4376" width="11.7109375" style="162" bestFit="1" customWidth="1"/>
    <col min="4377" max="4377" width="11.42578125" style="162" bestFit="1" customWidth="1"/>
    <col min="4378" max="4378" width="1.85546875" style="162" customWidth="1"/>
    <col min="4379" max="4379" width="11.140625" style="162" bestFit="1" customWidth="1"/>
    <col min="4380" max="4381" width="9.42578125" style="162" bestFit="1" customWidth="1"/>
    <col min="4382" max="4608" width="8.85546875" style="162"/>
    <col min="4609" max="4609" width="21" style="162" bestFit="1" customWidth="1"/>
    <col min="4610" max="4610" width="4" style="162" bestFit="1" customWidth="1"/>
    <col min="4611" max="4611" width="4.85546875" style="162" customWidth="1"/>
    <col min="4612" max="4612" width="4.7109375" style="162" customWidth="1"/>
    <col min="4613" max="4613" width="8.140625" style="162" bestFit="1" customWidth="1"/>
    <col min="4614" max="4614" width="6.28515625" style="162" bestFit="1" customWidth="1"/>
    <col min="4615" max="4615" width="4.85546875" style="162" bestFit="1" customWidth="1"/>
    <col min="4616" max="4616" width="9.28515625" style="162" customWidth="1"/>
    <col min="4617" max="4618" width="7" style="162" bestFit="1" customWidth="1"/>
    <col min="4619" max="4619" width="8.140625" style="162" bestFit="1" customWidth="1"/>
    <col min="4620" max="4620" width="7.28515625" style="162" bestFit="1" customWidth="1"/>
    <col min="4621" max="4621" width="5.7109375" style="162" bestFit="1" customWidth="1"/>
    <col min="4622" max="4623" width="7.28515625" style="162" bestFit="1" customWidth="1"/>
    <col min="4624" max="4624" width="0" style="162" hidden="1" customWidth="1"/>
    <col min="4625" max="4625" width="17.42578125" style="162" bestFit="1" customWidth="1"/>
    <col min="4626" max="4626" width="7" style="162" bestFit="1" customWidth="1"/>
    <col min="4627" max="4627" width="6.140625" style="162" bestFit="1" customWidth="1"/>
    <col min="4628" max="4628" width="16.140625" style="162" bestFit="1" customWidth="1"/>
    <col min="4629" max="4629" width="6.42578125" style="162" bestFit="1" customWidth="1"/>
    <col min="4630" max="4630" width="14" style="162" bestFit="1" customWidth="1"/>
    <col min="4631" max="4632" width="11.7109375" style="162" bestFit="1" customWidth="1"/>
    <col min="4633" max="4633" width="11.42578125" style="162" bestFit="1" customWidth="1"/>
    <col min="4634" max="4634" width="1.85546875" style="162" customWidth="1"/>
    <col min="4635" max="4635" width="11.140625" style="162" bestFit="1" customWidth="1"/>
    <col min="4636" max="4637" width="9.42578125" style="162" bestFit="1" customWidth="1"/>
    <col min="4638" max="4864" width="8.85546875" style="162"/>
    <col min="4865" max="4865" width="21" style="162" bestFit="1" customWidth="1"/>
    <col min="4866" max="4866" width="4" style="162" bestFit="1" customWidth="1"/>
    <col min="4867" max="4867" width="4.85546875" style="162" customWidth="1"/>
    <col min="4868" max="4868" width="4.7109375" style="162" customWidth="1"/>
    <col min="4869" max="4869" width="8.140625" style="162" bestFit="1" customWidth="1"/>
    <col min="4870" max="4870" width="6.28515625" style="162" bestFit="1" customWidth="1"/>
    <col min="4871" max="4871" width="4.85546875" style="162" bestFit="1" customWidth="1"/>
    <col min="4872" max="4872" width="9.28515625" style="162" customWidth="1"/>
    <col min="4873" max="4874" width="7" style="162" bestFit="1" customWidth="1"/>
    <col min="4875" max="4875" width="8.140625" style="162" bestFit="1" customWidth="1"/>
    <col min="4876" max="4876" width="7.28515625" style="162" bestFit="1" customWidth="1"/>
    <col min="4877" max="4877" width="5.7109375" style="162" bestFit="1" customWidth="1"/>
    <col min="4878" max="4879" width="7.28515625" style="162" bestFit="1" customWidth="1"/>
    <col min="4880" max="4880" width="0" style="162" hidden="1" customWidth="1"/>
    <col min="4881" max="4881" width="17.42578125" style="162" bestFit="1" customWidth="1"/>
    <col min="4882" max="4882" width="7" style="162" bestFit="1" customWidth="1"/>
    <col min="4883" max="4883" width="6.140625" style="162" bestFit="1" customWidth="1"/>
    <col min="4884" max="4884" width="16.140625" style="162" bestFit="1" customWidth="1"/>
    <col min="4885" max="4885" width="6.42578125" style="162" bestFit="1" customWidth="1"/>
    <col min="4886" max="4886" width="14" style="162" bestFit="1" customWidth="1"/>
    <col min="4887" max="4888" width="11.7109375" style="162" bestFit="1" customWidth="1"/>
    <col min="4889" max="4889" width="11.42578125" style="162" bestFit="1" customWidth="1"/>
    <col min="4890" max="4890" width="1.85546875" style="162" customWidth="1"/>
    <col min="4891" max="4891" width="11.140625" style="162" bestFit="1" customWidth="1"/>
    <col min="4892" max="4893" width="9.42578125" style="162" bestFit="1" customWidth="1"/>
    <col min="4894" max="5120" width="8.85546875" style="162"/>
    <col min="5121" max="5121" width="21" style="162" bestFit="1" customWidth="1"/>
    <col min="5122" max="5122" width="4" style="162" bestFit="1" customWidth="1"/>
    <col min="5123" max="5123" width="4.85546875" style="162" customWidth="1"/>
    <col min="5124" max="5124" width="4.7109375" style="162" customWidth="1"/>
    <col min="5125" max="5125" width="8.140625" style="162" bestFit="1" customWidth="1"/>
    <col min="5126" max="5126" width="6.28515625" style="162" bestFit="1" customWidth="1"/>
    <col min="5127" max="5127" width="4.85546875" style="162" bestFit="1" customWidth="1"/>
    <col min="5128" max="5128" width="9.28515625" style="162" customWidth="1"/>
    <col min="5129" max="5130" width="7" style="162" bestFit="1" customWidth="1"/>
    <col min="5131" max="5131" width="8.140625" style="162" bestFit="1" customWidth="1"/>
    <col min="5132" max="5132" width="7.28515625" style="162" bestFit="1" customWidth="1"/>
    <col min="5133" max="5133" width="5.7109375" style="162" bestFit="1" customWidth="1"/>
    <col min="5134" max="5135" width="7.28515625" style="162" bestFit="1" customWidth="1"/>
    <col min="5136" max="5136" width="0" style="162" hidden="1" customWidth="1"/>
    <col min="5137" max="5137" width="17.42578125" style="162" bestFit="1" customWidth="1"/>
    <col min="5138" max="5138" width="7" style="162" bestFit="1" customWidth="1"/>
    <col min="5139" max="5139" width="6.140625" style="162" bestFit="1" customWidth="1"/>
    <col min="5140" max="5140" width="16.140625" style="162" bestFit="1" customWidth="1"/>
    <col min="5141" max="5141" width="6.42578125" style="162" bestFit="1" customWidth="1"/>
    <col min="5142" max="5142" width="14" style="162" bestFit="1" customWidth="1"/>
    <col min="5143" max="5144" width="11.7109375" style="162" bestFit="1" customWidth="1"/>
    <col min="5145" max="5145" width="11.42578125" style="162" bestFit="1" customWidth="1"/>
    <col min="5146" max="5146" width="1.85546875" style="162" customWidth="1"/>
    <col min="5147" max="5147" width="11.140625" style="162" bestFit="1" customWidth="1"/>
    <col min="5148" max="5149" width="9.42578125" style="162" bestFit="1" customWidth="1"/>
    <col min="5150" max="5376" width="8.85546875" style="162"/>
    <col min="5377" max="5377" width="21" style="162" bestFit="1" customWidth="1"/>
    <col min="5378" max="5378" width="4" style="162" bestFit="1" customWidth="1"/>
    <col min="5379" max="5379" width="4.85546875" style="162" customWidth="1"/>
    <col min="5380" max="5380" width="4.7109375" style="162" customWidth="1"/>
    <col min="5381" max="5381" width="8.140625" style="162" bestFit="1" customWidth="1"/>
    <col min="5382" max="5382" width="6.28515625" style="162" bestFit="1" customWidth="1"/>
    <col min="5383" max="5383" width="4.85546875" style="162" bestFit="1" customWidth="1"/>
    <col min="5384" max="5384" width="9.28515625" style="162" customWidth="1"/>
    <col min="5385" max="5386" width="7" style="162" bestFit="1" customWidth="1"/>
    <col min="5387" max="5387" width="8.140625" style="162" bestFit="1" customWidth="1"/>
    <col min="5388" max="5388" width="7.28515625" style="162" bestFit="1" customWidth="1"/>
    <col min="5389" max="5389" width="5.7109375" style="162" bestFit="1" customWidth="1"/>
    <col min="5390" max="5391" width="7.28515625" style="162" bestFit="1" customWidth="1"/>
    <col min="5392" max="5392" width="0" style="162" hidden="1" customWidth="1"/>
    <col min="5393" max="5393" width="17.42578125" style="162" bestFit="1" customWidth="1"/>
    <col min="5394" max="5394" width="7" style="162" bestFit="1" customWidth="1"/>
    <col min="5395" max="5395" width="6.140625" style="162" bestFit="1" customWidth="1"/>
    <col min="5396" max="5396" width="16.140625" style="162" bestFit="1" customWidth="1"/>
    <col min="5397" max="5397" width="6.42578125" style="162" bestFit="1" customWidth="1"/>
    <col min="5398" max="5398" width="14" style="162" bestFit="1" customWidth="1"/>
    <col min="5399" max="5400" width="11.7109375" style="162" bestFit="1" customWidth="1"/>
    <col min="5401" max="5401" width="11.42578125" style="162" bestFit="1" customWidth="1"/>
    <col min="5402" max="5402" width="1.85546875" style="162" customWidth="1"/>
    <col min="5403" max="5403" width="11.140625" style="162" bestFit="1" customWidth="1"/>
    <col min="5404" max="5405" width="9.42578125" style="162" bestFit="1" customWidth="1"/>
    <col min="5406" max="5632" width="8.85546875" style="162"/>
    <col min="5633" max="5633" width="21" style="162" bestFit="1" customWidth="1"/>
    <col min="5634" max="5634" width="4" style="162" bestFit="1" customWidth="1"/>
    <col min="5635" max="5635" width="4.85546875" style="162" customWidth="1"/>
    <col min="5636" max="5636" width="4.7109375" style="162" customWidth="1"/>
    <col min="5637" max="5637" width="8.140625" style="162" bestFit="1" customWidth="1"/>
    <col min="5638" max="5638" width="6.28515625" style="162" bestFit="1" customWidth="1"/>
    <col min="5639" max="5639" width="4.85546875" style="162" bestFit="1" customWidth="1"/>
    <col min="5640" max="5640" width="9.28515625" style="162" customWidth="1"/>
    <col min="5641" max="5642" width="7" style="162" bestFit="1" customWidth="1"/>
    <col min="5643" max="5643" width="8.140625" style="162" bestFit="1" customWidth="1"/>
    <col min="5644" max="5644" width="7.28515625" style="162" bestFit="1" customWidth="1"/>
    <col min="5645" max="5645" width="5.7109375" style="162" bestFit="1" customWidth="1"/>
    <col min="5646" max="5647" width="7.28515625" style="162" bestFit="1" customWidth="1"/>
    <col min="5648" max="5648" width="0" style="162" hidden="1" customWidth="1"/>
    <col min="5649" max="5649" width="17.42578125" style="162" bestFit="1" customWidth="1"/>
    <col min="5650" max="5650" width="7" style="162" bestFit="1" customWidth="1"/>
    <col min="5651" max="5651" width="6.140625" style="162" bestFit="1" customWidth="1"/>
    <col min="5652" max="5652" width="16.140625" style="162" bestFit="1" customWidth="1"/>
    <col min="5653" max="5653" width="6.42578125" style="162" bestFit="1" customWidth="1"/>
    <col min="5654" max="5654" width="14" style="162" bestFit="1" customWidth="1"/>
    <col min="5655" max="5656" width="11.7109375" style="162" bestFit="1" customWidth="1"/>
    <col min="5657" max="5657" width="11.42578125" style="162" bestFit="1" customWidth="1"/>
    <col min="5658" max="5658" width="1.85546875" style="162" customWidth="1"/>
    <col min="5659" max="5659" width="11.140625" style="162" bestFit="1" customWidth="1"/>
    <col min="5660" max="5661" width="9.42578125" style="162" bestFit="1" customWidth="1"/>
    <col min="5662" max="5888" width="8.85546875" style="162"/>
    <col min="5889" max="5889" width="21" style="162" bestFit="1" customWidth="1"/>
    <col min="5890" max="5890" width="4" style="162" bestFit="1" customWidth="1"/>
    <col min="5891" max="5891" width="4.85546875" style="162" customWidth="1"/>
    <col min="5892" max="5892" width="4.7109375" style="162" customWidth="1"/>
    <col min="5893" max="5893" width="8.140625" style="162" bestFit="1" customWidth="1"/>
    <col min="5894" max="5894" width="6.28515625" style="162" bestFit="1" customWidth="1"/>
    <col min="5895" max="5895" width="4.85546875" style="162" bestFit="1" customWidth="1"/>
    <col min="5896" max="5896" width="9.28515625" style="162" customWidth="1"/>
    <col min="5897" max="5898" width="7" style="162" bestFit="1" customWidth="1"/>
    <col min="5899" max="5899" width="8.140625" style="162" bestFit="1" customWidth="1"/>
    <col min="5900" max="5900" width="7.28515625" style="162" bestFit="1" customWidth="1"/>
    <col min="5901" max="5901" width="5.7109375" style="162" bestFit="1" customWidth="1"/>
    <col min="5902" max="5903" width="7.28515625" style="162" bestFit="1" customWidth="1"/>
    <col min="5904" max="5904" width="0" style="162" hidden="1" customWidth="1"/>
    <col min="5905" max="5905" width="17.42578125" style="162" bestFit="1" customWidth="1"/>
    <col min="5906" max="5906" width="7" style="162" bestFit="1" customWidth="1"/>
    <col min="5907" max="5907" width="6.140625" style="162" bestFit="1" customWidth="1"/>
    <col min="5908" max="5908" width="16.140625" style="162" bestFit="1" customWidth="1"/>
    <col min="5909" max="5909" width="6.42578125" style="162" bestFit="1" customWidth="1"/>
    <col min="5910" max="5910" width="14" style="162" bestFit="1" customWidth="1"/>
    <col min="5911" max="5912" width="11.7109375" style="162" bestFit="1" customWidth="1"/>
    <col min="5913" max="5913" width="11.42578125" style="162" bestFit="1" customWidth="1"/>
    <col min="5914" max="5914" width="1.85546875" style="162" customWidth="1"/>
    <col min="5915" max="5915" width="11.140625" style="162" bestFit="1" customWidth="1"/>
    <col min="5916" max="5917" width="9.42578125" style="162" bestFit="1" customWidth="1"/>
    <col min="5918" max="6144" width="8.85546875" style="162"/>
    <col min="6145" max="6145" width="21" style="162" bestFit="1" customWidth="1"/>
    <col min="6146" max="6146" width="4" style="162" bestFit="1" customWidth="1"/>
    <col min="6147" max="6147" width="4.85546875" style="162" customWidth="1"/>
    <col min="6148" max="6148" width="4.7109375" style="162" customWidth="1"/>
    <col min="6149" max="6149" width="8.140625" style="162" bestFit="1" customWidth="1"/>
    <col min="6150" max="6150" width="6.28515625" style="162" bestFit="1" customWidth="1"/>
    <col min="6151" max="6151" width="4.85546875" style="162" bestFit="1" customWidth="1"/>
    <col min="6152" max="6152" width="9.28515625" style="162" customWidth="1"/>
    <col min="6153" max="6154" width="7" style="162" bestFit="1" customWidth="1"/>
    <col min="6155" max="6155" width="8.140625" style="162" bestFit="1" customWidth="1"/>
    <col min="6156" max="6156" width="7.28515625" style="162" bestFit="1" customWidth="1"/>
    <col min="6157" max="6157" width="5.7109375" style="162" bestFit="1" customWidth="1"/>
    <col min="6158" max="6159" width="7.28515625" style="162" bestFit="1" customWidth="1"/>
    <col min="6160" max="6160" width="0" style="162" hidden="1" customWidth="1"/>
    <col min="6161" max="6161" width="17.42578125" style="162" bestFit="1" customWidth="1"/>
    <col min="6162" max="6162" width="7" style="162" bestFit="1" customWidth="1"/>
    <col min="6163" max="6163" width="6.140625" style="162" bestFit="1" customWidth="1"/>
    <col min="6164" max="6164" width="16.140625" style="162" bestFit="1" customWidth="1"/>
    <col min="6165" max="6165" width="6.42578125" style="162" bestFit="1" customWidth="1"/>
    <col min="6166" max="6166" width="14" style="162" bestFit="1" customWidth="1"/>
    <col min="6167" max="6168" width="11.7109375" style="162" bestFit="1" customWidth="1"/>
    <col min="6169" max="6169" width="11.42578125" style="162" bestFit="1" customWidth="1"/>
    <col min="6170" max="6170" width="1.85546875" style="162" customWidth="1"/>
    <col min="6171" max="6171" width="11.140625" style="162" bestFit="1" customWidth="1"/>
    <col min="6172" max="6173" width="9.42578125" style="162" bestFit="1" customWidth="1"/>
    <col min="6174" max="6400" width="8.85546875" style="162"/>
    <col min="6401" max="6401" width="21" style="162" bestFit="1" customWidth="1"/>
    <col min="6402" max="6402" width="4" style="162" bestFit="1" customWidth="1"/>
    <col min="6403" max="6403" width="4.85546875" style="162" customWidth="1"/>
    <col min="6404" max="6404" width="4.7109375" style="162" customWidth="1"/>
    <col min="6405" max="6405" width="8.140625" style="162" bestFit="1" customWidth="1"/>
    <col min="6406" max="6406" width="6.28515625" style="162" bestFit="1" customWidth="1"/>
    <col min="6407" max="6407" width="4.85546875" style="162" bestFit="1" customWidth="1"/>
    <col min="6408" max="6408" width="9.28515625" style="162" customWidth="1"/>
    <col min="6409" max="6410" width="7" style="162" bestFit="1" customWidth="1"/>
    <col min="6411" max="6411" width="8.140625" style="162" bestFit="1" customWidth="1"/>
    <col min="6412" max="6412" width="7.28515625" style="162" bestFit="1" customWidth="1"/>
    <col min="6413" max="6413" width="5.7109375" style="162" bestFit="1" customWidth="1"/>
    <col min="6414" max="6415" width="7.28515625" style="162" bestFit="1" customWidth="1"/>
    <col min="6416" max="6416" width="0" style="162" hidden="1" customWidth="1"/>
    <col min="6417" max="6417" width="17.42578125" style="162" bestFit="1" customWidth="1"/>
    <col min="6418" max="6418" width="7" style="162" bestFit="1" customWidth="1"/>
    <col min="6419" max="6419" width="6.140625" style="162" bestFit="1" customWidth="1"/>
    <col min="6420" max="6420" width="16.140625" style="162" bestFit="1" customWidth="1"/>
    <col min="6421" max="6421" width="6.42578125" style="162" bestFit="1" customWidth="1"/>
    <col min="6422" max="6422" width="14" style="162" bestFit="1" customWidth="1"/>
    <col min="6423" max="6424" width="11.7109375" style="162" bestFit="1" customWidth="1"/>
    <col min="6425" max="6425" width="11.42578125" style="162" bestFit="1" customWidth="1"/>
    <col min="6426" max="6426" width="1.85546875" style="162" customWidth="1"/>
    <col min="6427" max="6427" width="11.140625" style="162" bestFit="1" customWidth="1"/>
    <col min="6428" max="6429" width="9.42578125" style="162" bestFit="1" customWidth="1"/>
    <col min="6430" max="6656" width="8.85546875" style="162"/>
    <col min="6657" max="6657" width="21" style="162" bestFit="1" customWidth="1"/>
    <col min="6658" max="6658" width="4" style="162" bestFit="1" customWidth="1"/>
    <col min="6659" max="6659" width="4.85546875" style="162" customWidth="1"/>
    <col min="6660" max="6660" width="4.7109375" style="162" customWidth="1"/>
    <col min="6661" max="6661" width="8.140625" style="162" bestFit="1" customWidth="1"/>
    <col min="6662" max="6662" width="6.28515625" style="162" bestFit="1" customWidth="1"/>
    <col min="6663" max="6663" width="4.85546875" style="162" bestFit="1" customWidth="1"/>
    <col min="6664" max="6664" width="9.28515625" style="162" customWidth="1"/>
    <col min="6665" max="6666" width="7" style="162" bestFit="1" customWidth="1"/>
    <col min="6667" max="6667" width="8.140625" style="162" bestFit="1" customWidth="1"/>
    <col min="6668" max="6668" width="7.28515625" style="162" bestFit="1" customWidth="1"/>
    <col min="6669" max="6669" width="5.7109375" style="162" bestFit="1" customWidth="1"/>
    <col min="6670" max="6671" width="7.28515625" style="162" bestFit="1" customWidth="1"/>
    <col min="6672" max="6672" width="0" style="162" hidden="1" customWidth="1"/>
    <col min="6673" max="6673" width="17.42578125" style="162" bestFit="1" customWidth="1"/>
    <col min="6674" max="6674" width="7" style="162" bestFit="1" customWidth="1"/>
    <col min="6675" max="6675" width="6.140625" style="162" bestFit="1" customWidth="1"/>
    <col min="6676" max="6676" width="16.140625" style="162" bestFit="1" customWidth="1"/>
    <col min="6677" max="6677" width="6.42578125" style="162" bestFit="1" customWidth="1"/>
    <col min="6678" max="6678" width="14" style="162" bestFit="1" customWidth="1"/>
    <col min="6679" max="6680" width="11.7109375" style="162" bestFit="1" customWidth="1"/>
    <col min="6681" max="6681" width="11.42578125" style="162" bestFit="1" customWidth="1"/>
    <col min="6682" max="6682" width="1.85546875" style="162" customWidth="1"/>
    <col min="6683" max="6683" width="11.140625" style="162" bestFit="1" customWidth="1"/>
    <col min="6684" max="6685" width="9.42578125" style="162" bestFit="1" customWidth="1"/>
    <col min="6686" max="6912" width="8.85546875" style="162"/>
    <col min="6913" max="6913" width="21" style="162" bestFit="1" customWidth="1"/>
    <col min="6914" max="6914" width="4" style="162" bestFit="1" customWidth="1"/>
    <col min="6915" max="6915" width="4.85546875" style="162" customWidth="1"/>
    <col min="6916" max="6916" width="4.7109375" style="162" customWidth="1"/>
    <col min="6917" max="6917" width="8.140625" style="162" bestFit="1" customWidth="1"/>
    <col min="6918" max="6918" width="6.28515625" style="162" bestFit="1" customWidth="1"/>
    <col min="6919" max="6919" width="4.85546875" style="162" bestFit="1" customWidth="1"/>
    <col min="6920" max="6920" width="9.28515625" style="162" customWidth="1"/>
    <col min="6921" max="6922" width="7" style="162" bestFit="1" customWidth="1"/>
    <col min="6923" max="6923" width="8.140625" style="162" bestFit="1" customWidth="1"/>
    <col min="6924" max="6924" width="7.28515625" style="162" bestFit="1" customWidth="1"/>
    <col min="6925" max="6925" width="5.7109375" style="162" bestFit="1" customWidth="1"/>
    <col min="6926" max="6927" width="7.28515625" style="162" bestFit="1" customWidth="1"/>
    <col min="6928" max="6928" width="0" style="162" hidden="1" customWidth="1"/>
    <col min="6929" max="6929" width="17.42578125" style="162" bestFit="1" customWidth="1"/>
    <col min="6930" max="6930" width="7" style="162" bestFit="1" customWidth="1"/>
    <col min="6931" max="6931" width="6.140625" style="162" bestFit="1" customWidth="1"/>
    <col min="6932" max="6932" width="16.140625" style="162" bestFit="1" customWidth="1"/>
    <col min="6933" max="6933" width="6.42578125" style="162" bestFit="1" customWidth="1"/>
    <col min="6934" max="6934" width="14" style="162" bestFit="1" customWidth="1"/>
    <col min="6935" max="6936" width="11.7109375" style="162" bestFit="1" customWidth="1"/>
    <col min="6937" max="6937" width="11.42578125" style="162" bestFit="1" customWidth="1"/>
    <col min="6938" max="6938" width="1.85546875" style="162" customWidth="1"/>
    <col min="6939" max="6939" width="11.140625" style="162" bestFit="1" customWidth="1"/>
    <col min="6940" max="6941" width="9.42578125" style="162" bestFit="1" customWidth="1"/>
    <col min="6942" max="7168" width="8.85546875" style="162"/>
    <col min="7169" max="7169" width="21" style="162" bestFit="1" customWidth="1"/>
    <col min="7170" max="7170" width="4" style="162" bestFit="1" customWidth="1"/>
    <col min="7171" max="7171" width="4.85546875" style="162" customWidth="1"/>
    <col min="7172" max="7172" width="4.7109375" style="162" customWidth="1"/>
    <col min="7173" max="7173" width="8.140625" style="162" bestFit="1" customWidth="1"/>
    <col min="7174" max="7174" width="6.28515625" style="162" bestFit="1" customWidth="1"/>
    <col min="7175" max="7175" width="4.85546875" style="162" bestFit="1" customWidth="1"/>
    <col min="7176" max="7176" width="9.28515625" style="162" customWidth="1"/>
    <col min="7177" max="7178" width="7" style="162" bestFit="1" customWidth="1"/>
    <col min="7179" max="7179" width="8.140625" style="162" bestFit="1" customWidth="1"/>
    <col min="7180" max="7180" width="7.28515625" style="162" bestFit="1" customWidth="1"/>
    <col min="7181" max="7181" width="5.7109375" style="162" bestFit="1" customWidth="1"/>
    <col min="7182" max="7183" width="7.28515625" style="162" bestFit="1" customWidth="1"/>
    <col min="7184" max="7184" width="0" style="162" hidden="1" customWidth="1"/>
    <col min="7185" max="7185" width="17.42578125" style="162" bestFit="1" customWidth="1"/>
    <col min="7186" max="7186" width="7" style="162" bestFit="1" customWidth="1"/>
    <col min="7187" max="7187" width="6.140625" style="162" bestFit="1" customWidth="1"/>
    <col min="7188" max="7188" width="16.140625" style="162" bestFit="1" customWidth="1"/>
    <col min="7189" max="7189" width="6.42578125" style="162" bestFit="1" customWidth="1"/>
    <col min="7190" max="7190" width="14" style="162" bestFit="1" customWidth="1"/>
    <col min="7191" max="7192" width="11.7109375" style="162" bestFit="1" customWidth="1"/>
    <col min="7193" max="7193" width="11.42578125" style="162" bestFit="1" customWidth="1"/>
    <col min="7194" max="7194" width="1.85546875" style="162" customWidth="1"/>
    <col min="7195" max="7195" width="11.140625" style="162" bestFit="1" customWidth="1"/>
    <col min="7196" max="7197" width="9.42578125" style="162" bestFit="1" customWidth="1"/>
    <col min="7198" max="7424" width="8.85546875" style="162"/>
    <col min="7425" max="7425" width="21" style="162" bestFit="1" customWidth="1"/>
    <col min="7426" max="7426" width="4" style="162" bestFit="1" customWidth="1"/>
    <col min="7427" max="7427" width="4.85546875" style="162" customWidth="1"/>
    <col min="7428" max="7428" width="4.7109375" style="162" customWidth="1"/>
    <col min="7429" max="7429" width="8.140625" style="162" bestFit="1" customWidth="1"/>
    <col min="7430" max="7430" width="6.28515625" style="162" bestFit="1" customWidth="1"/>
    <col min="7431" max="7431" width="4.85546875" style="162" bestFit="1" customWidth="1"/>
    <col min="7432" max="7432" width="9.28515625" style="162" customWidth="1"/>
    <col min="7433" max="7434" width="7" style="162" bestFit="1" customWidth="1"/>
    <col min="7435" max="7435" width="8.140625" style="162" bestFit="1" customWidth="1"/>
    <col min="7436" max="7436" width="7.28515625" style="162" bestFit="1" customWidth="1"/>
    <col min="7437" max="7437" width="5.7109375" style="162" bestFit="1" customWidth="1"/>
    <col min="7438" max="7439" width="7.28515625" style="162" bestFit="1" customWidth="1"/>
    <col min="7440" max="7440" width="0" style="162" hidden="1" customWidth="1"/>
    <col min="7441" max="7441" width="17.42578125" style="162" bestFit="1" customWidth="1"/>
    <col min="7442" max="7442" width="7" style="162" bestFit="1" customWidth="1"/>
    <col min="7443" max="7443" width="6.140625" style="162" bestFit="1" customWidth="1"/>
    <col min="7444" max="7444" width="16.140625" style="162" bestFit="1" customWidth="1"/>
    <col min="7445" max="7445" width="6.42578125" style="162" bestFit="1" customWidth="1"/>
    <col min="7446" max="7446" width="14" style="162" bestFit="1" customWidth="1"/>
    <col min="7447" max="7448" width="11.7109375" style="162" bestFit="1" customWidth="1"/>
    <col min="7449" max="7449" width="11.42578125" style="162" bestFit="1" customWidth="1"/>
    <col min="7450" max="7450" width="1.85546875" style="162" customWidth="1"/>
    <col min="7451" max="7451" width="11.140625" style="162" bestFit="1" customWidth="1"/>
    <col min="7452" max="7453" width="9.42578125" style="162" bestFit="1" customWidth="1"/>
    <col min="7454" max="7680" width="8.85546875" style="162"/>
    <col min="7681" max="7681" width="21" style="162" bestFit="1" customWidth="1"/>
    <col min="7682" max="7682" width="4" style="162" bestFit="1" customWidth="1"/>
    <col min="7683" max="7683" width="4.85546875" style="162" customWidth="1"/>
    <col min="7684" max="7684" width="4.7109375" style="162" customWidth="1"/>
    <col min="7685" max="7685" width="8.140625" style="162" bestFit="1" customWidth="1"/>
    <col min="7686" max="7686" width="6.28515625" style="162" bestFit="1" customWidth="1"/>
    <col min="7687" max="7687" width="4.85546875" style="162" bestFit="1" customWidth="1"/>
    <col min="7688" max="7688" width="9.28515625" style="162" customWidth="1"/>
    <col min="7689" max="7690" width="7" style="162" bestFit="1" customWidth="1"/>
    <col min="7691" max="7691" width="8.140625" style="162" bestFit="1" customWidth="1"/>
    <col min="7692" max="7692" width="7.28515625" style="162" bestFit="1" customWidth="1"/>
    <col min="7693" max="7693" width="5.7109375" style="162" bestFit="1" customWidth="1"/>
    <col min="7694" max="7695" width="7.28515625" style="162" bestFit="1" customWidth="1"/>
    <col min="7696" max="7696" width="0" style="162" hidden="1" customWidth="1"/>
    <col min="7697" max="7697" width="17.42578125" style="162" bestFit="1" customWidth="1"/>
    <col min="7698" max="7698" width="7" style="162" bestFit="1" customWidth="1"/>
    <col min="7699" max="7699" width="6.140625" style="162" bestFit="1" customWidth="1"/>
    <col min="7700" max="7700" width="16.140625" style="162" bestFit="1" customWidth="1"/>
    <col min="7701" max="7701" width="6.42578125" style="162" bestFit="1" customWidth="1"/>
    <col min="7702" max="7702" width="14" style="162" bestFit="1" customWidth="1"/>
    <col min="7703" max="7704" width="11.7109375" style="162" bestFit="1" customWidth="1"/>
    <col min="7705" max="7705" width="11.42578125" style="162" bestFit="1" customWidth="1"/>
    <col min="7706" max="7706" width="1.85546875" style="162" customWidth="1"/>
    <col min="7707" max="7707" width="11.140625" style="162" bestFit="1" customWidth="1"/>
    <col min="7708" max="7709" width="9.42578125" style="162" bestFit="1" customWidth="1"/>
    <col min="7710" max="7936" width="8.85546875" style="162"/>
    <col min="7937" max="7937" width="21" style="162" bestFit="1" customWidth="1"/>
    <col min="7938" max="7938" width="4" style="162" bestFit="1" customWidth="1"/>
    <col min="7939" max="7939" width="4.85546875" style="162" customWidth="1"/>
    <col min="7940" max="7940" width="4.7109375" style="162" customWidth="1"/>
    <col min="7941" max="7941" width="8.140625" style="162" bestFit="1" customWidth="1"/>
    <col min="7942" max="7942" width="6.28515625" style="162" bestFit="1" customWidth="1"/>
    <col min="7943" max="7943" width="4.85546875" style="162" bestFit="1" customWidth="1"/>
    <col min="7944" max="7944" width="9.28515625" style="162" customWidth="1"/>
    <col min="7945" max="7946" width="7" style="162" bestFit="1" customWidth="1"/>
    <col min="7947" max="7947" width="8.140625" style="162" bestFit="1" customWidth="1"/>
    <col min="7948" max="7948" width="7.28515625" style="162" bestFit="1" customWidth="1"/>
    <col min="7949" max="7949" width="5.7109375" style="162" bestFit="1" customWidth="1"/>
    <col min="7950" max="7951" width="7.28515625" style="162" bestFit="1" customWidth="1"/>
    <col min="7952" max="7952" width="0" style="162" hidden="1" customWidth="1"/>
    <col min="7953" max="7953" width="17.42578125" style="162" bestFit="1" customWidth="1"/>
    <col min="7954" max="7954" width="7" style="162" bestFit="1" customWidth="1"/>
    <col min="7955" max="7955" width="6.140625" style="162" bestFit="1" customWidth="1"/>
    <col min="7956" max="7956" width="16.140625" style="162" bestFit="1" customWidth="1"/>
    <col min="7957" max="7957" width="6.42578125" style="162" bestFit="1" customWidth="1"/>
    <col min="7958" max="7958" width="14" style="162" bestFit="1" customWidth="1"/>
    <col min="7959" max="7960" width="11.7109375" style="162" bestFit="1" customWidth="1"/>
    <col min="7961" max="7961" width="11.42578125" style="162" bestFit="1" customWidth="1"/>
    <col min="7962" max="7962" width="1.85546875" style="162" customWidth="1"/>
    <col min="7963" max="7963" width="11.140625" style="162" bestFit="1" customWidth="1"/>
    <col min="7964" max="7965" width="9.42578125" style="162" bestFit="1" customWidth="1"/>
    <col min="7966" max="8192" width="8.85546875" style="162"/>
    <col min="8193" max="8193" width="21" style="162" bestFit="1" customWidth="1"/>
    <col min="8194" max="8194" width="4" style="162" bestFit="1" customWidth="1"/>
    <col min="8195" max="8195" width="4.85546875" style="162" customWidth="1"/>
    <col min="8196" max="8196" width="4.7109375" style="162" customWidth="1"/>
    <col min="8197" max="8197" width="8.140625" style="162" bestFit="1" customWidth="1"/>
    <col min="8198" max="8198" width="6.28515625" style="162" bestFit="1" customWidth="1"/>
    <col min="8199" max="8199" width="4.85546875" style="162" bestFit="1" customWidth="1"/>
    <col min="8200" max="8200" width="9.28515625" style="162" customWidth="1"/>
    <col min="8201" max="8202" width="7" style="162" bestFit="1" customWidth="1"/>
    <col min="8203" max="8203" width="8.140625" style="162" bestFit="1" customWidth="1"/>
    <col min="8204" max="8204" width="7.28515625" style="162" bestFit="1" customWidth="1"/>
    <col min="8205" max="8205" width="5.7109375" style="162" bestFit="1" customWidth="1"/>
    <col min="8206" max="8207" width="7.28515625" style="162" bestFit="1" customWidth="1"/>
    <col min="8208" max="8208" width="0" style="162" hidden="1" customWidth="1"/>
    <col min="8209" max="8209" width="17.42578125" style="162" bestFit="1" customWidth="1"/>
    <col min="8210" max="8210" width="7" style="162" bestFit="1" customWidth="1"/>
    <col min="8211" max="8211" width="6.140625" style="162" bestFit="1" customWidth="1"/>
    <col min="8212" max="8212" width="16.140625" style="162" bestFit="1" customWidth="1"/>
    <col min="8213" max="8213" width="6.42578125" style="162" bestFit="1" customWidth="1"/>
    <col min="8214" max="8214" width="14" style="162" bestFit="1" customWidth="1"/>
    <col min="8215" max="8216" width="11.7109375" style="162" bestFit="1" customWidth="1"/>
    <col min="8217" max="8217" width="11.42578125" style="162" bestFit="1" customWidth="1"/>
    <col min="8218" max="8218" width="1.85546875" style="162" customWidth="1"/>
    <col min="8219" max="8219" width="11.140625" style="162" bestFit="1" customWidth="1"/>
    <col min="8220" max="8221" width="9.42578125" style="162" bestFit="1" customWidth="1"/>
    <col min="8222" max="8448" width="8.85546875" style="162"/>
    <col min="8449" max="8449" width="21" style="162" bestFit="1" customWidth="1"/>
    <col min="8450" max="8450" width="4" style="162" bestFit="1" customWidth="1"/>
    <col min="8451" max="8451" width="4.85546875" style="162" customWidth="1"/>
    <col min="8452" max="8452" width="4.7109375" style="162" customWidth="1"/>
    <col min="8453" max="8453" width="8.140625" style="162" bestFit="1" customWidth="1"/>
    <col min="8454" max="8454" width="6.28515625" style="162" bestFit="1" customWidth="1"/>
    <col min="8455" max="8455" width="4.85546875" style="162" bestFit="1" customWidth="1"/>
    <col min="8456" max="8456" width="9.28515625" style="162" customWidth="1"/>
    <col min="8457" max="8458" width="7" style="162" bestFit="1" customWidth="1"/>
    <col min="8459" max="8459" width="8.140625" style="162" bestFit="1" customWidth="1"/>
    <col min="8460" max="8460" width="7.28515625" style="162" bestFit="1" customWidth="1"/>
    <col min="8461" max="8461" width="5.7109375" style="162" bestFit="1" customWidth="1"/>
    <col min="8462" max="8463" width="7.28515625" style="162" bestFit="1" customWidth="1"/>
    <col min="8464" max="8464" width="0" style="162" hidden="1" customWidth="1"/>
    <col min="8465" max="8465" width="17.42578125" style="162" bestFit="1" customWidth="1"/>
    <col min="8466" max="8466" width="7" style="162" bestFit="1" customWidth="1"/>
    <col min="8467" max="8467" width="6.140625" style="162" bestFit="1" customWidth="1"/>
    <col min="8468" max="8468" width="16.140625" style="162" bestFit="1" customWidth="1"/>
    <col min="8469" max="8469" width="6.42578125" style="162" bestFit="1" customWidth="1"/>
    <col min="8470" max="8470" width="14" style="162" bestFit="1" customWidth="1"/>
    <col min="8471" max="8472" width="11.7109375" style="162" bestFit="1" customWidth="1"/>
    <col min="8473" max="8473" width="11.42578125" style="162" bestFit="1" customWidth="1"/>
    <col min="8474" max="8474" width="1.85546875" style="162" customWidth="1"/>
    <col min="8475" max="8475" width="11.140625" style="162" bestFit="1" customWidth="1"/>
    <col min="8476" max="8477" width="9.42578125" style="162" bestFit="1" customWidth="1"/>
    <col min="8478" max="8704" width="8.85546875" style="162"/>
    <col min="8705" max="8705" width="21" style="162" bestFit="1" customWidth="1"/>
    <col min="8706" max="8706" width="4" style="162" bestFit="1" customWidth="1"/>
    <col min="8707" max="8707" width="4.85546875" style="162" customWidth="1"/>
    <col min="8708" max="8708" width="4.7109375" style="162" customWidth="1"/>
    <col min="8709" max="8709" width="8.140625" style="162" bestFit="1" customWidth="1"/>
    <col min="8710" max="8710" width="6.28515625" style="162" bestFit="1" customWidth="1"/>
    <col min="8711" max="8711" width="4.85546875" style="162" bestFit="1" customWidth="1"/>
    <col min="8712" max="8712" width="9.28515625" style="162" customWidth="1"/>
    <col min="8713" max="8714" width="7" style="162" bestFit="1" customWidth="1"/>
    <col min="8715" max="8715" width="8.140625" style="162" bestFit="1" customWidth="1"/>
    <col min="8716" max="8716" width="7.28515625" style="162" bestFit="1" customWidth="1"/>
    <col min="8717" max="8717" width="5.7109375" style="162" bestFit="1" customWidth="1"/>
    <col min="8718" max="8719" width="7.28515625" style="162" bestFit="1" customWidth="1"/>
    <col min="8720" max="8720" width="0" style="162" hidden="1" customWidth="1"/>
    <col min="8721" max="8721" width="17.42578125" style="162" bestFit="1" customWidth="1"/>
    <col min="8722" max="8722" width="7" style="162" bestFit="1" customWidth="1"/>
    <col min="8723" max="8723" width="6.140625" style="162" bestFit="1" customWidth="1"/>
    <col min="8724" max="8724" width="16.140625" style="162" bestFit="1" customWidth="1"/>
    <col min="8725" max="8725" width="6.42578125" style="162" bestFit="1" customWidth="1"/>
    <col min="8726" max="8726" width="14" style="162" bestFit="1" customWidth="1"/>
    <col min="8727" max="8728" width="11.7109375" style="162" bestFit="1" customWidth="1"/>
    <col min="8729" max="8729" width="11.42578125" style="162" bestFit="1" customWidth="1"/>
    <col min="8730" max="8730" width="1.85546875" style="162" customWidth="1"/>
    <col min="8731" max="8731" width="11.140625" style="162" bestFit="1" customWidth="1"/>
    <col min="8732" max="8733" width="9.42578125" style="162" bestFit="1" customWidth="1"/>
    <col min="8734" max="8960" width="8.85546875" style="162"/>
    <col min="8961" max="8961" width="21" style="162" bestFit="1" customWidth="1"/>
    <col min="8962" max="8962" width="4" style="162" bestFit="1" customWidth="1"/>
    <col min="8963" max="8963" width="4.85546875" style="162" customWidth="1"/>
    <col min="8964" max="8964" width="4.7109375" style="162" customWidth="1"/>
    <col min="8965" max="8965" width="8.140625" style="162" bestFit="1" customWidth="1"/>
    <col min="8966" max="8966" width="6.28515625" style="162" bestFit="1" customWidth="1"/>
    <col min="8967" max="8967" width="4.85546875" style="162" bestFit="1" customWidth="1"/>
    <col min="8968" max="8968" width="9.28515625" style="162" customWidth="1"/>
    <col min="8969" max="8970" width="7" style="162" bestFit="1" customWidth="1"/>
    <col min="8971" max="8971" width="8.140625" style="162" bestFit="1" customWidth="1"/>
    <col min="8972" max="8972" width="7.28515625" style="162" bestFit="1" customWidth="1"/>
    <col min="8973" max="8973" width="5.7109375" style="162" bestFit="1" customWidth="1"/>
    <col min="8974" max="8975" width="7.28515625" style="162" bestFit="1" customWidth="1"/>
    <col min="8976" max="8976" width="0" style="162" hidden="1" customWidth="1"/>
    <col min="8977" max="8977" width="17.42578125" style="162" bestFit="1" customWidth="1"/>
    <col min="8978" max="8978" width="7" style="162" bestFit="1" customWidth="1"/>
    <col min="8979" max="8979" width="6.140625" style="162" bestFit="1" customWidth="1"/>
    <col min="8980" max="8980" width="16.140625" style="162" bestFit="1" customWidth="1"/>
    <col min="8981" max="8981" width="6.42578125" style="162" bestFit="1" customWidth="1"/>
    <col min="8982" max="8982" width="14" style="162" bestFit="1" customWidth="1"/>
    <col min="8983" max="8984" width="11.7109375" style="162" bestFit="1" customWidth="1"/>
    <col min="8985" max="8985" width="11.42578125" style="162" bestFit="1" customWidth="1"/>
    <col min="8986" max="8986" width="1.85546875" style="162" customWidth="1"/>
    <col min="8987" max="8987" width="11.140625" style="162" bestFit="1" customWidth="1"/>
    <col min="8988" max="8989" width="9.42578125" style="162" bestFit="1" customWidth="1"/>
    <col min="8990" max="9216" width="8.85546875" style="162"/>
    <col min="9217" max="9217" width="21" style="162" bestFit="1" customWidth="1"/>
    <col min="9218" max="9218" width="4" style="162" bestFit="1" customWidth="1"/>
    <col min="9219" max="9219" width="4.85546875" style="162" customWidth="1"/>
    <col min="9220" max="9220" width="4.7109375" style="162" customWidth="1"/>
    <col min="9221" max="9221" width="8.140625" style="162" bestFit="1" customWidth="1"/>
    <col min="9222" max="9222" width="6.28515625" style="162" bestFit="1" customWidth="1"/>
    <col min="9223" max="9223" width="4.85546875" style="162" bestFit="1" customWidth="1"/>
    <col min="9224" max="9224" width="9.28515625" style="162" customWidth="1"/>
    <col min="9225" max="9226" width="7" style="162" bestFit="1" customWidth="1"/>
    <col min="9227" max="9227" width="8.140625" style="162" bestFit="1" customWidth="1"/>
    <col min="9228" max="9228" width="7.28515625" style="162" bestFit="1" customWidth="1"/>
    <col min="9229" max="9229" width="5.7109375" style="162" bestFit="1" customWidth="1"/>
    <col min="9230" max="9231" width="7.28515625" style="162" bestFit="1" customWidth="1"/>
    <col min="9232" max="9232" width="0" style="162" hidden="1" customWidth="1"/>
    <col min="9233" max="9233" width="17.42578125" style="162" bestFit="1" customWidth="1"/>
    <col min="9234" max="9234" width="7" style="162" bestFit="1" customWidth="1"/>
    <col min="9235" max="9235" width="6.140625" style="162" bestFit="1" customWidth="1"/>
    <col min="9236" max="9236" width="16.140625" style="162" bestFit="1" customWidth="1"/>
    <col min="9237" max="9237" width="6.42578125" style="162" bestFit="1" customWidth="1"/>
    <col min="9238" max="9238" width="14" style="162" bestFit="1" customWidth="1"/>
    <col min="9239" max="9240" width="11.7109375" style="162" bestFit="1" customWidth="1"/>
    <col min="9241" max="9241" width="11.42578125" style="162" bestFit="1" customWidth="1"/>
    <col min="9242" max="9242" width="1.85546875" style="162" customWidth="1"/>
    <col min="9243" max="9243" width="11.140625" style="162" bestFit="1" customWidth="1"/>
    <col min="9244" max="9245" width="9.42578125" style="162" bestFit="1" customWidth="1"/>
    <col min="9246" max="9472" width="8.85546875" style="162"/>
    <col min="9473" max="9473" width="21" style="162" bestFit="1" customWidth="1"/>
    <col min="9474" max="9474" width="4" style="162" bestFit="1" customWidth="1"/>
    <col min="9475" max="9475" width="4.85546875" style="162" customWidth="1"/>
    <col min="9476" max="9476" width="4.7109375" style="162" customWidth="1"/>
    <col min="9477" max="9477" width="8.140625" style="162" bestFit="1" customWidth="1"/>
    <col min="9478" max="9478" width="6.28515625" style="162" bestFit="1" customWidth="1"/>
    <col min="9479" max="9479" width="4.85546875" style="162" bestFit="1" customWidth="1"/>
    <col min="9480" max="9480" width="9.28515625" style="162" customWidth="1"/>
    <col min="9481" max="9482" width="7" style="162" bestFit="1" customWidth="1"/>
    <col min="9483" max="9483" width="8.140625" style="162" bestFit="1" customWidth="1"/>
    <col min="9484" max="9484" width="7.28515625" style="162" bestFit="1" customWidth="1"/>
    <col min="9485" max="9485" width="5.7109375" style="162" bestFit="1" customWidth="1"/>
    <col min="9486" max="9487" width="7.28515625" style="162" bestFit="1" customWidth="1"/>
    <col min="9488" max="9488" width="0" style="162" hidden="1" customWidth="1"/>
    <col min="9489" max="9489" width="17.42578125" style="162" bestFit="1" customWidth="1"/>
    <col min="9490" max="9490" width="7" style="162" bestFit="1" customWidth="1"/>
    <col min="9491" max="9491" width="6.140625" style="162" bestFit="1" customWidth="1"/>
    <col min="9492" max="9492" width="16.140625" style="162" bestFit="1" customWidth="1"/>
    <col min="9493" max="9493" width="6.42578125" style="162" bestFit="1" customWidth="1"/>
    <col min="9494" max="9494" width="14" style="162" bestFit="1" customWidth="1"/>
    <col min="9495" max="9496" width="11.7109375" style="162" bestFit="1" customWidth="1"/>
    <col min="9497" max="9497" width="11.42578125" style="162" bestFit="1" customWidth="1"/>
    <col min="9498" max="9498" width="1.85546875" style="162" customWidth="1"/>
    <col min="9499" max="9499" width="11.140625" style="162" bestFit="1" customWidth="1"/>
    <col min="9500" max="9501" width="9.42578125" style="162" bestFit="1" customWidth="1"/>
    <col min="9502" max="9728" width="8.85546875" style="162"/>
    <col min="9729" max="9729" width="21" style="162" bestFit="1" customWidth="1"/>
    <col min="9730" max="9730" width="4" style="162" bestFit="1" customWidth="1"/>
    <col min="9731" max="9731" width="4.85546875" style="162" customWidth="1"/>
    <col min="9732" max="9732" width="4.7109375" style="162" customWidth="1"/>
    <col min="9733" max="9733" width="8.140625" style="162" bestFit="1" customWidth="1"/>
    <col min="9734" max="9734" width="6.28515625" style="162" bestFit="1" customWidth="1"/>
    <col min="9735" max="9735" width="4.85546875" style="162" bestFit="1" customWidth="1"/>
    <col min="9736" max="9736" width="9.28515625" style="162" customWidth="1"/>
    <col min="9737" max="9738" width="7" style="162" bestFit="1" customWidth="1"/>
    <col min="9739" max="9739" width="8.140625" style="162" bestFit="1" customWidth="1"/>
    <col min="9740" max="9740" width="7.28515625" style="162" bestFit="1" customWidth="1"/>
    <col min="9741" max="9741" width="5.7109375" style="162" bestFit="1" customWidth="1"/>
    <col min="9742" max="9743" width="7.28515625" style="162" bestFit="1" customWidth="1"/>
    <col min="9744" max="9744" width="0" style="162" hidden="1" customWidth="1"/>
    <col min="9745" max="9745" width="17.42578125" style="162" bestFit="1" customWidth="1"/>
    <col min="9746" max="9746" width="7" style="162" bestFit="1" customWidth="1"/>
    <col min="9747" max="9747" width="6.140625" style="162" bestFit="1" customWidth="1"/>
    <col min="9748" max="9748" width="16.140625" style="162" bestFit="1" customWidth="1"/>
    <col min="9749" max="9749" width="6.42578125" style="162" bestFit="1" customWidth="1"/>
    <col min="9750" max="9750" width="14" style="162" bestFit="1" customWidth="1"/>
    <col min="9751" max="9752" width="11.7109375" style="162" bestFit="1" customWidth="1"/>
    <col min="9753" max="9753" width="11.42578125" style="162" bestFit="1" customWidth="1"/>
    <col min="9754" max="9754" width="1.85546875" style="162" customWidth="1"/>
    <col min="9755" max="9755" width="11.140625" style="162" bestFit="1" customWidth="1"/>
    <col min="9756" max="9757" width="9.42578125" style="162" bestFit="1" customWidth="1"/>
    <col min="9758" max="9984" width="8.85546875" style="162"/>
    <col min="9985" max="9985" width="21" style="162" bestFit="1" customWidth="1"/>
    <col min="9986" max="9986" width="4" style="162" bestFit="1" customWidth="1"/>
    <col min="9987" max="9987" width="4.85546875" style="162" customWidth="1"/>
    <col min="9988" max="9988" width="4.7109375" style="162" customWidth="1"/>
    <col min="9989" max="9989" width="8.140625" style="162" bestFit="1" customWidth="1"/>
    <col min="9990" max="9990" width="6.28515625" style="162" bestFit="1" customWidth="1"/>
    <col min="9991" max="9991" width="4.85546875" style="162" bestFit="1" customWidth="1"/>
    <col min="9992" max="9992" width="9.28515625" style="162" customWidth="1"/>
    <col min="9993" max="9994" width="7" style="162" bestFit="1" customWidth="1"/>
    <col min="9995" max="9995" width="8.140625" style="162" bestFit="1" customWidth="1"/>
    <col min="9996" max="9996" width="7.28515625" style="162" bestFit="1" customWidth="1"/>
    <col min="9997" max="9997" width="5.7109375" style="162" bestFit="1" customWidth="1"/>
    <col min="9998" max="9999" width="7.28515625" style="162" bestFit="1" customWidth="1"/>
    <col min="10000" max="10000" width="0" style="162" hidden="1" customWidth="1"/>
    <col min="10001" max="10001" width="17.42578125" style="162" bestFit="1" customWidth="1"/>
    <col min="10002" max="10002" width="7" style="162" bestFit="1" customWidth="1"/>
    <col min="10003" max="10003" width="6.140625" style="162" bestFit="1" customWidth="1"/>
    <col min="10004" max="10004" width="16.140625" style="162" bestFit="1" customWidth="1"/>
    <col min="10005" max="10005" width="6.42578125" style="162" bestFit="1" customWidth="1"/>
    <col min="10006" max="10006" width="14" style="162" bestFit="1" customWidth="1"/>
    <col min="10007" max="10008" width="11.7109375" style="162" bestFit="1" customWidth="1"/>
    <col min="10009" max="10009" width="11.42578125" style="162" bestFit="1" customWidth="1"/>
    <col min="10010" max="10010" width="1.85546875" style="162" customWidth="1"/>
    <col min="10011" max="10011" width="11.140625" style="162" bestFit="1" customWidth="1"/>
    <col min="10012" max="10013" width="9.42578125" style="162" bestFit="1" customWidth="1"/>
    <col min="10014" max="10240" width="8.85546875" style="162"/>
    <col min="10241" max="10241" width="21" style="162" bestFit="1" customWidth="1"/>
    <col min="10242" max="10242" width="4" style="162" bestFit="1" customWidth="1"/>
    <col min="10243" max="10243" width="4.85546875" style="162" customWidth="1"/>
    <col min="10244" max="10244" width="4.7109375" style="162" customWidth="1"/>
    <col min="10245" max="10245" width="8.140625" style="162" bestFit="1" customWidth="1"/>
    <col min="10246" max="10246" width="6.28515625" style="162" bestFit="1" customWidth="1"/>
    <col min="10247" max="10247" width="4.85546875" style="162" bestFit="1" customWidth="1"/>
    <col min="10248" max="10248" width="9.28515625" style="162" customWidth="1"/>
    <col min="10249" max="10250" width="7" style="162" bestFit="1" customWidth="1"/>
    <col min="10251" max="10251" width="8.140625" style="162" bestFit="1" customWidth="1"/>
    <col min="10252" max="10252" width="7.28515625" style="162" bestFit="1" customWidth="1"/>
    <col min="10253" max="10253" width="5.7109375" style="162" bestFit="1" customWidth="1"/>
    <col min="10254" max="10255" width="7.28515625" style="162" bestFit="1" customWidth="1"/>
    <col min="10256" max="10256" width="0" style="162" hidden="1" customWidth="1"/>
    <col min="10257" max="10257" width="17.42578125" style="162" bestFit="1" customWidth="1"/>
    <col min="10258" max="10258" width="7" style="162" bestFit="1" customWidth="1"/>
    <col min="10259" max="10259" width="6.140625" style="162" bestFit="1" customWidth="1"/>
    <col min="10260" max="10260" width="16.140625" style="162" bestFit="1" customWidth="1"/>
    <col min="10261" max="10261" width="6.42578125" style="162" bestFit="1" customWidth="1"/>
    <col min="10262" max="10262" width="14" style="162" bestFit="1" customWidth="1"/>
    <col min="10263" max="10264" width="11.7109375" style="162" bestFit="1" customWidth="1"/>
    <col min="10265" max="10265" width="11.42578125" style="162" bestFit="1" customWidth="1"/>
    <col min="10266" max="10266" width="1.85546875" style="162" customWidth="1"/>
    <col min="10267" max="10267" width="11.140625" style="162" bestFit="1" customWidth="1"/>
    <col min="10268" max="10269" width="9.42578125" style="162" bestFit="1" customWidth="1"/>
    <col min="10270" max="10496" width="8.85546875" style="162"/>
    <col min="10497" max="10497" width="21" style="162" bestFit="1" customWidth="1"/>
    <col min="10498" max="10498" width="4" style="162" bestFit="1" customWidth="1"/>
    <col min="10499" max="10499" width="4.85546875" style="162" customWidth="1"/>
    <col min="10500" max="10500" width="4.7109375" style="162" customWidth="1"/>
    <col min="10501" max="10501" width="8.140625" style="162" bestFit="1" customWidth="1"/>
    <col min="10502" max="10502" width="6.28515625" style="162" bestFit="1" customWidth="1"/>
    <col min="10503" max="10503" width="4.85546875" style="162" bestFit="1" customWidth="1"/>
    <col min="10504" max="10504" width="9.28515625" style="162" customWidth="1"/>
    <col min="10505" max="10506" width="7" style="162" bestFit="1" customWidth="1"/>
    <col min="10507" max="10507" width="8.140625" style="162" bestFit="1" customWidth="1"/>
    <col min="10508" max="10508" width="7.28515625" style="162" bestFit="1" customWidth="1"/>
    <col min="10509" max="10509" width="5.7109375" style="162" bestFit="1" customWidth="1"/>
    <col min="10510" max="10511" width="7.28515625" style="162" bestFit="1" customWidth="1"/>
    <col min="10512" max="10512" width="0" style="162" hidden="1" customWidth="1"/>
    <col min="10513" max="10513" width="17.42578125" style="162" bestFit="1" customWidth="1"/>
    <col min="10514" max="10514" width="7" style="162" bestFit="1" customWidth="1"/>
    <col min="10515" max="10515" width="6.140625" style="162" bestFit="1" customWidth="1"/>
    <col min="10516" max="10516" width="16.140625" style="162" bestFit="1" customWidth="1"/>
    <col min="10517" max="10517" width="6.42578125" style="162" bestFit="1" customWidth="1"/>
    <col min="10518" max="10518" width="14" style="162" bestFit="1" customWidth="1"/>
    <col min="10519" max="10520" width="11.7109375" style="162" bestFit="1" customWidth="1"/>
    <col min="10521" max="10521" width="11.42578125" style="162" bestFit="1" customWidth="1"/>
    <col min="10522" max="10522" width="1.85546875" style="162" customWidth="1"/>
    <col min="10523" max="10523" width="11.140625" style="162" bestFit="1" customWidth="1"/>
    <col min="10524" max="10525" width="9.42578125" style="162" bestFit="1" customWidth="1"/>
    <col min="10526" max="10752" width="8.85546875" style="162"/>
    <col min="10753" max="10753" width="21" style="162" bestFit="1" customWidth="1"/>
    <col min="10754" max="10754" width="4" style="162" bestFit="1" customWidth="1"/>
    <col min="10755" max="10755" width="4.85546875" style="162" customWidth="1"/>
    <col min="10756" max="10756" width="4.7109375" style="162" customWidth="1"/>
    <col min="10757" max="10757" width="8.140625" style="162" bestFit="1" customWidth="1"/>
    <col min="10758" max="10758" width="6.28515625" style="162" bestFit="1" customWidth="1"/>
    <col min="10759" max="10759" width="4.85546875" style="162" bestFit="1" customWidth="1"/>
    <col min="10760" max="10760" width="9.28515625" style="162" customWidth="1"/>
    <col min="10761" max="10762" width="7" style="162" bestFit="1" customWidth="1"/>
    <col min="10763" max="10763" width="8.140625" style="162" bestFit="1" customWidth="1"/>
    <col min="10764" max="10764" width="7.28515625" style="162" bestFit="1" customWidth="1"/>
    <col min="10765" max="10765" width="5.7109375" style="162" bestFit="1" customWidth="1"/>
    <col min="10766" max="10767" width="7.28515625" style="162" bestFit="1" customWidth="1"/>
    <col min="10768" max="10768" width="0" style="162" hidden="1" customWidth="1"/>
    <col min="10769" max="10769" width="17.42578125" style="162" bestFit="1" customWidth="1"/>
    <col min="10770" max="10770" width="7" style="162" bestFit="1" customWidth="1"/>
    <col min="10771" max="10771" width="6.140625" style="162" bestFit="1" customWidth="1"/>
    <col min="10772" max="10772" width="16.140625" style="162" bestFit="1" customWidth="1"/>
    <col min="10773" max="10773" width="6.42578125" style="162" bestFit="1" customWidth="1"/>
    <col min="10774" max="10774" width="14" style="162" bestFit="1" customWidth="1"/>
    <col min="10775" max="10776" width="11.7109375" style="162" bestFit="1" customWidth="1"/>
    <col min="10777" max="10777" width="11.42578125" style="162" bestFit="1" customWidth="1"/>
    <col min="10778" max="10778" width="1.85546875" style="162" customWidth="1"/>
    <col min="10779" max="10779" width="11.140625" style="162" bestFit="1" customWidth="1"/>
    <col min="10780" max="10781" width="9.42578125" style="162" bestFit="1" customWidth="1"/>
    <col min="10782" max="11008" width="8.85546875" style="162"/>
    <col min="11009" max="11009" width="21" style="162" bestFit="1" customWidth="1"/>
    <col min="11010" max="11010" width="4" style="162" bestFit="1" customWidth="1"/>
    <col min="11011" max="11011" width="4.85546875" style="162" customWidth="1"/>
    <col min="11012" max="11012" width="4.7109375" style="162" customWidth="1"/>
    <col min="11013" max="11013" width="8.140625" style="162" bestFit="1" customWidth="1"/>
    <col min="11014" max="11014" width="6.28515625" style="162" bestFit="1" customWidth="1"/>
    <col min="11015" max="11015" width="4.85546875" style="162" bestFit="1" customWidth="1"/>
    <col min="11016" max="11016" width="9.28515625" style="162" customWidth="1"/>
    <col min="11017" max="11018" width="7" style="162" bestFit="1" customWidth="1"/>
    <col min="11019" max="11019" width="8.140625" style="162" bestFit="1" customWidth="1"/>
    <col min="11020" max="11020" width="7.28515625" style="162" bestFit="1" customWidth="1"/>
    <col min="11021" max="11021" width="5.7109375" style="162" bestFit="1" customWidth="1"/>
    <col min="11022" max="11023" width="7.28515625" style="162" bestFit="1" customWidth="1"/>
    <col min="11024" max="11024" width="0" style="162" hidden="1" customWidth="1"/>
    <col min="11025" max="11025" width="17.42578125" style="162" bestFit="1" customWidth="1"/>
    <col min="11026" max="11026" width="7" style="162" bestFit="1" customWidth="1"/>
    <col min="11027" max="11027" width="6.140625" style="162" bestFit="1" customWidth="1"/>
    <col min="11028" max="11028" width="16.140625" style="162" bestFit="1" customWidth="1"/>
    <col min="11029" max="11029" width="6.42578125" style="162" bestFit="1" customWidth="1"/>
    <col min="11030" max="11030" width="14" style="162" bestFit="1" customWidth="1"/>
    <col min="11031" max="11032" width="11.7109375" style="162" bestFit="1" customWidth="1"/>
    <col min="11033" max="11033" width="11.42578125" style="162" bestFit="1" customWidth="1"/>
    <col min="11034" max="11034" width="1.85546875" style="162" customWidth="1"/>
    <col min="11035" max="11035" width="11.140625" style="162" bestFit="1" customWidth="1"/>
    <col min="11036" max="11037" width="9.42578125" style="162" bestFit="1" customWidth="1"/>
    <col min="11038" max="11264" width="8.85546875" style="162"/>
    <col min="11265" max="11265" width="21" style="162" bestFit="1" customWidth="1"/>
    <col min="11266" max="11266" width="4" style="162" bestFit="1" customWidth="1"/>
    <col min="11267" max="11267" width="4.85546875" style="162" customWidth="1"/>
    <col min="11268" max="11268" width="4.7109375" style="162" customWidth="1"/>
    <col min="11269" max="11269" width="8.140625" style="162" bestFit="1" customWidth="1"/>
    <col min="11270" max="11270" width="6.28515625" style="162" bestFit="1" customWidth="1"/>
    <col min="11271" max="11271" width="4.85546875" style="162" bestFit="1" customWidth="1"/>
    <col min="11272" max="11272" width="9.28515625" style="162" customWidth="1"/>
    <col min="11273" max="11274" width="7" style="162" bestFit="1" customWidth="1"/>
    <col min="11275" max="11275" width="8.140625" style="162" bestFit="1" customWidth="1"/>
    <col min="11276" max="11276" width="7.28515625" style="162" bestFit="1" customWidth="1"/>
    <col min="11277" max="11277" width="5.7109375" style="162" bestFit="1" customWidth="1"/>
    <col min="11278" max="11279" width="7.28515625" style="162" bestFit="1" customWidth="1"/>
    <col min="11280" max="11280" width="0" style="162" hidden="1" customWidth="1"/>
    <col min="11281" max="11281" width="17.42578125" style="162" bestFit="1" customWidth="1"/>
    <col min="11282" max="11282" width="7" style="162" bestFit="1" customWidth="1"/>
    <col min="11283" max="11283" width="6.140625" style="162" bestFit="1" customWidth="1"/>
    <col min="11284" max="11284" width="16.140625" style="162" bestFit="1" customWidth="1"/>
    <col min="11285" max="11285" width="6.42578125" style="162" bestFit="1" customWidth="1"/>
    <col min="11286" max="11286" width="14" style="162" bestFit="1" customWidth="1"/>
    <col min="11287" max="11288" width="11.7109375" style="162" bestFit="1" customWidth="1"/>
    <col min="11289" max="11289" width="11.42578125" style="162" bestFit="1" customWidth="1"/>
    <col min="11290" max="11290" width="1.85546875" style="162" customWidth="1"/>
    <col min="11291" max="11291" width="11.140625" style="162" bestFit="1" customWidth="1"/>
    <col min="11292" max="11293" width="9.42578125" style="162" bestFit="1" customWidth="1"/>
    <col min="11294" max="11520" width="8.85546875" style="162"/>
    <col min="11521" max="11521" width="21" style="162" bestFit="1" customWidth="1"/>
    <col min="11522" max="11522" width="4" style="162" bestFit="1" customWidth="1"/>
    <col min="11523" max="11523" width="4.85546875" style="162" customWidth="1"/>
    <col min="11524" max="11524" width="4.7109375" style="162" customWidth="1"/>
    <col min="11525" max="11525" width="8.140625" style="162" bestFit="1" customWidth="1"/>
    <col min="11526" max="11526" width="6.28515625" style="162" bestFit="1" customWidth="1"/>
    <col min="11527" max="11527" width="4.85546875" style="162" bestFit="1" customWidth="1"/>
    <col min="11528" max="11528" width="9.28515625" style="162" customWidth="1"/>
    <col min="11529" max="11530" width="7" style="162" bestFit="1" customWidth="1"/>
    <col min="11531" max="11531" width="8.140625" style="162" bestFit="1" customWidth="1"/>
    <col min="11532" max="11532" width="7.28515625" style="162" bestFit="1" customWidth="1"/>
    <col min="11533" max="11533" width="5.7109375" style="162" bestFit="1" customWidth="1"/>
    <col min="11534" max="11535" width="7.28515625" style="162" bestFit="1" customWidth="1"/>
    <col min="11536" max="11536" width="0" style="162" hidden="1" customWidth="1"/>
    <col min="11537" max="11537" width="17.42578125" style="162" bestFit="1" customWidth="1"/>
    <col min="11538" max="11538" width="7" style="162" bestFit="1" customWidth="1"/>
    <col min="11539" max="11539" width="6.140625" style="162" bestFit="1" customWidth="1"/>
    <col min="11540" max="11540" width="16.140625" style="162" bestFit="1" customWidth="1"/>
    <col min="11541" max="11541" width="6.42578125" style="162" bestFit="1" customWidth="1"/>
    <col min="11542" max="11542" width="14" style="162" bestFit="1" customWidth="1"/>
    <col min="11543" max="11544" width="11.7109375" style="162" bestFit="1" customWidth="1"/>
    <col min="11545" max="11545" width="11.42578125" style="162" bestFit="1" customWidth="1"/>
    <col min="11546" max="11546" width="1.85546875" style="162" customWidth="1"/>
    <col min="11547" max="11547" width="11.140625" style="162" bestFit="1" customWidth="1"/>
    <col min="11548" max="11549" width="9.42578125" style="162" bestFit="1" customWidth="1"/>
    <col min="11550" max="11776" width="8.85546875" style="162"/>
    <col min="11777" max="11777" width="21" style="162" bestFit="1" customWidth="1"/>
    <col min="11778" max="11778" width="4" style="162" bestFit="1" customWidth="1"/>
    <col min="11779" max="11779" width="4.85546875" style="162" customWidth="1"/>
    <col min="11780" max="11780" width="4.7109375" style="162" customWidth="1"/>
    <col min="11781" max="11781" width="8.140625" style="162" bestFit="1" customWidth="1"/>
    <col min="11782" max="11782" width="6.28515625" style="162" bestFit="1" customWidth="1"/>
    <col min="11783" max="11783" width="4.85546875" style="162" bestFit="1" customWidth="1"/>
    <col min="11784" max="11784" width="9.28515625" style="162" customWidth="1"/>
    <col min="11785" max="11786" width="7" style="162" bestFit="1" customWidth="1"/>
    <col min="11787" max="11787" width="8.140625" style="162" bestFit="1" customWidth="1"/>
    <col min="11788" max="11788" width="7.28515625" style="162" bestFit="1" customWidth="1"/>
    <col min="11789" max="11789" width="5.7109375" style="162" bestFit="1" customWidth="1"/>
    <col min="11790" max="11791" width="7.28515625" style="162" bestFit="1" customWidth="1"/>
    <col min="11792" max="11792" width="0" style="162" hidden="1" customWidth="1"/>
    <col min="11793" max="11793" width="17.42578125" style="162" bestFit="1" customWidth="1"/>
    <col min="11794" max="11794" width="7" style="162" bestFit="1" customWidth="1"/>
    <col min="11795" max="11795" width="6.140625" style="162" bestFit="1" customWidth="1"/>
    <col min="11796" max="11796" width="16.140625" style="162" bestFit="1" customWidth="1"/>
    <col min="11797" max="11797" width="6.42578125" style="162" bestFit="1" customWidth="1"/>
    <col min="11798" max="11798" width="14" style="162" bestFit="1" customWidth="1"/>
    <col min="11799" max="11800" width="11.7109375" style="162" bestFit="1" customWidth="1"/>
    <col min="11801" max="11801" width="11.42578125" style="162" bestFit="1" customWidth="1"/>
    <col min="11802" max="11802" width="1.85546875" style="162" customWidth="1"/>
    <col min="11803" max="11803" width="11.140625" style="162" bestFit="1" customWidth="1"/>
    <col min="11804" max="11805" width="9.42578125" style="162" bestFit="1" customWidth="1"/>
    <col min="11806" max="12032" width="8.85546875" style="162"/>
    <col min="12033" max="12033" width="21" style="162" bestFit="1" customWidth="1"/>
    <col min="12034" max="12034" width="4" style="162" bestFit="1" customWidth="1"/>
    <col min="12035" max="12035" width="4.85546875" style="162" customWidth="1"/>
    <col min="12036" max="12036" width="4.7109375" style="162" customWidth="1"/>
    <col min="12037" max="12037" width="8.140625" style="162" bestFit="1" customWidth="1"/>
    <col min="12038" max="12038" width="6.28515625" style="162" bestFit="1" customWidth="1"/>
    <col min="12039" max="12039" width="4.85546875" style="162" bestFit="1" customWidth="1"/>
    <col min="12040" max="12040" width="9.28515625" style="162" customWidth="1"/>
    <col min="12041" max="12042" width="7" style="162" bestFit="1" customWidth="1"/>
    <col min="12043" max="12043" width="8.140625" style="162" bestFit="1" customWidth="1"/>
    <col min="12044" max="12044" width="7.28515625" style="162" bestFit="1" customWidth="1"/>
    <col min="12045" max="12045" width="5.7109375" style="162" bestFit="1" customWidth="1"/>
    <col min="12046" max="12047" width="7.28515625" style="162" bestFit="1" customWidth="1"/>
    <col min="12048" max="12048" width="0" style="162" hidden="1" customWidth="1"/>
    <col min="12049" max="12049" width="17.42578125" style="162" bestFit="1" customWidth="1"/>
    <col min="12050" max="12050" width="7" style="162" bestFit="1" customWidth="1"/>
    <col min="12051" max="12051" width="6.140625" style="162" bestFit="1" customWidth="1"/>
    <col min="12052" max="12052" width="16.140625" style="162" bestFit="1" customWidth="1"/>
    <col min="12053" max="12053" width="6.42578125" style="162" bestFit="1" customWidth="1"/>
    <col min="12054" max="12054" width="14" style="162" bestFit="1" customWidth="1"/>
    <col min="12055" max="12056" width="11.7109375" style="162" bestFit="1" customWidth="1"/>
    <col min="12057" max="12057" width="11.42578125" style="162" bestFit="1" customWidth="1"/>
    <col min="12058" max="12058" width="1.85546875" style="162" customWidth="1"/>
    <col min="12059" max="12059" width="11.140625" style="162" bestFit="1" customWidth="1"/>
    <col min="12060" max="12061" width="9.42578125" style="162" bestFit="1" customWidth="1"/>
    <col min="12062" max="12288" width="8.85546875" style="162"/>
    <col min="12289" max="12289" width="21" style="162" bestFit="1" customWidth="1"/>
    <col min="12290" max="12290" width="4" style="162" bestFit="1" customWidth="1"/>
    <col min="12291" max="12291" width="4.85546875" style="162" customWidth="1"/>
    <col min="12292" max="12292" width="4.7109375" style="162" customWidth="1"/>
    <col min="12293" max="12293" width="8.140625" style="162" bestFit="1" customWidth="1"/>
    <col min="12294" max="12294" width="6.28515625" style="162" bestFit="1" customWidth="1"/>
    <col min="12295" max="12295" width="4.85546875" style="162" bestFit="1" customWidth="1"/>
    <col min="12296" max="12296" width="9.28515625" style="162" customWidth="1"/>
    <col min="12297" max="12298" width="7" style="162" bestFit="1" customWidth="1"/>
    <col min="12299" max="12299" width="8.140625" style="162" bestFit="1" customWidth="1"/>
    <col min="12300" max="12300" width="7.28515625" style="162" bestFit="1" customWidth="1"/>
    <col min="12301" max="12301" width="5.7109375" style="162" bestFit="1" customWidth="1"/>
    <col min="12302" max="12303" width="7.28515625" style="162" bestFit="1" customWidth="1"/>
    <col min="12304" max="12304" width="0" style="162" hidden="1" customWidth="1"/>
    <col min="12305" max="12305" width="17.42578125" style="162" bestFit="1" customWidth="1"/>
    <col min="12306" max="12306" width="7" style="162" bestFit="1" customWidth="1"/>
    <col min="12307" max="12307" width="6.140625" style="162" bestFit="1" customWidth="1"/>
    <col min="12308" max="12308" width="16.140625" style="162" bestFit="1" customWidth="1"/>
    <col min="12309" max="12309" width="6.42578125" style="162" bestFit="1" customWidth="1"/>
    <col min="12310" max="12310" width="14" style="162" bestFit="1" customWidth="1"/>
    <col min="12311" max="12312" width="11.7109375" style="162" bestFit="1" customWidth="1"/>
    <col min="12313" max="12313" width="11.42578125" style="162" bestFit="1" customWidth="1"/>
    <col min="12314" max="12314" width="1.85546875" style="162" customWidth="1"/>
    <col min="12315" max="12315" width="11.140625" style="162" bestFit="1" customWidth="1"/>
    <col min="12316" max="12317" width="9.42578125" style="162" bestFit="1" customWidth="1"/>
    <col min="12318" max="12544" width="8.85546875" style="162"/>
    <col min="12545" max="12545" width="21" style="162" bestFit="1" customWidth="1"/>
    <col min="12546" max="12546" width="4" style="162" bestFit="1" customWidth="1"/>
    <col min="12547" max="12547" width="4.85546875" style="162" customWidth="1"/>
    <col min="12548" max="12548" width="4.7109375" style="162" customWidth="1"/>
    <col min="12549" max="12549" width="8.140625" style="162" bestFit="1" customWidth="1"/>
    <col min="12550" max="12550" width="6.28515625" style="162" bestFit="1" customWidth="1"/>
    <col min="12551" max="12551" width="4.85546875" style="162" bestFit="1" customWidth="1"/>
    <col min="12552" max="12552" width="9.28515625" style="162" customWidth="1"/>
    <col min="12553" max="12554" width="7" style="162" bestFit="1" customWidth="1"/>
    <col min="12555" max="12555" width="8.140625" style="162" bestFit="1" customWidth="1"/>
    <col min="12556" max="12556" width="7.28515625" style="162" bestFit="1" customWidth="1"/>
    <col min="12557" max="12557" width="5.7109375" style="162" bestFit="1" customWidth="1"/>
    <col min="12558" max="12559" width="7.28515625" style="162" bestFit="1" customWidth="1"/>
    <col min="12560" max="12560" width="0" style="162" hidden="1" customWidth="1"/>
    <col min="12561" max="12561" width="17.42578125" style="162" bestFit="1" customWidth="1"/>
    <col min="12562" max="12562" width="7" style="162" bestFit="1" customWidth="1"/>
    <col min="12563" max="12563" width="6.140625" style="162" bestFit="1" customWidth="1"/>
    <col min="12564" max="12564" width="16.140625" style="162" bestFit="1" customWidth="1"/>
    <col min="12565" max="12565" width="6.42578125" style="162" bestFit="1" customWidth="1"/>
    <col min="12566" max="12566" width="14" style="162" bestFit="1" customWidth="1"/>
    <col min="12567" max="12568" width="11.7109375" style="162" bestFit="1" customWidth="1"/>
    <col min="12569" max="12569" width="11.42578125" style="162" bestFit="1" customWidth="1"/>
    <col min="12570" max="12570" width="1.85546875" style="162" customWidth="1"/>
    <col min="12571" max="12571" width="11.140625" style="162" bestFit="1" customWidth="1"/>
    <col min="12572" max="12573" width="9.42578125" style="162" bestFit="1" customWidth="1"/>
    <col min="12574" max="12800" width="8.85546875" style="162"/>
    <col min="12801" max="12801" width="21" style="162" bestFit="1" customWidth="1"/>
    <col min="12802" max="12802" width="4" style="162" bestFit="1" customWidth="1"/>
    <col min="12803" max="12803" width="4.85546875" style="162" customWidth="1"/>
    <col min="12804" max="12804" width="4.7109375" style="162" customWidth="1"/>
    <col min="12805" max="12805" width="8.140625" style="162" bestFit="1" customWidth="1"/>
    <col min="12806" max="12806" width="6.28515625" style="162" bestFit="1" customWidth="1"/>
    <col min="12807" max="12807" width="4.85546875" style="162" bestFit="1" customWidth="1"/>
    <col min="12808" max="12808" width="9.28515625" style="162" customWidth="1"/>
    <col min="12809" max="12810" width="7" style="162" bestFit="1" customWidth="1"/>
    <col min="12811" max="12811" width="8.140625" style="162" bestFit="1" customWidth="1"/>
    <col min="12812" max="12812" width="7.28515625" style="162" bestFit="1" customWidth="1"/>
    <col min="12813" max="12813" width="5.7109375" style="162" bestFit="1" customWidth="1"/>
    <col min="12814" max="12815" width="7.28515625" style="162" bestFit="1" customWidth="1"/>
    <col min="12816" max="12816" width="0" style="162" hidden="1" customWidth="1"/>
    <col min="12817" max="12817" width="17.42578125" style="162" bestFit="1" customWidth="1"/>
    <col min="12818" max="12818" width="7" style="162" bestFit="1" customWidth="1"/>
    <col min="12819" max="12819" width="6.140625" style="162" bestFit="1" customWidth="1"/>
    <col min="12820" max="12820" width="16.140625" style="162" bestFit="1" customWidth="1"/>
    <col min="12821" max="12821" width="6.42578125" style="162" bestFit="1" customWidth="1"/>
    <col min="12822" max="12822" width="14" style="162" bestFit="1" customWidth="1"/>
    <col min="12823" max="12824" width="11.7109375" style="162" bestFit="1" customWidth="1"/>
    <col min="12825" max="12825" width="11.42578125" style="162" bestFit="1" customWidth="1"/>
    <col min="12826" max="12826" width="1.85546875" style="162" customWidth="1"/>
    <col min="12827" max="12827" width="11.140625" style="162" bestFit="1" customWidth="1"/>
    <col min="12828" max="12829" width="9.42578125" style="162" bestFit="1" customWidth="1"/>
    <col min="12830" max="13056" width="8.85546875" style="162"/>
    <col min="13057" max="13057" width="21" style="162" bestFit="1" customWidth="1"/>
    <col min="13058" max="13058" width="4" style="162" bestFit="1" customWidth="1"/>
    <col min="13059" max="13059" width="4.85546875" style="162" customWidth="1"/>
    <col min="13060" max="13060" width="4.7109375" style="162" customWidth="1"/>
    <col min="13061" max="13061" width="8.140625" style="162" bestFit="1" customWidth="1"/>
    <col min="13062" max="13062" width="6.28515625" style="162" bestFit="1" customWidth="1"/>
    <col min="13063" max="13063" width="4.85546875" style="162" bestFit="1" customWidth="1"/>
    <col min="13064" max="13064" width="9.28515625" style="162" customWidth="1"/>
    <col min="13065" max="13066" width="7" style="162" bestFit="1" customWidth="1"/>
    <col min="13067" max="13067" width="8.140625" style="162" bestFit="1" customWidth="1"/>
    <col min="13068" max="13068" width="7.28515625" style="162" bestFit="1" customWidth="1"/>
    <col min="13069" max="13069" width="5.7109375" style="162" bestFit="1" customWidth="1"/>
    <col min="13070" max="13071" width="7.28515625" style="162" bestFit="1" customWidth="1"/>
    <col min="13072" max="13072" width="0" style="162" hidden="1" customWidth="1"/>
    <col min="13073" max="13073" width="17.42578125" style="162" bestFit="1" customWidth="1"/>
    <col min="13074" max="13074" width="7" style="162" bestFit="1" customWidth="1"/>
    <col min="13075" max="13075" width="6.140625" style="162" bestFit="1" customWidth="1"/>
    <col min="13076" max="13076" width="16.140625" style="162" bestFit="1" customWidth="1"/>
    <col min="13077" max="13077" width="6.42578125" style="162" bestFit="1" customWidth="1"/>
    <col min="13078" max="13078" width="14" style="162" bestFit="1" customWidth="1"/>
    <col min="13079" max="13080" width="11.7109375" style="162" bestFit="1" customWidth="1"/>
    <col min="13081" max="13081" width="11.42578125" style="162" bestFit="1" customWidth="1"/>
    <col min="13082" max="13082" width="1.85546875" style="162" customWidth="1"/>
    <col min="13083" max="13083" width="11.140625" style="162" bestFit="1" customWidth="1"/>
    <col min="13084" max="13085" width="9.42578125" style="162" bestFit="1" customWidth="1"/>
    <col min="13086" max="13312" width="8.85546875" style="162"/>
    <col min="13313" max="13313" width="21" style="162" bestFit="1" customWidth="1"/>
    <col min="13314" max="13314" width="4" style="162" bestFit="1" customWidth="1"/>
    <col min="13315" max="13315" width="4.85546875" style="162" customWidth="1"/>
    <col min="13316" max="13316" width="4.7109375" style="162" customWidth="1"/>
    <col min="13317" max="13317" width="8.140625" style="162" bestFit="1" customWidth="1"/>
    <col min="13318" max="13318" width="6.28515625" style="162" bestFit="1" customWidth="1"/>
    <col min="13319" max="13319" width="4.85546875" style="162" bestFit="1" customWidth="1"/>
    <col min="13320" max="13320" width="9.28515625" style="162" customWidth="1"/>
    <col min="13321" max="13322" width="7" style="162" bestFit="1" customWidth="1"/>
    <col min="13323" max="13323" width="8.140625" style="162" bestFit="1" customWidth="1"/>
    <col min="13324" max="13324" width="7.28515625" style="162" bestFit="1" customWidth="1"/>
    <col min="13325" max="13325" width="5.7109375" style="162" bestFit="1" customWidth="1"/>
    <col min="13326" max="13327" width="7.28515625" style="162" bestFit="1" customWidth="1"/>
    <col min="13328" max="13328" width="0" style="162" hidden="1" customWidth="1"/>
    <col min="13329" max="13329" width="17.42578125" style="162" bestFit="1" customWidth="1"/>
    <col min="13330" max="13330" width="7" style="162" bestFit="1" customWidth="1"/>
    <col min="13331" max="13331" width="6.140625" style="162" bestFit="1" customWidth="1"/>
    <col min="13332" max="13332" width="16.140625" style="162" bestFit="1" customWidth="1"/>
    <col min="13333" max="13333" width="6.42578125" style="162" bestFit="1" customWidth="1"/>
    <col min="13334" max="13334" width="14" style="162" bestFit="1" customWidth="1"/>
    <col min="13335" max="13336" width="11.7109375" style="162" bestFit="1" customWidth="1"/>
    <col min="13337" max="13337" width="11.42578125" style="162" bestFit="1" customWidth="1"/>
    <col min="13338" max="13338" width="1.85546875" style="162" customWidth="1"/>
    <col min="13339" max="13339" width="11.140625" style="162" bestFit="1" customWidth="1"/>
    <col min="13340" max="13341" width="9.42578125" style="162" bestFit="1" customWidth="1"/>
    <col min="13342" max="13568" width="8.85546875" style="162"/>
    <col min="13569" max="13569" width="21" style="162" bestFit="1" customWidth="1"/>
    <col min="13570" max="13570" width="4" style="162" bestFit="1" customWidth="1"/>
    <col min="13571" max="13571" width="4.85546875" style="162" customWidth="1"/>
    <col min="13572" max="13572" width="4.7109375" style="162" customWidth="1"/>
    <col min="13573" max="13573" width="8.140625" style="162" bestFit="1" customWidth="1"/>
    <col min="13574" max="13574" width="6.28515625" style="162" bestFit="1" customWidth="1"/>
    <col min="13575" max="13575" width="4.85546875" style="162" bestFit="1" customWidth="1"/>
    <col min="13576" max="13576" width="9.28515625" style="162" customWidth="1"/>
    <col min="13577" max="13578" width="7" style="162" bestFit="1" customWidth="1"/>
    <col min="13579" max="13579" width="8.140625" style="162" bestFit="1" customWidth="1"/>
    <col min="13580" max="13580" width="7.28515625" style="162" bestFit="1" customWidth="1"/>
    <col min="13581" max="13581" width="5.7109375" style="162" bestFit="1" customWidth="1"/>
    <col min="13582" max="13583" width="7.28515625" style="162" bestFit="1" customWidth="1"/>
    <col min="13584" max="13584" width="0" style="162" hidden="1" customWidth="1"/>
    <col min="13585" max="13585" width="17.42578125" style="162" bestFit="1" customWidth="1"/>
    <col min="13586" max="13586" width="7" style="162" bestFit="1" customWidth="1"/>
    <col min="13587" max="13587" width="6.140625" style="162" bestFit="1" customWidth="1"/>
    <col min="13588" max="13588" width="16.140625" style="162" bestFit="1" customWidth="1"/>
    <col min="13589" max="13589" width="6.42578125" style="162" bestFit="1" customWidth="1"/>
    <col min="13590" max="13590" width="14" style="162" bestFit="1" customWidth="1"/>
    <col min="13591" max="13592" width="11.7109375" style="162" bestFit="1" customWidth="1"/>
    <col min="13593" max="13593" width="11.42578125" style="162" bestFit="1" customWidth="1"/>
    <col min="13594" max="13594" width="1.85546875" style="162" customWidth="1"/>
    <col min="13595" max="13595" width="11.140625" style="162" bestFit="1" customWidth="1"/>
    <col min="13596" max="13597" width="9.42578125" style="162" bestFit="1" customWidth="1"/>
    <col min="13598" max="13824" width="8.85546875" style="162"/>
    <col min="13825" max="13825" width="21" style="162" bestFit="1" customWidth="1"/>
    <col min="13826" max="13826" width="4" style="162" bestFit="1" customWidth="1"/>
    <col min="13827" max="13827" width="4.85546875" style="162" customWidth="1"/>
    <col min="13828" max="13828" width="4.7109375" style="162" customWidth="1"/>
    <col min="13829" max="13829" width="8.140625" style="162" bestFit="1" customWidth="1"/>
    <col min="13830" max="13830" width="6.28515625" style="162" bestFit="1" customWidth="1"/>
    <col min="13831" max="13831" width="4.85546875" style="162" bestFit="1" customWidth="1"/>
    <col min="13832" max="13832" width="9.28515625" style="162" customWidth="1"/>
    <col min="13833" max="13834" width="7" style="162" bestFit="1" customWidth="1"/>
    <col min="13835" max="13835" width="8.140625" style="162" bestFit="1" customWidth="1"/>
    <col min="13836" max="13836" width="7.28515625" style="162" bestFit="1" customWidth="1"/>
    <col min="13837" max="13837" width="5.7109375" style="162" bestFit="1" customWidth="1"/>
    <col min="13838" max="13839" width="7.28515625" style="162" bestFit="1" customWidth="1"/>
    <col min="13840" max="13840" width="0" style="162" hidden="1" customWidth="1"/>
    <col min="13841" max="13841" width="17.42578125" style="162" bestFit="1" customWidth="1"/>
    <col min="13842" max="13842" width="7" style="162" bestFit="1" customWidth="1"/>
    <col min="13843" max="13843" width="6.140625" style="162" bestFit="1" customWidth="1"/>
    <col min="13844" max="13844" width="16.140625" style="162" bestFit="1" customWidth="1"/>
    <col min="13845" max="13845" width="6.42578125" style="162" bestFit="1" customWidth="1"/>
    <col min="13846" max="13846" width="14" style="162" bestFit="1" customWidth="1"/>
    <col min="13847" max="13848" width="11.7109375" style="162" bestFit="1" customWidth="1"/>
    <col min="13849" max="13849" width="11.42578125" style="162" bestFit="1" customWidth="1"/>
    <col min="13850" max="13850" width="1.85546875" style="162" customWidth="1"/>
    <col min="13851" max="13851" width="11.140625" style="162" bestFit="1" customWidth="1"/>
    <col min="13852" max="13853" width="9.42578125" style="162" bestFit="1" customWidth="1"/>
    <col min="13854" max="14080" width="8.85546875" style="162"/>
    <col min="14081" max="14081" width="21" style="162" bestFit="1" customWidth="1"/>
    <col min="14082" max="14082" width="4" style="162" bestFit="1" customWidth="1"/>
    <col min="14083" max="14083" width="4.85546875" style="162" customWidth="1"/>
    <col min="14084" max="14084" width="4.7109375" style="162" customWidth="1"/>
    <col min="14085" max="14085" width="8.140625" style="162" bestFit="1" customWidth="1"/>
    <col min="14086" max="14086" width="6.28515625" style="162" bestFit="1" customWidth="1"/>
    <col min="14087" max="14087" width="4.85546875" style="162" bestFit="1" customWidth="1"/>
    <col min="14088" max="14088" width="9.28515625" style="162" customWidth="1"/>
    <col min="14089" max="14090" width="7" style="162" bestFit="1" customWidth="1"/>
    <col min="14091" max="14091" width="8.140625" style="162" bestFit="1" customWidth="1"/>
    <col min="14092" max="14092" width="7.28515625" style="162" bestFit="1" customWidth="1"/>
    <col min="14093" max="14093" width="5.7109375" style="162" bestFit="1" customWidth="1"/>
    <col min="14094" max="14095" width="7.28515625" style="162" bestFit="1" customWidth="1"/>
    <col min="14096" max="14096" width="0" style="162" hidden="1" customWidth="1"/>
    <col min="14097" max="14097" width="17.42578125" style="162" bestFit="1" customWidth="1"/>
    <col min="14098" max="14098" width="7" style="162" bestFit="1" customWidth="1"/>
    <col min="14099" max="14099" width="6.140625" style="162" bestFit="1" customWidth="1"/>
    <col min="14100" max="14100" width="16.140625" style="162" bestFit="1" customWidth="1"/>
    <col min="14101" max="14101" width="6.42578125" style="162" bestFit="1" customWidth="1"/>
    <col min="14102" max="14102" width="14" style="162" bestFit="1" customWidth="1"/>
    <col min="14103" max="14104" width="11.7109375" style="162" bestFit="1" customWidth="1"/>
    <col min="14105" max="14105" width="11.42578125" style="162" bestFit="1" customWidth="1"/>
    <col min="14106" max="14106" width="1.85546875" style="162" customWidth="1"/>
    <col min="14107" max="14107" width="11.140625" style="162" bestFit="1" customWidth="1"/>
    <col min="14108" max="14109" width="9.42578125" style="162" bestFit="1" customWidth="1"/>
    <col min="14110" max="14336" width="8.85546875" style="162"/>
    <col min="14337" max="14337" width="21" style="162" bestFit="1" customWidth="1"/>
    <col min="14338" max="14338" width="4" style="162" bestFit="1" customWidth="1"/>
    <col min="14339" max="14339" width="4.85546875" style="162" customWidth="1"/>
    <col min="14340" max="14340" width="4.7109375" style="162" customWidth="1"/>
    <col min="14341" max="14341" width="8.140625" style="162" bestFit="1" customWidth="1"/>
    <col min="14342" max="14342" width="6.28515625" style="162" bestFit="1" customWidth="1"/>
    <col min="14343" max="14343" width="4.85546875" style="162" bestFit="1" customWidth="1"/>
    <col min="14344" max="14344" width="9.28515625" style="162" customWidth="1"/>
    <col min="14345" max="14346" width="7" style="162" bestFit="1" customWidth="1"/>
    <col min="14347" max="14347" width="8.140625" style="162" bestFit="1" customWidth="1"/>
    <col min="14348" max="14348" width="7.28515625" style="162" bestFit="1" customWidth="1"/>
    <col min="14349" max="14349" width="5.7109375" style="162" bestFit="1" customWidth="1"/>
    <col min="14350" max="14351" width="7.28515625" style="162" bestFit="1" customWidth="1"/>
    <col min="14352" max="14352" width="0" style="162" hidden="1" customWidth="1"/>
    <col min="14353" max="14353" width="17.42578125" style="162" bestFit="1" customWidth="1"/>
    <col min="14354" max="14354" width="7" style="162" bestFit="1" customWidth="1"/>
    <col min="14355" max="14355" width="6.140625" style="162" bestFit="1" customWidth="1"/>
    <col min="14356" max="14356" width="16.140625" style="162" bestFit="1" customWidth="1"/>
    <col min="14357" max="14357" width="6.42578125" style="162" bestFit="1" customWidth="1"/>
    <col min="14358" max="14358" width="14" style="162" bestFit="1" customWidth="1"/>
    <col min="14359" max="14360" width="11.7109375" style="162" bestFit="1" customWidth="1"/>
    <col min="14361" max="14361" width="11.42578125" style="162" bestFit="1" customWidth="1"/>
    <col min="14362" max="14362" width="1.85546875" style="162" customWidth="1"/>
    <col min="14363" max="14363" width="11.140625" style="162" bestFit="1" customWidth="1"/>
    <col min="14364" max="14365" width="9.42578125" style="162" bestFit="1" customWidth="1"/>
    <col min="14366" max="14592" width="8.85546875" style="162"/>
    <col min="14593" max="14593" width="21" style="162" bestFit="1" customWidth="1"/>
    <col min="14594" max="14594" width="4" style="162" bestFit="1" customWidth="1"/>
    <col min="14595" max="14595" width="4.85546875" style="162" customWidth="1"/>
    <col min="14596" max="14596" width="4.7109375" style="162" customWidth="1"/>
    <col min="14597" max="14597" width="8.140625" style="162" bestFit="1" customWidth="1"/>
    <col min="14598" max="14598" width="6.28515625" style="162" bestFit="1" customWidth="1"/>
    <col min="14599" max="14599" width="4.85546875" style="162" bestFit="1" customWidth="1"/>
    <col min="14600" max="14600" width="9.28515625" style="162" customWidth="1"/>
    <col min="14601" max="14602" width="7" style="162" bestFit="1" customWidth="1"/>
    <col min="14603" max="14603" width="8.140625" style="162" bestFit="1" customWidth="1"/>
    <col min="14604" max="14604" width="7.28515625" style="162" bestFit="1" customWidth="1"/>
    <col min="14605" max="14605" width="5.7109375" style="162" bestFit="1" customWidth="1"/>
    <col min="14606" max="14607" width="7.28515625" style="162" bestFit="1" customWidth="1"/>
    <col min="14608" max="14608" width="0" style="162" hidden="1" customWidth="1"/>
    <col min="14609" max="14609" width="17.42578125" style="162" bestFit="1" customWidth="1"/>
    <col min="14610" max="14610" width="7" style="162" bestFit="1" customWidth="1"/>
    <col min="14611" max="14611" width="6.140625" style="162" bestFit="1" customWidth="1"/>
    <col min="14612" max="14612" width="16.140625" style="162" bestFit="1" customWidth="1"/>
    <col min="14613" max="14613" width="6.42578125" style="162" bestFit="1" customWidth="1"/>
    <col min="14614" max="14614" width="14" style="162" bestFit="1" customWidth="1"/>
    <col min="14615" max="14616" width="11.7109375" style="162" bestFit="1" customWidth="1"/>
    <col min="14617" max="14617" width="11.42578125" style="162" bestFit="1" customWidth="1"/>
    <col min="14618" max="14618" width="1.85546875" style="162" customWidth="1"/>
    <col min="14619" max="14619" width="11.140625" style="162" bestFit="1" customWidth="1"/>
    <col min="14620" max="14621" width="9.42578125" style="162" bestFit="1" customWidth="1"/>
    <col min="14622" max="14848" width="8.85546875" style="162"/>
    <col min="14849" max="14849" width="21" style="162" bestFit="1" customWidth="1"/>
    <col min="14850" max="14850" width="4" style="162" bestFit="1" customWidth="1"/>
    <col min="14851" max="14851" width="4.85546875" style="162" customWidth="1"/>
    <col min="14852" max="14852" width="4.7109375" style="162" customWidth="1"/>
    <col min="14853" max="14853" width="8.140625" style="162" bestFit="1" customWidth="1"/>
    <col min="14854" max="14854" width="6.28515625" style="162" bestFit="1" customWidth="1"/>
    <col min="14855" max="14855" width="4.85546875" style="162" bestFit="1" customWidth="1"/>
    <col min="14856" max="14856" width="9.28515625" style="162" customWidth="1"/>
    <col min="14857" max="14858" width="7" style="162" bestFit="1" customWidth="1"/>
    <col min="14859" max="14859" width="8.140625" style="162" bestFit="1" customWidth="1"/>
    <col min="14860" max="14860" width="7.28515625" style="162" bestFit="1" customWidth="1"/>
    <col min="14861" max="14861" width="5.7109375" style="162" bestFit="1" customWidth="1"/>
    <col min="14862" max="14863" width="7.28515625" style="162" bestFit="1" customWidth="1"/>
    <col min="14864" max="14864" width="0" style="162" hidden="1" customWidth="1"/>
    <col min="14865" max="14865" width="17.42578125" style="162" bestFit="1" customWidth="1"/>
    <col min="14866" max="14866" width="7" style="162" bestFit="1" customWidth="1"/>
    <col min="14867" max="14867" width="6.140625" style="162" bestFit="1" customWidth="1"/>
    <col min="14868" max="14868" width="16.140625" style="162" bestFit="1" customWidth="1"/>
    <col min="14869" max="14869" width="6.42578125" style="162" bestFit="1" customWidth="1"/>
    <col min="14870" max="14870" width="14" style="162" bestFit="1" customWidth="1"/>
    <col min="14871" max="14872" width="11.7109375" style="162" bestFit="1" customWidth="1"/>
    <col min="14873" max="14873" width="11.42578125" style="162" bestFit="1" customWidth="1"/>
    <col min="14874" max="14874" width="1.85546875" style="162" customWidth="1"/>
    <col min="14875" max="14875" width="11.140625" style="162" bestFit="1" customWidth="1"/>
    <col min="14876" max="14877" width="9.42578125" style="162" bestFit="1" customWidth="1"/>
    <col min="14878" max="15104" width="8.85546875" style="162"/>
    <col min="15105" max="15105" width="21" style="162" bestFit="1" customWidth="1"/>
    <col min="15106" max="15106" width="4" style="162" bestFit="1" customWidth="1"/>
    <col min="15107" max="15107" width="4.85546875" style="162" customWidth="1"/>
    <col min="15108" max="15108" width="4.7109375" style="162" customWidth="1"/>
    <col min="15109" max="15109" width="8.140625" style="162" bestFit="1" customWidth="1"/>
    <col min="15110" max="15110" width="6.28515625" style="162" bestFit="1" customWidth="1"/>
    <col min="15111" max="15111" width="4.85546875" style="162" bestFit="1" customWidth="1"/>
    <col min="15112" max="15112" width="9.28515625" style="162" customWidth="1"/>
    <col min="15113" max="15114" width="7" style="162" bestFit="1" customWidth="1"/>
    <col min="15115" max="15115" width="8.140625" style="162" bestFit="1" customWidth="1"/>
    <col min="15116" max="15116" width="7.28515625" style="162" bestFit="1" customWidth="1"/>
    <col min="15117" max="15117" width="5.7109375" style="162" bestFit="1" customWidth="1"/>
    <col min="15118" max="15119" width="7.28515625" style="162" bestFit="1" customWidth="1"/>
    <col min="15120" max="15120" width="0" style="162" hidden="1" customWidth="1"/>
    <col min="15121" max="15121" width="17.42578125" style="162" bestFit="1" customWidth="1"/>
    <col min="15122" max="15122" width="7" style="162" bestFit="1" customWidth="1"/>
    <col min="15123" max="15123" width="6.140625" style="162" bestFit="1" customWidth="1"/>
    <col min="15124" max="15124" width="16.140625" style="162" bestFit="1" customWidth="1"/>
    <col min="15125" max="15125" width="6.42578125" style="162" bestFit="1" customWidth="1"/>
    <col min="15126" max="15126" width="14" style="162" bestFit="1" customWidth="1"/>
    <col min="15127" max="15128" width="11.7109375" style="162" bestFit="1" customWidth="1"/>
    <col min="15129" max="15129" width="11.42578125" style="162" bestFit="1" customWidth="1"/>
    <col min="15130" max="15130" width="1.85546875" style="162" customWidth="1"/>
    <col min="15131" max="15131" width="11.140625" style="162" bestFit="1" customWidth="1"/>
    <col min="15132" max="15133" width="9.42578125" style="162" bestFit="1" customWidth="1"/>
    <col min="15134" max="15360" width="8.85546875" style="162"/>
    <col min="15361" max="15361" width="21" style="162" bestFit="1" customWidth="1"/>
    <col min="15362" max="15362" width="4" style="162" bestFit="1" customWidth="1"/>
    <col min="15363" max="15363" width="4.85546875" style="162" customWidth="1"/>
    <col min="15364" max="15364" width="4.7109375" style="162" customWidth="1"/>
    <col min="15365" max="15365" width="8.140625" style="162" bestFit="1" customWidth="1"/>
    <col min="15366" max="15366" width="6.28515625" style="162" bestFit="1" customWidth="1"/>
    <col min="15367" max="15367" width="4.85546875" style="162" bestFit="1" customWidth="1"/>
    <col min="15368" max="15368" width="9.28515625" style="162" customWidth="1"/>
    <col min="15369" max="15370" width="7" style="162" bestFit="1" customWidth="1"/>
    <col min="15371" max="15371" width="8.140625" style="162" bestFit="1" customWidth="1"/>
    <col min="15372" max="15372" width="7.28515625" style="162" bestFit="1" customWidth="1"/>
    <col min="15373" max="15373" width="5.7109375" style="162" bestFit="1" customWidth="1"/>
    <col min="15374" max="15375" width="7.28515625" style="162" bestFit="1" customWidth="1"/>
    <col min="15376" max="15376" width="0" style="162" hidden="1" customWidth="1"/>
    <col min="15377" max="15377" width="17.42578125" style="162" bestFit="1" customWidth="1"/>
    <col min="15378" max="15378" width="7" style="162" bestFit="1" customWidth="1"/>
    <col min="15379" max="15379" width="6.140625" style="162" bestFit="1" customWidth="1"/>
    <col min="15380" max="15380" width="16.140625" style="162" bestFit="1" customWidth="1"/>
    <col min="15381" max="15381" width="6.42578125" style="162" bestFit="1" customWidth="1"/>
    <col min="15382" max="15382" width="14" style="162" bestFit="1" customWidth="1"/>
    <col min="15383" max="15384" width="11.7109375" style="162" bestFit="1" customWidth="1"/>
    <col min="15385" max="15385" width="11.42578125" style="162" bestFit="1" customWidth="1"/>
    <col min="15386" max="15386" width="1.85546875" style="162" customWidth="1"/>
    <col min="15387" max="15387" width="11.140625" style="162" bestFit="1" customWidth="1"/>
    <col min="15388" max="15389" width="9.42578125" style="162" bestFit="1" customWidth="1"/>
    <col min="15390" max="15616" width="8.85546875" style="162"/>
    <col min="15617" max="15617" width="21" style="162" bestFit="1" customWidth="1"/>
    <col min="15618" max="15618" width="4" style="162" bestFit="1" customWidth="1"/>
    <col min="15619" max="15619" width="4.85546875" style="162" customWidth="1"/>
    <col min="15620" max="15620" width="4.7109375" style="162" customWidth="1"/>
    <col min="15621" max="15621" width="8.140625" style="162" bestFit="1" customWidth="1"/>
    <col min="15622" max="15622" width="6.28515625" style="162" bestFit="1" customWidth="1"/>
    <col min="15623" max="15623" width="4.85546875" style="162" bestFit="1" customWidth="1"/>
    <col min="15624" max="15624" width="9.28515625" style="162" customWidth="1"/>
    <col min="15625" max="15626" width="7" style="162" bestFit="1" customWidth="1"/>
    <col min="15627" max="15627" width="8.140625" style="162" bestFit="1" customWidth="1"/>
    <col min="15628" max="15628" width="7.28515625" style="162" bestFit="1" customWidth="1"/>
    <col min="15629" max="15629" width="5.7109375" style="162" bestFit="1" customWidth="1"/>
    <col min="15630" max="15631" width="7.28515625" style="162" bestFit="1" customWidth="1"/>
    <col min="15632" max="15632" width="0" style="162" hidden="1" customWidth="1"/>
    <col min="15633" max="15633" width="17.42578125" style="162" bestFit="1" customWidth="1"/>
    <col min="15634" max="15634" width="7" style="162" bestFit="1" customWidth="1"/>
    <col min="15635" max="15635" width="6.140625" style="162" bestFit="1" customWidth="1"/>
    <col min="15636" max="15636" width="16.140625" style="162" bestFit="1" customWidth="1"/>
    <col min="15637" max="15637" width="6.42578125" style="162" bestFit="1" customWidth="1"/>
    <col min="15638" max="15638" width="14" style="162" bestFit="1" customWidth="1"/>
    <col min="15639" max="15640" width="11.7109375" style="162" bestFit="1" customWidth="1"/>
    <col min="15641" max="15641" width="11.42578125" style="162" bestFit="1" customWidth="1"/>
    <col min="15642" max="15642" width="1.85546875" style="162" customWidth="1"/>
    <col min="15643" max="15643" width="11.140625" style="162" bestFit="1" customWidth="1"/>
    <col min="15644" max="15645" width="9.42578125" style="162" bestFit="1" customWidth="1"/>
    <col min="15646" max="15872" width="8.85546875" style="162"/>
    <col min="15873" max="15873" width="21" style="162" bestFit="1" customWidth="1"/>
    <col min="15874" max="15874" width="4" style="162" bestFit="1" customWidth="1"/>
    <col min="15875" max="15875" width="4.85546875" style="162" customWidth="1"/>
    <col min="15876" max="15876" width="4.7109375" style="162" customWidth="1"/>
    <col min="15877" max="15877" width="8.140625" style="162" bestFit="1" customWidth="1"/>
    <col min="15878" max="15878" width="6.28515625" style="162" bestFit="1" customWidth="1"/>
    <col min="15879" max="15879" width="4.85546875" style="162" bestFit="1" customWidth="1"/>
    <col min="15880" max="15880" width="9.28515625" style="162" customWidth="1"/>
    <col min="15881" max="15882" width="7" style="162" bestFit="1" customWidth="1"/>
    <col min="15883" max="15883" width="8.140625" style="162" bestFit="1" customWidth="1"/>
    <col min="15884" max="15884" width="7.28515625" style="162" bestFit="1" customWidth="1"/>
    <col min="15885" max="15885" width="5.7109375" style="162" bestFit="1" customWidth="1"/>
    <col min="15886" max="15887" width="7.28515625" style="162" bestFit="1" customWidth="1"/>
    <col min="15888" max="15888" width="0" style="162" hidden="1" customWidth="1"/>
    <col min="15889" max="15889" width="17.42578125" style="162" bestFit="1" customWidth="1"/>
    <col min="15890" max="15890" width="7" style="162" bestFit="1" customWidth="1"/>
    <col min="15891" max="15891" width="6.140625" style="162" bestFit="1" customWidth="1"/>
    <col min="15892" max="15892" width="16.140625" style="162" bestFit="1" customWidth="1"/>
    <col min="15893" max="15893" width="6.42578125" style="162" bestFit="1" customWidth="1"/>
    <col min="15894" max="15894" width="14" style="162" bestFit="1" customWidth="1"/>
    <col min="15895" max="15896" width="11.7109375" style="162" bestFit="1" customWidth="1"/>
    <col min="15897" max="15897" width="11.42578125" style="162" bestFit="1" customWidth="1"/>
    <col min="15898" max="15898" width="1.85546875" style="162" customWidth="1"/>
    <col min="15899" max="15899" width="11.140625" style="162" bestFit="1" customWidth="1"/>
    <col min="15900" max="15901" width="9.42578125" style="162" bestFit="1" customWidth="1"/>
    <col min="15902" max="16128" width="8.85546875" style="162"/>
    <col min="16129" max="16129" width="21" style="162" bestFit="1" customWidth="1"/>
    <col min="16130" max="16130" width="4" style="162" bestFit="1" customWidth="1"/>
    <col min="16131" max="16131" width="4.85546875" style="162" customWidth="1"/>
    <col min="16132" max="16132" width="4.7109375" style="162" customWidth="1"/>
    <col min="16133" max="16133" width="8.140625" style="162" bestFit="1" customWidth="1"/>
    <col min="16134" max="16134" width="6.28515625" style="162" bestFit="1" customWidth="1"/>
    <col min="16135" max="16135" width="4.85546875" style="162" bestFit="1" customWidth="1"/>
    <col min="16136" max="16136" width="9.28515625" style="162" customWidth="1"/>
    <col min="16137" max="16138" width="7" style="162" bestFit="1" customWidth="1"/>
    <col min="16139" max="16139" width="8.140625" style="162" bestFit="1" customWidth="1"/>
    <col min="16140" max="16140" width="7.28515625" style="162" bestFit="1" customWidth="1"/>
    <col min="16141" max="16141" width="5.7109375" style="162" bestFit="1" customWidth="1"/>
    <col min="16142" max="16143" width="7.28515625" style="162" bestFit="1" customWidth="1"/>
    <col min="16144" max="16144" width="0" style="162" hidden="1" customWidth="1"/>
    <col min="16145" max="16145" width="17.42578125" style="162" bestFit="1" customWidth="1"/>
    <col min="16146" max="16146" width="7" style="162" bestFit="1" customWidth="1"/>
    <col min="16147" max="16147" width="6.140625" style="162" bestFit="1" customWidth="1"/>
    <col min="16148" max="16148" width="16.140625" style="162" bestFit="1" customWidth="1"/>
    <col min="16149" max="16149" width="6.42578125" style="162" bestFit="1" customWidth="1"/>
    <col min="16150" max="16150" width="14" style="162" bestFit="1" customWidth="1"/>
    <col min="16151" max="16152" width="11.7109375" style="162" bestFit="1" customWidth="1"/>
    <col min="16153" max="16153" width="11.42578125" style="162" bestFit="1" customWidth="1"/>
    <col min="16154" max="16154" width="1.85546875" style="162" customWidth="1"/>
    <col min="16155" max="16155" width="11.140625" style="162" bestFit="1" customWidth="1"/>
    <col min="16156" max="16157" width="9.42578125" style="162" bestFit="1" customWidth="1"/>
    <col min="16158" max="16384" width="8.85546875" style="162"/>
  </cols>
  <sheetData>
    <row r="2" spans="1:27">
      <c r="A2" s="160" t="s">
        <v>262</v>
      </c>
      <c r="Q2" s="163"/>
      <c r="R2" s="163"/>
    </row>
    <row r="3" spans="1:27">
      <c r="O3" s="160" t="s">
        <v>166</v>
      </c>
      <c r="Q3" s="163"/>
      <c r="R3" s="163"/>
      <c r="S3" s="163"/>
    </row>
    <row r="4" spans="1:27">
      <c r="A4" s="160" t="s">
        <v>167</v>
      </c>
      <c r="J4" s="164"/>
      <c r="K4" s="164"/>
      <c r="N4" s="164" t="s">
        <v>59</v>
      </c>
      <c r="O4" s="165">
        <f>L5/(N8+N9+N10)</f>
        <v>0.67366105573045199</v>
      </c>
      <c r="Q4" s="166"/>
      <c r="R4" s="167"/>
      <c r="S4" s="168"/>
    </row>
    <row r="5" spans="1:27">
      <c r="A5" s="160" t="s">
        <v>168</v>
      </c>
      <c r="F5" s="169">
        <f>SUM(F20:F30)</f>
        <v>22470.416666666664</v>
      </c>
      <c r="J5" s="164"/>
      <c r="K5" s="164" t="s">
        <v>169</v>
      </c>
      <c r="L5" s="170">
        <f>[1]Disposal!R58+[1]Disposal!R63</f>
        <v>20674.381599334723</v>
      </c>
      <c r="M5" s="164"/>
      <c r="N5" s="164" t="s">
        <v>170</v>
      </c>
      <c r="O5" s="165">
        <f>+O4</f>
        <v>0.67366105573045199</v>
      </c>
      <c r="Q5" s="166"/>
      <c r="R5" s="167"/>
      <c r="S5" s="168"/>
    </row>
    <row r="6" spans="1:27">
      <c r="F6" s="169">
        <f>SUM(F5:F5)</f>
        <v>22470.416666666664</v>
      </c>
      <c r="J6" s="171"/>
      <c r="K6" s="164" t="s">
        <v>171</v>
      </c>
      <c r="L6" s="170">
        <f>[1]Disposal!R69</f>
        <v>3061</v>
      </c>
      <c r="M6" s="164"/>
      <c r="N6" s="164"/>
      <c r="O6" s="165"/>
    </row>
    <row r="7" spans="1:27">
      <c r="A7" s="172" t="s">
        <v>172</v>
      </c>
      <c r="B7" s="172"/>
      <c r="C7" s="172"/>
      <c r="D7" s="172"/>
      <c r="E7" s="172"/>
      <c r="F7" s="173">
        <f>SUM(F8:F12)</f>
        <v>26733.416666666664</v>
      </c>
      <c r="G7" s="173"/>
      <c r="H7" s="173"/>
      <c r="I7" s="173"/>
      <c r="J7" s="174">
        <f>SUM(J8:J12)</f>
        <v>804527.14863666671</v>
      </c>
      <c r="K7" s="173">
        <f>SUM(K8:K12)</f>
        <v>9654325.783640001</v>
      </c>
      <c r="L7" s="173">
        <f>SUM(L5:L6)</f>
        <v>23735.381599334723</v>
      </c>
      <c r="M7" s="175"/>
      <c r="N7" s="173">
        <f>SUM(N8:N12)</f>
        <v>30689.590000000004</v>
      </c>
      <c r="O7" s="173">
        <f>SUM(O8:O12)</f>
        <v>25126.452574614461</v>
      </c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6"/>
    </row>
    <row r="8" spans="1:27">
      <c r="A8" s="160" t="s">
        <v>173</v>
      </c>
      <c r="F8" s="164">
        <f>SUM(F20:F30)</f>
        <v>22470.416666666664</v>
      </c>
      <c r="G8" s="177"/>
      <c r="H8" s="164"/>
      <c r="I8" s="177"/>
      <c r="J8" s="178">
        <f>SUM(J20:J38)</f>
        <v>394964.97916666669</v>
      </c>
      <c r="K8" s="178">
        <f>SUM(K20:K38)</f>
        <v>4739579.75</v>
      </c>
      <c r="L8" s="164"/>
      <c r="N8" s="178">
        <f>SUM(N20:N30)</f>
        <v>17001.330000000002</v>
      </c>
      <c r="O8" s="178">
        <f>SUM(O20:O30)</f>
        <v>11453.133916621804</v>
      </c>
      <c r="AA8" s="179"/>
    </row>
    <row r="9" spans="1:27">
      <c r="A9" s="160" t="s">
        <v>174</v>
      </c>
      <c r="F9" s="164">
        <f>SUM(F43:F45)+SUM(F105:F107)</f>
        <v>2977</v>
      </c>
      <c r="G9" s="164"/>
      <c r="H9" s="164"/>
      <c r="I9" s="177"/>
      <c r="J9" s="164">
        <f>SUM(J43:J45)+SUM(J105:J107)</f>
        <v>63970.601248000006</v>
      </c>
      <c r="K9" s="164">
        <f>SUM(K43:K45)+SUM(K105:K107)</f>
        <v>767647.21497600013</v>
      </c>
      <c r="N9" s="164">
        <f>SUM(N43:N45)+SUM(N105:N107)</f>
        <v>2379.65</v>
      </c>
      <c r="O9" s="164">
        <f>SUM(O43:O45)+SUM(O105:O107)</f>
        <v>1603.07753126897</v>
      </c>
      <c r="Q9" s="180" t="s">
        <v>175</v>
      </c>
      <c r="R9" s="181">
        <v>120.17</v>
      </c>
      <c r="T9" s="180" t="s">
        <v>176</v>
      </c>
      <c r="U9" s="182">
        <v>1.4999999999999999E-2</v>
      </c>
      <c r="AA9" s="179"/>
    </row>
    <row r="10" spans="1:27">
      <c r="A10" s="162" t="s">
        <v>177</v>
      </c>
      <c r="B10" s="162"/>
      <c r="C10" s="162"/>
      <c r="D10" s="162"/>
      <c r="E10" s="162"/>
      <c r="F10" s="183">
        <f>SUM(F47:F72)+SUM(F108:F131)</f>
        <v>1286</v>
      </c>
      <c r="G10" s="183"/>
      <c r="H10" s="183"/>
      <c r="I10" s="177"/>
      <c r="J10" s="183">
        <f>SUM(J47:J99)+SUM(J108:J147)</f>
        <v>345591.56822200003</v>
      </c>
      <c r="K10" s="183">
        <f>SUM(K47:K99)+SUM(K108:K147)</f>
        <v>4147098.8186640004</v>
      </c>
      <c r="L10" s="183"/>
      <c r="M10" s="184"/>
      <c r="N10" s="183">
        <f>SUM(N47:N72)+SUM(N108:N131)</f>
        <v>11308.609999999999</v>
      </c>
      <c r="O10" s="183">
        <f>SUM(O46:O87)+SUM(O108:O145)</f>
        <v>12070.241126723688</v>
      </c>
      <c r="P10" s="162"/>
      <c r="Q10" s="180" t="s">
        <v>263</v>
      </c>
      <c r="R10" s="181">
        <v>134.59</v>
      </c>
      <c r="S10" s="162"/>
      <c r="T10" s="185" t="s">
        <v>178</v>
      </c>
      <c r="U10" s="182">
        <v>4.2750000000000002E-3</v>
      </c>
      <c r="V10" s="162"/>
      <c r="W10" s="162"/>
      <c r="X10" s="162"/>
      <c r="Y10" s="162"/>
      <c r="Z10" s="162"/>
      <c r="AA10" s="179"/>
    </row>
    <row r="11" spans="1:27">
      <c r="F11" s="164"/>
      <c r="G11" s="164"/>
      <c r="H11" s="164"/>
      <c r="I11" s="177"/>
      <c r="J11" s="178"/>
      <c r="K11" s="186"/>
      <c r="L11" s="164"/>
      <c r="N11" s="178"/>
      <c r="O11" s="178"/>
      <c r="Q11" s="180" t="s">
        <v>179</v>
      </c>
      <c r="R11" s="187">
        <f>R10-R9</f>
        <v>14.420000000000002</v>
      </c>
      <c r="T11" s="180" t="s">
        <v>180</v>
      </c>
      <c r="U11" s="188">
        <f>SUM(U9:U10)</f>
        <v>1.9275E-2</v>
      </c>
      <c r="AA11" s="179"/>
    </row>
    <row r="12" spans="1:27" ht="12" thickBot="1">
      <c r="A12" s="189"/>
      <c r="B12" s="189"/>
      <c r="C12" s="189"/>
      <c r="D12" s="189"/>
      <c r="E12" s="189"/>
      <c r="F12" s="190"/>
      <c r="G12" s="190"/>
      <c r="H12" s="190"/>
      <c r="I12" s="190"/>
      <c r="J12" s="191"/>
      <c r="K12" s="191"/>
      <c r="L12" s="190"/>
      <c r="M12" s="192"/>
      <c r="N12" s="190"/>
      <c r="O12" s="190"/>
      <c r="P12" s="189"/>
      <c r="Q12" s="180" t="s">
        <v>181</v>
      </c>
      <c r="R12" s="193">
        <f>+R11/2000</f>
        <v>7.2100000000000011E-3</v>
      </c>
      <c r="S12" s="189"/>
      <c r="T12" s="189"/>
      <c r="U12" s="189"/>
      <c r="V12" s="189"/>
      <c r="W12" s="189"/>
      <c r="X12" s="189"/>
      <c r="Y12" s="189"/>
      <c r="Z12" s="189"/>
      <c r="AA12" s="194"/>
    </row>
    <row r="13" spans="1:27">
      <c r="A13" s="162"/>
      <c r="B13" s="162"/>
      <c r="C13" s="162"/>
      <c r="D13" s="162"/>
      <c r="E13" s="162"/>
      <c r="F13" s="163" t="s">
        <v>182</v>
      </c>
      <c r="G13" s="163" t="s">
        <v>183</v>
      </c>
      <c r="H13" s="195"/>
      <c r="I13" s="163"/>
      <c r="J13" s="163" t="s">
        <v>184</v>
      </c>
      <c r="K13" s="163" t="s">
        <v>184</v>
      </c>
      <c r="L13" s="163" t="s">
        <v>110</v>
      </c>
      <c r="M13" s="196" t="s">
        <v>185</v>
      </c>
      <c r="N13" s="163" t="s">
        <v>186</v>
      </c>
      <c r="O13" s="163" t="s">
        <v>187</v>
      </c>
      <c r="P13" s="162"/>
      <c r="Q13" s="197"/>
      <c r="R13" s="197"/>
      <c r="S13" s="197"/>
      <c r="T13" s="197"/>
      <c r="U13" s="162"/>
      <c r="V13" s="198"/>
      <c r="W13" s="198"/>
      <c r="X13" s="198"/>
      <c r="Y13" s="198"/>
      <c r="Z13" s="162"/>
      <c r="AA13" s="198"/>
    </row>
    <row r="14" spans="1:27">
      <c r="A14" s="162"/>
      <c r="B14" s="162"/>
      <c r="C14" s="162" t="s">
        <v>188</v>
      </c>
      <c r="D14" s="162"/>
      <c r="E14" s="162"/>
      <c r="F14" s="163" t="s">
        <v>189</v>
      </c>
      <c r="G14" s="163" t="s">
        <v>190</v>
      </c>
      <c r="H14" s="195"/>
      <c r="I14" s="163" t="s">
        <v>102</v>
      </c>
      <c r="J14" s="163" t="s">
        <v>191</v>
      </c>
      <c r="K14" s="163" t="s">
        <v>109</v>
      </c>
      <c r="L14" s="163" t="s">
        <v>192</v>
      </c>
      <c r="M14" s="196" t="s">
        <v>193</v>
      </c>
      <c r="N14" s="163" t="s">
        <v>194</v>
      </c>
      <c r="O14" s="163" t="s">
        <v>194</v>
      </c>
      <c r="P14" s="162"/>
      <c r="Q14" s="199" t="s">
        <v>195</v>
      </c>
      <c r="R14" s="199" t="s">
        <v>196</v>
      </c>
      <c r="S14" s="199" t="s">
        <v>197</v>
      </c>
      <c r="T14" s="200" t="s">
        <v>198</v>
      </c>
      <c r="U14" s="162"/>
      <c r="V14" s="201" t="s">
        <v>199</v>
      </c>
      <c r="W14" s="201" t="s">
        <v>103</v>
      </c>
      <c r="X14" s="201" t="s">
        <v>103</v>
      </c>
      <c r="Y14" s="201" t="s">
        <v>103</v>
      </c>
      <c r="Z14" s="162"/>
      <c r="AA14" s="201" t="s">
        <v>103</v>
      </c>
    </row>
    <row r="15" spans="1:27">
      <c r="A15" s="162"/>
      <c r="B15" s="162"/>
      <c r="C15" s="162"/>
      <c r="D15" s="162"/>
      <c r="E15" s="162"/>
      <c r="F15" s="202"/>
      <c r="G15" s="163" t="s">
        <v>200</v>
      </c>
      <c r="H15" s="195"/>
      <c r="I15" s="163" t="s">
        <v>104</v>
      </c>
      <c r="J15" s="163" t="s">
        <v>111</v>
      </c>
      <c r="K15" s="163" t="s">
        <v>111</v>
      </c>
      <c r="L15" s="163">
        <v>21</v>
      </c>
      <c r="M15" s="163" t="s">
        <v>192</v>
      </c>
      <c r="N15" s="163" t="s">
        <v>201</v>
      </c>
      <c r="O15" s="163" t="s">
        <v>201</v>
      </c>
      <c r="P15" s="162"/>
      <c r="Q15" s="199" t="s">
        <v>202</v>
      </c>
      <c r="R15" s="199" t="s">
        <v>203</v>
      </c>
      <c r="S15" s="199" t="s">
        <v>204</v>
      </c>
      <c r="T15" s="200" t="s">
        <v>205</v>
      </c>
      <c r="U15" s="162"/>
      <c r="V15" s="201" t="s">
        <v>206</v>
      </c>
      <c r="W15" s="201" t="s">
        <v>207</v>
      </c>
      <c r="X15" s="201" t="s">
        <v>207</v>
      </c>
      <c r="Y15" s="201" t="s">
        <v>208</v>
      </c>
      <c r="Z15" s="162"/>
      <c r="AA15" s="201" t="s">
        <v>209</v>
      </c>
    </row>
    <row r="16" spans="1:27">
      <c r="A16" s="162"/>
      <c r="B16" s="162"/>
      <c r="C16" s="162"/>
      <c r="D16" s="162"/>
      <c r="E16" s="162"/>
      <c r="F16" s="202"/>
      <c r="G16" s="163" t="s">
        <v>210</v>
      </c>
      <c r="H16" s="195"/>
      <c r="I16" s="163" t="s">
        <v>211</v>
      </c>
      <c r="J16" s="163"/>
      <c r="K16" s="163"/>
      <c r="L16" s="163">
        <v>145</v>
      </c>
      <c r="M16" s="196"/>
      <c r="N16" s="163"/>
      <c r="O16" s="163"/>
      <c r="P16" s="162"/>
      <c r="Q16" s="203"/>
      <c r="R16" s="203"/>
      <c r="S16" s="203"/>
      <c r="T16" s="204" t="s">
        <v>212</v>
      </c>
      <c r="U16" s="162"/>
      <c r="V16" s="205"/>
      <c r="W16" s="205"/>
      <c r="X16" s="206" t="s">
        <v>10</v>
      </c>
      <c r="Y16" s="206" t="s">
        <v>10</v>
      </c>
      <c r="Z16" s="162"/>
      <c r="AA16" s="206" t="s">
        <v>10</v>
      </c>
    </row>
    <row r="17" spans="1:28">
      <c r="A17" s="162"/>
      <c r="B17" s="162"/>
      <c r="C17" s="162"/>
      <c r="D17" s="162"/>
      <c r="E17" s="162"/>
      <c r="F17" s="207"/>
      <c r="G17" s="207"/>
      <c r="H17" s="207"/>
      <c r="I17" s="207"/>
      <c r="J17" s="207"/>
      <c r="K17" s="207"/>
      <c r="L17" s="163">
        <v>269</v>
      </c>
      <c r="M17" s="208"/>
      <c r="N17" s="207"/>
      <c r="O17" s="207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79"/>
    </row>
    <row r="18" spans="1:28">
      <c r="A18" s="162" t="s">
        <v>264</v>
      </c>
      <c r="B18" s="162"/>
      <c r="C18" s="162"/>
      <c r="D18" s="162"/>
      <c r="E18" s="162"/>
      <c r="F18" s="207"/>
      <c r="G18" s="207"/>
      <c r="H18" s="207"/>
      <c r="I18" s="207"/>
      <c r="J18" s="207"/>
      <c r="K18" s="207"/>
      <c r="L18" s="207"/>
      <c r="M18" s="208"/>
      <c r="N18" s="207"/>
      <c r="O18" s="207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79"/>
    </row>
    <row r="19" spans="1:28" ht="12" thickBot="1">
      <c r="A19" s="209" t="s">
        <v>213</v>
      </c>
      <c r="B19" s="162"/>
      <c r="C19" s="162"/>
      <c r="D19" s="162"/>
      <c r="E19" s="162"/>
      <c r="AA19" s="179"/>
    </row>
    <row r="20" spans="1:28" ht="12" thickTop="1">
      <c r="A20" s="158" t="s">
        <v>114</v>
      </c>
      <c r="F20" s="159">
        <v>1110</v>
      </c>
      <c r="G20" s="160">
        <v>52</v>
      </c>
      <c r="I20" s="157">
        <v>9.31</v>
      </c>
      <c r="J20" s="164">
        <f t="shared" ref="J20:J36" si="0">F20*I20</f>
        <v>10334.1</v>
      </c>
      <c r="K20" s="164">
        <f t="shared" ref="K20:K36" si="1">J20*12</f>
        <v>124009.20000000001</v>
      </c>
      <c r="L20" s="210">
        <f>ROUND((L$15/32*19),2)</f>
        <v>12.47</v>
      </c>
      <c r="M20" s="161">
        <f>L20*$O$4</f>
        <v>8.4005533649587374</v>
      </c>
      <c r="N20" s="164">
        <f t="shared" ref="N20:N31" si="2">ROUND(((F20*G20*L20)/2000),2)</f>
        <v>359.88</v>
      </c>
      <c r="O20" s="211">
        <f>$O$4*N20</f>
        <v>242.43714073627507</v>
      </c>
      <c r="Q20" s="187">
        <f>M20*$R$12</f>
        <v>6.0567989761352505E-2</v>
      </c>
      <c r="R20" s="212">
        <f t="shared" ref="R20:R26" si="3">Q20*4.33</f>
        <v>0.26225939566665635</v>
      </c>
      <c r="S20" s="212">
        <f t="shared" ref="S20:S31" si="4">R20*$U$11</f>
        <v>5.0550498514748011E-3</v>
      </c>
      <c r="T20" s="213">
        <f t="shared" ref="T20:T31" si="5">+R20+S20</f>
        <v>0.26731444551813116</v>
      </c>
      <c r="V20" s="212">
        <f>I20+T20</f>
        <v>9.577314445518132</v>
      </c>
      <c r="W20" s="214">
        <f>F20*V20</f>
        <v>10630.819034525126</v>
      </c>
      <c r="X20" s="214">
        <f t="shared" ref="X20:X31" si="6">W20-J20</f>
        <v>296.71903452512561</v>
      </c>
      <c r="Y20" s="215">
        <f>X20*12</f>
        <v>3560.6284143015073</v>
      </c>
      <c r="AA20" s="216">
        <f>O20*$R$11</f>
        <v>3495.943569417087</v>
      </c>
      <c r="AB20" s="217">
        <f>IF(I20=0,"",V20/I20-1)</f>
        <v>2.8712614985835883E-2</v>
      </c>
    </row>
    <row r="21" spans="1:28">
      <c r="A21" s="158" t="s">
        <v>115</v>
      </c>
      <c r="F21" s="159">
        <v>7212</v>
      </c>
      <c r="G21" s="160">
        <v>52</v>
      </c>
      <c r="I21" s="157">
        <v>15.24</v>
      </c>
      <c r="J21" s="164">
        <f t="shared" si="0"/>
        <v>109910.88</v>
      </c>
      <c r="K21" s="164">
        <f t="shared" si="1"/>
        <v>1318930.56</v>
      </c>
      <c r="L21" s="210">
        <f>+L15</f>
        <v>21</v>
      </c>
      <c r="M21" s="161">
        <f t="shared" ref="M21:M31" si="7">L21*$O$4</f>
        <v>14.146882170339492</v>
      </c>
      <c r="N21" s="164">
        <f t="shared" si="2"/>
        <v>3937.75</v>
      </c>
      <c r="O21" s="211">
        <f t="shared" ref="O21:O31" si="8">$O$4*N21</f>
        <v>2652.7088222025873</v>
      </c>
      <c r="Q21" s="187">
        <f t="shared" ref="Q21:Q31" si="9">M21*$R$12</f>
        <v>0.10199902044814775</v>
      </c>
      <c r="R21" s="212">
        <f t="shared" si="3"/>
        <v>0.44165575854047978</v>
      </c>
      <c r="S21" s="212">
        <f t="shared" si="4"/>
        <v>8.5129147458677477E-3</v>
      </c>
      <c r="T21" s="213">
        <f t="shared" si="5"/>
        <v>0.45016867328634752</v>
      </c>
      <c r="V21" s="212">
        <f t="shared" ref="V21:V36" si="10">I21+T21</f>
        <v>15.690168673286347</v>
      </c>
      <c r="W21" s="214">
        <f t="shared" ref="W21:W36" si="11">F21*V21</f>
        <v>113157.49647174113</v>
      </c>
      <c r="X21" s="214">
        <f t="shared" si="6"/>
        <v>3246.6164717411302</v>
      </c>
      <c r="Y21" s="215">
        <f t="shared" ref="Y21:Y31" si="12">X21*12</f>
        <v>38959.397660893563</v>
      </c>
      <c r="AA21" s="216">
        <f t="shared" ref="AA21:AA36" si="13">O21*$R$11</f>
        <v>38252.06121616131</v>
      </c>
      <c r="AB21" s="217">
        <f t="shared" ref="AB21:AB31" si="14">IF(I21=0,"",V21/I21-1)</f>
        <v>2.9538626856059569E-2</v>
      </c>
    </row>
    <row r="22" spans="1:28">
      <c r="A22" s="158" t="s">
        <v>116</v>
      </c>
      <c r="F22" s="159">
        <v>529</v>
      </c>
      <c r="G22" s="160">
        <v>52</v>
      </c>
      <c r="I22" s="157">
        <v>24.68</v>
      </c>
      <c r="J22" s="164">
        <f t="shared" si="0"/>
        <v>13055.72</v>
      </c>
      <c r="K22" s="164">
        <f t="shared" si="1"/>
        <v>156668.63999999998</v>
      </c>
      <c r="L22" s="210">
        <f>+L15*2</f>
        <v>42</v>
      </c>
      <c r="M22" s="161">
        <f t="shared" si="7"/>
        <v>28.293764340678983</v>
      </c>
      <c r="N22" s="164">
        <f t="shared" si="2"/>
        <v>577.66999999999996</v>
      </c>
      <c r="O22" s="211">
        <f t="shared" si="8"/>
        <v>389.15378206381018</v>
      </c>
      <c r="Q22" s="187">
        <f t="shared" si="9"/>
        <v>0.2039980408962955</v>
      </c>
      <c r="R22" s="212">
        <f t="shared" si="3"/>
        <v>0.88331151708095956</v>
      </c>
      <c r="S22" s="212">
        <f t="shared" si="4"/>
        <v>1.7025829491735495E-2</v>
      </c>
      <c r="T22" s="213">
        <f t="shared" si="5"/>
        <v>0.90033734657269504</v>
      </c>
      <c r="V22" s="212">
        <f t="shared" si="10"/>
        <v>25.580337346572694</v>
      </c>
      <c r="W22" s="214">
        <f t="shared" si="11"/>
        <v>13531.998456336954</v>
      </c>
      <c r="X22" s="214">
        <f t="shared" si="6"/>
        <v>476.27845633695506</v>
      </c>
      <c r="Y22" s="215">
        <f t="shared" si="12"/>
        <v>5715.3414760434607</v>
      </c>
      <c r="AA22" s="216">
        <f t="shared" si="13"/>
        <v>5611.5975373601432</v>
      </c>
      <c r="AB22" s="217">
        <f t="shared" si="14"/>
        <v>3.6480443540222618E-2</v>
      </c>
    </row>
    <row r="23" spans="1:28">
      <c r="A23" s="158" t="s">
        <v>117</v>
      </c>
      <c r="F23" s="159">
        <v>19.416666666666668</v>
      </c>
      <c r="G23" s="160">
        <v>52</v>
      </c>
      <c r="I23" s="157">
        <v>35.35</v>
      </c>
      <c r="J23" s="164">
        <f t="shared" si="0"/>
        <v>686.37916666666672</v>
      </c>
      <c r="K23" s="164">
        <f t="shared" si="1"/>
        <v>8236.5500000000011</v>
      </c>
      <c r="L23" s="210">
        <f>+L15*3</f>
        <v>63</v>
      </c>
      <c r="M23" s="161">
        <f t="shared" si="7"/>
        <v>42.440646511018478</v>
      </c>
      <c r="N23" s="164">
        <f t="shared" si="2"/>
        <v>31.8</v>
      </c>
      <c r="O23" s="211">
        <f t="shared" si="8"/>
        <v>21.422421572228373</v>
      </c>
      <c r="Q23" s="187">
        <f t="shared" si="9"/>
        <v>0.30599706134444327</v>
      </c>
      <c r="R23" s="212">
        <f t="shared" si="3"/>
        <v>1.3249672756214395</v>
      </c>
      <c r="S23" s="212">
        <f t="shared" si="4"/>
        <v>2.5538744237603245E-2</v>
      </c>
      <c r="T23" s="213">
        <f t="shared" si="5"/>
        <v>1.3505060198590426</v>
      </c>
      <c r="V23" s="212">
        <f t="shared" si="10"/>
        <v>36.700506019859041</v>
      </c>
      <c r="W23" s="214">
        <f t="shared" si="11"/>
        <v>712.60149188559637</v>
      </c>
      <c r="X23" s="214">
        <f t="shared" si="6"/>
        <v>26.222325218929655</v>
      </c>
      <c r="Y23" s="215">
        <f t="shared" si="12"/>
        <v>314.66790262715585</v>
      </c>
      <c r="AA23" s="216">
        <f t="shared" si="13"/>
        <v>308.91131907153317</v>
      </c>
      <c r="AB23" s="217">
        <f t="shared" si="14"/>
        <v>3.8203847803650381E-2</v>
      </c>
    </row>
    <row r="24" spans="1:28">
      <c r="A24" s="158" t="s">
        <v>118</v>
      </c>
      <c r="F24" s="159">
        <v>1</v>
      </c>
      <c r="G24" s="160">
        <v>52</v>
      </c>
      <c r="I24" s="157">
        <v>47.25</v>
      </c>
      <c r="J24" s="164">
        <f t="shared" si="0"/>
        <v>47.25</v>
      </c>
      <c r="K24" s="164">
        <f t="shared" si="1"/>
        <v>567</v>
      </c>
      <c r="L24" s="210">
        <f>+L15*4</f>
        <v>84</v>
      </c>
      <c r="M24" s="161">
        <f t="shared" si="7"/>
        <v>56.587528681357966</v>
      </c>
      <c r="N24" s="164">
        <f t="shared" si="2"/>
        <v>2.1800000000000002</v>
      </c>
      <c r="O24" s="211">
        <f t="shared" si="8"/>
        <v>1.4685811014923855</v>
      </c>
      <c r="Q24" s="187">
        <f t="shared" si="9"/>
        <v>0.407996081792591</v>
      </c>
      <c r="R24" s="212">
        <f t="shared" si="3"/>
        <v>1.7666230341619191</v>
      </c>
      <c r="S24" s="212">
        <f t="shared" si="4"/>
        <v>3.4051658983470991E-2</v>
      </c>
      <c r="T24" s="213">
        <f t="shared" si="5"/>
        <v>1.8006746931453901</v>
      </c>
      <c r="V24" s="212">
        <f t="shared" si="10"/>
        <v>49.050674693145389</v>
      </c>
      <c r="W24" s="214">
        <f t="shared" si="11"/>
        <v>49.050674693145389</v>
      </c>
      <c r="X24" s="214">
        <f t="shared" si="6"/>
        <v>1.800674693145389</v>
      </c>
      <c r="Y24" s="215">
        <f t="shared" si="12"/>
        <v>21.608096317744668</v>
      </c>
      <c r="AA24" s="216">
        <f t="shared" si="13"/>
        <v>21.176939483520201</v>
      </c>
      <c r="AB24" s="217">
        <f t="shared" si="14"/>
        <v>3.8109517315246366E-2</v>
      </c>
    </row>
    <row r="25" spans="1:28">
      <c r="A25" s="158" t="s">
        <v>162</v>
      </c>
      <c r="F25" s="159">
        <v>0</v>
      </c>
      <c r="G25" s="160">
        <v>52</v>
      </c>
      <c r="I25" s="157">
        <v>57.81</v>
      </c>
      <c r="J25" s="164">
        <f t="shared" si="0"/>
        <v>0</v>
      </c>
      <c r="K25" s="164">
        <f t="shared" si="1"/>
        <v>0</v>
      </c>
      <c r="L25" s="210">
        <f>+L15*5</f>
        <v>105</v>
      </c>
      <c r="M25" s="161">
        <f t="shared" si="7"/>
        <v>70.734410851697461</v>
      </c>
      <c r="N25" s="164">
        <f t="shared" si="2"/>
        <v>0</v>
      </c>
      <c r="O25" s="211">
        <f t="shared" si="8"/>
        <v>0</v>
      </c>
      <c r="Q25" s="187">
        <f t="shared" si="9"/>
        <v>0.50999510224073874</v>
      </c>
      <c r="R25" s="212">
        <f t="shared" si="3"/>
        <v>2.2082787927023988</v>
      </c>
      <c r="S25" s="212">
        <f t="shared" si="4"/>
        <v>4.2564573729338737E-2</v>
      </c>
      <c r="T25" s="213">
        <f t="shared" si="5"/>
        <v>2.2508433664317375</v>
      </c>
      <c r="V25" s="212">
        <f t="shared" si="10"/>
        <v>60.06084336643174</v>
      </c>
      <c r="W25" s="214">
        <f t="shared" si="11"/>
        <v>0</v>
      </c>
      <c r="X25" s="214">
        <f t="shared" si="6"/>
        <v>0</v>
      </c>
      <c r="Y25" s="215">
        <f t="shared" si="12"/>
        <v>0</v>
      </c>
      <c r="AA25" s="216">
        <f t="shared" si="13"/>
        <v>0</v>
      </c>
      <c r="AB25" s="217">
        <f t="shared" si="14"/>
        <v>3.8935190562735533E-2</v>
      </c>
    </row>
    <row r="26" spans="1:28">
      <c r="A26" s="158" t="s">
        <v>163</v>
      </c>
      <c r="F26" s="159">
        <v>0</v>
      </c>
      <c r="G26" s="160">
        <v>52</v>
      </c>
      <c r="I26" s="157">
        <v>0</v>
      </c>
      <c r="J26" s="164">
        <f t="shared" si="0"/>
        <v>0</v>
      </c>
      <c r="K26" s="164">
        <f t="shared" si="1"/>
        <v>0</v>
      </c>
      <c r="L26" s="210">
        <f>+L15*6</f>
        <v>126</v>
      </c>
      <c r="M26" s="161">
        <f t="shared" si="7"/>
        <v>84.881293022036957</v>
      </c>
      <c r="N26" s="164">
        <f t="shared" si="2"/>
        <v>0</v>
      </c>
      <c r="O26" s="211">
        <f t="shared" si="8"/>
        <v>0</v>
      </c>
      <c r="Q26" s="187">
        <f t="shared" si="9"/>
        <v>0.61199412268888653</v>
      </c>
      <c r="R26" s="212">
        <f t="shared" si="3"/>
        <v>2.6499345512428789</v>
      </c>
      <c r="S26" s="212">
        <f t="shared" si="4"/>
        <v>5.1077488475206489E-2</v>
      </c>
      <c r="T26" s="213">
        <f t="shared" si="5"/>
        <v>2.7010120397180852</v>
      </c>
      <c r="V26" s="212">
        <f t="shared" si="10"/>
        <v>2.7010120397180852</v>
      </c>
      <c r="W26" s="214">
        <f t="shared" si="11"/>
        <v>0</v>
      </c>
      <c r="X26" s="214">
        <f t="shared" si="6"/>
        <v>0</v>
      </c>
      <c r="Y26" s="215">
        <f t="shared" si="12"/>
        <v>0</v>
      </c>
      <c r="AA26" s="216">
        <f t="shared" si="13"/>
        <v>0</v>
      </c>
      <c r="AB26" s="217" t="str">
        <f t="shared" si="14"/>
        <v/>
      </c>
    </row>
    <row r="27" spans="1:28">
      <c r="A27" s="158" t="s">
        <v>108</v>
      </c>
      <c r="F27" s="159">
        <v>423</v>
      </c>
      <c r="G27" s="160">
        <v>12</v>
      </c>
      <c r="I27" s="157">
        <v>5.97</v>
      </c>
      <c r="J27" s="164">
        <f t="shared" si="0"/>
        <v>2525.31</v>
      </c>
      <c r="K27" s="164">
        <f t="shared" si="1"/>
        <v>30303.72</v>
      </c>
      <c r="L27" s="210">
        <f>+L15</f>
        <v>21</v>
      </c>
      <c r="M27" s="161">
        <f t="shared" si="7"/>
        <v>14.146882170339492</v>
      </c>
      <c r="N27" s="164">
        <f t="shared" si="2"/>
        <v>53.3</v>
      </c>
      <c r="O27" s="211">
        <f t="shared" si="8"/>
        <v>35.906134270433085</v>
      </c>
      <c r="Q27" s="187">
        <f t="shared" si="9"/>
        <v>0.10199902044814775</v>
      </c>
      <c r="R27" s="218">
        <f>Q27</f>
        <v>0.10199902044814775</v>
      </c>
      <c r="S27" s="212">
        <f t="shared" si="4"/>
        <v>1.966031119138048E-3</v>
      </c>
      <c r="T27" s="213">
        <f t="shared" si="5"/>
        <v>0.1039650515672858</v>
      </c>
      <c r="V27" s="212">
        <f t="shared" si="10"/>
        <v>6.0739650515672858</v>
      </c>
      <c r="W27" s="214">
        <f t="shared" si="11"/>
        <v>2569.287216812962</v>
      </c>
      <c r="X27" s="214">
        <f t="shared" si="6"/>
        <v>43.97721681296207</v>
      </c>
      <c r="Y27" s="215">
        <f t="shared" si="12"/>
        <v>527.72660175554483</v>
      </c>
      <c r="AA27" s="216">
        <f t="shared" si="13"/>
        <v>517.76645617964516</v>
      </c>
      <c r="AB27" s="217">
        <f t="shared" si="14"/>
        <v>1.741458150205788E-2</v>
      </c>
    </row>
    <row r="28" spans="1:28">
      <c r="A28" s="158" t="s">
        <v>119</v>
      </c>
      <c r="F28" s="159">
        <v>5859</v>
      </c>
      <c r="G28" s="160">
        <v>52</v>
      </c>
      <c r="I28" s="157">
        <v>13.96</v>
      </c>
      <c r="J28" s="164">
        <f t="shared" si="0"/>
        <v>81791.64</v>
      </c>
      <c r="K28" s="164">
        <f t="shared" si="1"/>
        <v>981499.67999999993</v>
      </c>
      <c r="L28" s="210">
        <f>+L15</f>
        <v>21</v>
      </c>
      <c r="M28" s="161">
        <f t="shared" si="7"/>
        <v>14.146882170339492</v>
      </c>
      <c r="N28" s="164">
        <f t="shared" si="2"/>
        <v>3199.01</v>
      </c>
      <c r="O28" s="211">
        <f t="shared" si="8"/>
        <v>2155.0484538922733</v>
      </c>
      <c r="Q28" s="187">
        <f t="shared" si="9"/>
        <v>0.10199902044814775</v>
      </c>
      <c r="R28" s="212">
        <f>Q28*4.33</f>
        <v>0.44165575854047978</v>
      </c>
      <c r="S28" s="212">
        <f t="shared" si="4"/>
        <v>8.5129147458677477E-3</v>
      </c>
      <c r="T28" s="213">
        <f t="shared" si="5"/>
        <v>0.45016867328634752</v>
      </c>
      <c r="V28" s="212">
        <f t="shared" si="10"/>
        <v>14.410168673286348</v>
      </c>
      <c r="W28" s="214">
        <f t="shared" si="11"/>
        <v>84429.178256784711</v>
      </c>
      <c r="X28" s="214">
        <f t="shared" si="6"/>
        <v>2637.5382567847118</v>
      </c>
      <c r="Y28" s="215">
        <f t="shared" si="12"/>
        <v>31650.459081416542</v>
      </c>
      <c r="AA28" s="216">
        <f t="shared" si="13"/>
        <v>31075.798705126585</v>
      </c>
      <c r="AB28" s="217">
        <f t="shared" si="14"/>
        <v>3.2247039633692465E-2</v>
      </c>
    </row>
    <row r="29" spans="1:28">
      <c r="A29" s="158" t="s">
        <v>164</v>
      </c>
      <c r="F29" s="159">
        <v>5761</v>
      </c>
      <c r="G29" s="160">
        <v>52</v>
      </c>
      <c r="I29" s="157">
        <v>22.5</v>
      </c>
      <c r="J29" s="164">
        <f t="shared" si="0"/>
        <v>129622.5</v>
      </c>
      <c r="K29" s="164">
        <f t="shared" si="1"/>
        <v>1555470</v>
      </c>
      <c r="L29" s="210">
        <f>+L15*2</f>
        <v>42</v>
      </c>
      <c r="M29" s="161">
        <f t="shared" si="7"/>
        <v>28.293764340678983</v>
      </c>
      <c r="N29" s="164">
        <f t="shared" si="2"/>
        <v>6291.01</v>
      </c>
      <c r="O29" s="211">
        <f t="shared" si="8"/>
        <v>4238.0084382108307</v>
      </c>
      <c r="Q29" s="187">
        <f t="shared" si="9"/>
        <v>0.2039980408962955</v>
      </c>
      <c r="R29" s="212">
        <f>Q29*4.33</f>
        <v>0.88331151708095956</v>
      </c>
      <c r="S29" s="212">
        <f t="shared" si="4"/>
        <v>1.7025829491735495E-2</v>
      </c>
      <c r="T29" s="213">
        <f t="shared" si="5"/>
        <v>0.90033734657269504</v>
      </c>
      <c r="V29" s="212">
        <f t="shared" si="10"/>
        <v>23.400337346572694</v>
      </c>
      <c r="W29" s="214">
        <f t="shared" si="11"/>
        <v>134809.34345360528</v>
      </c>
      <c r="X29" s="214">
        <f t="shared" si="6"/>
        <v>5186.843453605281</v>
      </c>
      <c r="Y29" s="215">
        <f t="shared" si="12"/>
        <v>62242.121443263371</v>
      </c>
      <c r="AA29" s="216">
        <f t="shared" si="13"/>
        <v>61112.081679000185</v>
      </c>
      <c r="AB29" s="217">
        <f t="shared" si="14"/>
        <v>4.001499318100854E-2</v>
      </c>
    </row>
    <row r="30" spans="1:28">
      <c r="A30" s="158" t="s">
        <v>165</v>
      </c>
      <c r="F30" s="159">
        <v>1556</v>
      </c>
      <c r="G30" s="160">
        <v>52</v>
      </c>
      <c r="I30" s="157">
        <v>30.2</v>
      </c>
      <c r="J30" s="164">
        <f t="shared" si="0"/>
        <v>46991.199999999997</v>
      </c>
      <c r="K30" s="164">
        <f t="shared" si="1"/>
        <v>563894.39999999991</v>
      </c>
      <c r="L30" s="210">
        <f>+L15*3</f>
        <v>63</v>
      </c>
      <c r="M30" s="161">
        <f t="shared" si="7"/>
        <v>42.440646511018478</v>
      </c>
      <c r="N30" s="164">
        <f t="shared" si="2"/>
        <v>2548.73</v>
      </c>
      <c r="O30" s="211">
        <f t="shared" si="8"/>
        <v>1716.9801425718749</v>
      </c>
      <c r="Q30" s="187">
        <f t="shared" si="9"/>
        <v>0.30599706134444327</v>
      </c>
      <c r="R30" s="212">
        <f>Q30*4.33</f>
        <v>1.3249672756214395</v>
      </c>
      <c r="S30" s="212">
        <f t="shared" si="4"/>
        <v>2.5538744237603245E-2</v>
      </c>
      <c r="T30" s="213">
        <f t="shared" si="5"/>
        <v>1.3505060198590426</v>
      </c>
      <c r="V30" s="212">
        <f t="shared" si="10"/>
        <v>31.550506019859043</v>
      </c>
      <c r="W30" s="214">
        <f t="shared" si="11"/>
        <v>49092.587366900669</v>
      </c>
      <c r="X30" s="214">
        <f t="shared" si="6"/>
        <v>2101.3873669006716</v>
      </c>
      <c r="Y30" s="215">
        <f t="shared" si="12"/>
        <v>25216.648402808059</v>
      </c>
      <c r="AA30" s="216">
        <f t="shared" si="13"/>
        <v>24758.85365588644</v>
      </c>
      <c r="AB30" s="217">
        <f t="shared" si="14"/>
        <v>4.4718742379438625E-2</v>
      </c>
    </row>
    <row r="31" spans="1:28">
      <c r="A31" s="158" t="s">
        <v>32</v>
      </c>
      <c r="F31" s="159"/>
      <c r="G31" s="160">
        <v>12</v>
      </c>
      <c r="I31" s="157">
        <v>2.5499999999999998</v>
      </c>
      <c r="J31" s="164">
        <f t="shared" si="0"/>
        <v>0</v>
      </c>
      <c r="K31" s="164">
        <f t="shared" si="1"/>
        <v>0</v>
      </c>
      <c r="L31" s="210">
        <f>+L15</f>
        <v>21</v>
      </c>
      <c r="M31" s="161">
        <f t="shared" si="7"/>
        <v>14.146882170339492</v>
      </c>
      <c r="N31" s="164">
        <f t="shared" si="2"/>
        <v>0</v>
      </c>
      <c r="O31" s="211">
        <f t="shared" si="8"/>
        <v>0</v>
      </c>
      <c r="Q31" s="187">
        <f t="shared" si="9"/>
        <v>0.10199902044814775</v>
      </c>
      <c r="R31" s="218">
        <f>Q31</f>
        <v>0.10199902044814775</v>
      </c>
      <c r="S31" s="212">
        <f t="shared" si="4"/>
        <v>1.966031119138048E-3</v>
      </c>
      <c r="T31" s="213">
        <f t="shared" si="5"/>
        <v>0.1039650515672858</v>
      </c>
      <c r="V31" s="212">
        <f t="shared" si="10"/>
        <v>2.6539650515672855</v>
      </c>
      <c r="W31" s="214">
        <f t="shared" si="11"/>
        <v>0</v>
      </c>
      <c r="X31" s="214">
        <f t="shared" si="6"/>
        <v>0</v>
      </c>
      <c r="Y31" s="215">
        <f t="shared" si="12"/>
        <v>0</v>
      </c>
      <c r="AA31" s="216">
        <f t="shared" si="13"/>
        <v>0</v>
      </c>
      <c r="AB31" s="162">
        <f t="shared" si="14"/>
        <v>4.0770608457759039E-2</v>
      </c>
    </row>
    <row r="32" spans="1:28">
      <c r="A32" s="158" t="s">
        <v>214</v>
      </c>
      <c r="F32" s="159"/>
      <c r="G32" s="160">
        <v>12</v>
      </c>
      <c r="I32" s="157">
        <v>1.02</v>
      </c>
      <c r="J32" s="164">
        <f t="shared" si="0"/>
        <v>0</v>
      </c>
      <c r="K32" s="164">
        <f t="shared" si="1"/>
        <v>0</v>
      </c>
      <c r="L32" s="210"/>
      <c r="N32" s="164"/>
      <c r="O32" s="211"/>
      <c r="Q32" s="187"/>
      <c r="R32" s="218"/>
      <c r="S32" s="212"/>
      <c r="T32" s="213"/>
      <c r="V32" s="212">
        <f t="shared" si="10"/>
        <v>1.02</v>
      </c>
      <c r="W32" s="214">
        <f t="shared" si="11"/>
        <v>0</v>
      </c>
      <c r="X32" s="214">
        <f>W32-J32</f>
        <v>0</v>
      </c>
      <c r="Y32" s="215">
        <f>X32*12</f>
        <v>0</v>
      </c>
      <c r="AA32" s="216">
        <f t="shared" si="13"/>
        <v>0</v>
      </c>
    </row>
    <row r="33" spans="1:29">
      <c r="A33" s="158" t="s">
        <v>215</v>
      </c>
      <c r="F33" s="159"/>
      <c r="G33" s="160">
        <v>12</v>
      </c>
      <c r="I33" s="157">
        <v>0.65</v>
      </c>
      <c r="J33" s="164">
        <f t="shared" si="0"/>
        <v>0</v>
      </c>
      <c r="K33" s="164">
        <f t="shared" si="1"/>
        <v>0</v>
      </c>
      <c r="L33" s="210"/>
      <c r="N33" s="164"/>
      <c r="O33" s="211"/>
      <c r="Q33" s="187"/>
      <c r="R33" s="218"/>
      <c r="S33" s="212"/>
      <c r="T33" s="213"/>
      <c r="V33" s="212">
        <f t="shared" si="10"/>
        <v>0.65</v>
      </c>
      <c r="W33" s="214">
        <f t="shared" si="11"/>
        <v>0</v>
      </c>
      <c r="X33" s="214">
        <f>W33-J33</f>
        <v>0</v>
      </c>
      <c r="Y33" s="215">
        <f>X33*12</f>
        <v>0</v>
      </c>
      <c r="AA33" s="216">
        <f t="shared" si="13"/>
        <v>0</v>
      </c>
    </row>
    <row r="34" spans="1:29">
      <c r="A34" s="158" t="s">
        <v>216</v>
      </c>
      <c r="F34" s="159"/>
      <c r="G34" s="160">
        <v>12</v>
      </c>
      <c r="I34" s="157">
        <v>1.28</v>
      </c>
      <c r="J34" s="164">
        <f t="shared" si="0"/>
        <v>0</v>
      </c>
      <c r="K34" s="164">
        <f t="shared" si="1"/>
        <v>0</v>
      </c>
      <c r="L34" s="210"/>
      <c r="N34" s="164"/>
      <c r="O34" s="211"/>
      <c r="Q34" s="187"/>
      <c r="R34" s="218"/>
      <c r="S34" s="212"/>
      <c r="T34" s="213"/>
      <c r="V34" s="212">
        <f t="shared" si="10"/>
        <v>1.28</v>
      </c>
      <c r="W34" s="214">
        <f t="shared" si="11"/>
        <v>0</v>
      </c>
      <c r="X34" s="214">
        <f>W34-J34</f>
        <v>0</v>
      </c>
      <c r="Y34" s="215">
        <f>X34*12</f>
        <v>0</v>
      </c>
      <c r="AA34" s="216">
        <f t="shared" si="13"/>
        <v>0</v>
      </c>
    </row>
    <row r="35" spans="1:29">
      <c r="A35" s="158" t="s">
        <v>265</v>
      </c>
      <c r="F35" s="159"/>
      <c r="G35" s="160">
        <v>12</v>
      </c>
      <c r="I35" s="157">
        <v>1.28</v>
      </c>
      <c r="J35" s="164">
        <f t="shared" si="0"/>
        <v>0</v>
      </c>
      <c r="K35" s="164">
        <f t="shared" si="1"/>
        <v>0</v>
      </c>
      <c r="L35" s="210"/>
      <c r="N35" s="164"/>
      <c r="O35" s="211"/>
      <c r="Q35" s="187"/>
      <c r="R35" s="218"/>
      <c r="S35" s="212"/>
      <c r="T35" s="213"/>
      <c r="V35" s="212">
        <f t="shared" si="10"/>
        <v>1.28</v>
      </c>
      <c r="W35" s="214">
        <f t="shared" si="11"/>
        <v>0</v>
      </c>
      <c r="X35" s="214">
        <f>W35-J35</f>
        <v>0</v>
      </c>
      <c r="Y35" s="215">
        <f>X35*12</f>
        <v>0</v>
      </c>
      <c r="AA35" s="216">
        <f t="shared" si="13"/>
        <v>0</v>
      </c>
    </row>
    <row r="36" spans="1:29">
      <c r="A36" s="158" t="s">
        <v>266</v>
      </c>
      <c r="F36" s="159"/>
      <c r="G36" s="160">
        <v>12</v>
      </c>
      <c r="I36" s="157">
        <v>1.28</v>
      </c>
      <c r="J36" s="164">
        <f t="shared" si="0"/>
        <v>0</v>
      </c>
      <c r="K36" s="164">
        <f t="shared" si="1"/>
        <v>0</v>
      </c>
      <c r="L36" s="210"/>
      <c r="N36" s="164"/>
      <c r="O36" s="211"/>
      <c r="Q36" s="187"/>
      <c r="R36" s="218"/>
      <c r="S36" s="212"/>
      <c r="T36" s="213"/>
      <c r="V36" s="212">
        <f t="shared" si="10"/>
        <v>1.28</v>
      </c>
      <c r="W36" s="214">
        <f t="shared" si="11"/>
        <v>0</v>
      </c>
      <c r="X36" s="214">
        <f>W36-J36</f>
        <v>0</v>
      </c>
      <c r="Y36" s="215">
        <f>X36*12</f>
        <v>0</v>
      </c>
      <c r="AA36" s="216">
        <f t="shared" si="13"/>
        <v>0</v>
      </c>
    </row>
    <row r="37" spans="1:29">
      <c r="A37" s="158"/>
      <c r="F37" s="159"/>
      <c r="I37" s="219"/>
      <c r="J37" s="164"/>
      <c r="K37" s="164"/>
      <c r="L37" s="210"/>
      <c r="N37" s="164"/>
      <c r="O37" s="211"/>
      <c r="AA37" s="179"/>
    </row>
    <row r="38" spans="1:29">
      <c r="F38" s="220"/>
      <c r="I38" s="221"/>
      <c r="J38" s="164"/>
      <c r="K38" s="164"/>
      <c r="L38" s="210"/>
      <c r="N38" s="164"/>
      <c r="O38" s="211"/>
      <c r="AA38" s="179"/>
    </row>
    <row r="39" spans="1:29">
      <c r="A39" s="160" t="s">
        <v>217</v>
      </c>
      <c r="C39" s="167"/>
      <c r="D39" s="167"/>
      <c r="E39" s="167"/>
      <c r="F39" s="222">
        <f>SUM(F20:F38)-F31</f>
        <v>22470.416666666664</v>
      </c>
      <c r="G39" s="222"/>
      <c r="H39" s="222"/>
      <c r="I39" s="222"/>
      <c r="J39" s="222">
        <f>SUM(J20:J38)</f>
        <v>394964.97916666669</v>
      </c>
      <c r="K39" s="222">
        <f>SUM(K20:K38)</f>
        <v>4739579.75</v>
      </c>
      <c r="L39" s="168">
        <f>SUM(L20:L38)</f>
        <v>621.47</v>
      </c>
      <c r="N39" s="222">
        <f>SUM(N20:N38)</f>
        <v>17001.330000000002</v>
      </c>
      <c r="O39" s="222">
        <f>SUM(O20:O38)</f>
        <v>11453.133916621804</v>
      </c>
      <c r="W39" s="214">
        <f>SUM(W20:W38)</f>
        <v>408982.36242328561</v>
      </c>
      <c r="X39" s="214">
        <f>SUM(X20:X38)</f>
        <v>14017.383256618912</v>
      </c>
      <c r="Y39" s="214">
        <f>SUM(Y20:Y38)</f>
        <v>168208.59907942696</v>
      </c>
      <c r="AA39" s="223">
        <f>SUM(AA20:AA38)</f>
        <v>165154.19107768644</v>
      </c>
    </row>
    <row r="40" spans="1:29" ht="15" customHeight="1">
      <c r="F40" s="220"/>
      <c r="H40" s="167">
        <f>C43*12</f>
        <v>59955.538800000009</v>
      </c>
      <c r="I40" s="221"/>
      <c r="J40" s="164"/>
      <c r="K40" s="164"/>
      <c r="N40" s="164"/>
      <c r="O40" s="211"/>
      <c r="AA40" s="224"/>
    </row>
    <row r="41" spans="1:29" s="229" customFormat="1" ht="12" thickBot="1">
      <c r="A41" s="225" t="s">
        <v>267</v>
      </c>
      <c r="B41" s="225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6"/>
      <c r="N41" s="227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8"/>
    </row>
    <row r="42" spans="1:29">
      <c r="A42" s="230"/>
      <c r="B42" s="231" t="s">
        <v>218</v>
      </c>
      <c r="C42" s="231" t="s">
        <v>219</v>
      </c>
      <c r="D42" s="163" t="s">
        <v>220</v>
      </c>
      <c r="E42" s="163" t="s">
        <v>221</v>
      </c>
      <c r="I42" s="187"/>
      <c r="J42" s="164"/>
      <c r="K42" s="164"/>
      <c r="N42" s="164"/>
      <c r="O42" s="211"/>
      <c r="AA42" s="179"/>
    </row>
    <row r="43" spans="1:29">
      <c r="A43" s="232" t="s">
        <v>126</v>
      </c>
      <c r="B43" s="234">
        <v>1153</v>
      </c>
      <c r="C43" s="262">
        <f>B43*4.3333</f>
        <v>4996.2949000000008</v>
      </c>
      <c r="D43" s="160">
        <v>0.158</v>
      </c>
      <c r="E43" s="167">
        <f>C43*D43</f>
        <v>789.41459420000012</v>
      </c>
      <c r="F43" s="234">
        <f>B43</f>
        <v>1153</v>
      </c>
      <c r="G43" s="160">
        <v>52</v>
      </c>
      <c r="I43" s="235">
        <v>3.77</v>
      </c>
      <c r="J43" s="164">
        <f>+C43*I43</f>
        <v>18836.031773000002</v>
      </c>
      <c r="K43" s="164">
        <f>J43*12</f>
        <v>226032.38127600003</v>
      </c>
      <c r="L43" s="210">
        <f t="shared" ref="L43:L99" si="15">+D43*L$16</f>
        <v>22.91</v>
      </c>
      <c r="M43" s="161">
        <f>L43*$O$5</f>
        <v>15.433574786784655</v>
      </c>
      <c r="N43" s="236">
        <f t="shared" ref="N43:N99" si="16">ROUND((C43*L43*12)/2000,2)</f>
        <v>686.79</v>
      </c>
      <c r="O43" s="211">
        <f>$O$5*N43</f>
        <v>462.66367646511708</v>
      </c>
      <c r="P43" s="237"/>
      <c r="Q43" s="187">
        <f t="shared" ref="Q43:Q87" si="17">M43*$R$12</f>
        <v>0.11127607421271739</v>
      </c>
      <c r="R43" s="212"/>
      <c r="S43" s="212">
        <f>Q43*$U$11</f>
        <v>2.1448463304501275E-3</v>
      </c>
      <c r="T43" s="213">
        <f>+Q43+S43</f>
        <v>0.11342092054316752</v>
      </c>
      <c r="V43" s="212">
        <f>I43+T43</f>
        <v>3.8834209205431676</v>
      </c>
      <c r="W43" s="214">
        <f>C43*V43</f>
        <v>19402.716139863136</v>
      </c>
      <c r="X43" s="214">
        <f>W43-J43</f>
        <v>566.68436686313362</v>
      </c>
      <c r="Y43" s="215">
        <f>X43*12</f>
        <v>6800.2124023576034</v>
      </c>
      <c r="AA43" s="216">
        <f>O43*$R$11</f>
        <v>6671.6102146269886</v>
      </c>
      <c r="AB43" s="217">
        <f t="shared" ref="AB43:AB87" si="18">IF(I43=0,"",V43/I43-1)</f>
        <v>3.0085124812511355E-2</v>
      </c>
      <c r="AC43" s="162">
        <f>8.45*1.03</f>
        <v>8.7035</v>
      </c>
    </row>
    <row r="44" spans="1:29">
      <c r="A44" s="232" t="s">
        <v>127</v>
      </c>
      <c r="B44" s="234">
        <v>0</v>
      </c>
      <c r="C44" s="262">
        <f>B44*4.3333</f>
        <v>0</v>
      </c>
      <c r="D44" s="160">
        <v>0.316</v>
      </c>
      <c r="E44" s="167">
        <f t="shared" ref="E44:E99" si="19">C44*D44</f>
        <v>0</v>
      </c>
      <c r="F44" s="234">
        <f t="shared" ref="F44:F99" si="20">B44</f>
        <v>0</v>
      </c>
      <c r="G44" s="160">
        <v>52</v>
      </c>
      <c r="I44" s="235">
        <v>6.15</v>
      </c>
      <c r="J44" s="164">
        <f t="shared" ref="J44:J87" si="21">+C44*I44</f>
        <v>0</v>
      </c>
      <c r="K44" s="164">
        <f t="shared" ref="K44:K99" si="22">J44*12</f>
        <v>0</v>
      </c>
      <c r="L44" s="210">
        <f t="shared" si="15"/>
        <v>45.82</v>
      </c>
      <c r="M44" s="161">
        <f t="shared" ref="M44:M99" si="23">L44*$O$5</f>
        <v>30.867149573569311</v>
      </c>
      <c r="N44" s="236">
        <f t="shared" si="16"/>
        <v>0</v>
      </c>
      <c r="O44" s="211">
        <f t="shared" ref="O44:O99" si="24">$O$5*N44</f>
        <v>0</v>
      </c>
      <c r="Q44" s="187">
        <f t="shared" si="17"/>
        <v>0.22255214842543478</v>
      </c>
      <c r="R44" s="212"/>
      <c r="S44" s="212">
        <f t="shared" ref="S44:S87" si="25">Q44*$U$11</f>
        <v>4.289692660900255E-3</v>
      </c>
      <c r="T44" s="213">
        <f t="shared" ref="T44:T87" si="26">+Q44+S44</f>
        <v>0.22684184108633504</v>
      </c>
      <c r="V44" s="212">
        <f t="shared" ref="V44:V87" si="27">I44+T44</f>
        <v>6.3768418410863354</v>
      </c>
      <c r="W44" s="214">
        <f t="shared" ref="W44:W87" si="28">C44*V44</f>
        <v>0</v>
      </c>
      <c r="X44" s="214">
        <f t="shared" ref="X44:X86" si="29">W44-J44</f>
        <v>0</v>
      </c>
      <c r="Y44" s="215">
        <f t="shared" ref="Y44:Y87" si="30">X44*12</f>
        <v>0</v>
      </c>
      <c r="AA44" s="216">
        <f t="shared" ref="AA44:AA87" si="31">O44*$R$11</f>
        <v>0</v>
      </c>
      <c r="AB44" s="217">
        <f t="shared" si="18"/>
        <v>3.6884852209160268E-2</v>
      </c>
      <c r="AC44" s="162">
        <f>9.54*1.037</f>
        <v>9.8929799999999979</v>
      </c>
    </row>
    <row r="45" spans="1:29">
      <c r="A45" s="232" t="s">
        <v>128</v>
      </c>
      <c r="B45" s="234">
        <v>0</v>
      </c>
      <c r="C45" s="262">
        <f>B45*4.3333</f>
        <v>0</v>
      </c>
      <c r="D45" s="160">
        <v>0.47399999999999998</v>
      </c>
      <c r="E45" s="167">
        <f t="shared" si="19"/>
        <v>0</v>
      </c>
      <c r="F45" s="234">
        <f t="shared" si="20"/>
        <v>0</v>
      </c>
      <c r="G45" s="160">
        <v>52</v>
      </c>
      <c r="I45" s="235">
        <v>9.2200000000000006</v>
      </c>
      <c r="J45" s="164">
        <f t="shared" si="21"/>
        <v>0</v>
      </c>
      <c r="K45" s="164">
        <f t="shared" si="22"/>
        <v>0</v>
      </c>
      <c r="L45" s="210">
        <f t="shared" si="15"/>
        <v>68.72999999999999</v>
      </c>
      <c r="M45" s="161">
        <f t="shared" si="23"/>
        <v>46.300724360353961</v>
      </c>
      <c r="N45" s="236">
        <f t="shared" si="16"/>
        <v>0</v>
      </c>
      <c r="O45" s="211">
        <f t="shared" si="24"/>
        <v>0</v>
      </c>
      <c r="Q45" s="187">
        <f t="shared" si="17"/>
        <v>0.33382822263815209</v>
      </c>
      <c r="R45" s="212"/>
      <c r="S45" s="212">
        <f t="shared" si="25"/>
        <v>6.4345389913503821E-3</v>
      </c>
      <c r="T45" s="213">
        <f t="shared" si="26"/>
        <v>0.34026276162950247</v>
      </c>
      <c r="V45" s="212">
        <f t="shared" si="27"/>
        <v>9.5602627616295024</v>
      </c>
      <c r="W45" s="214">
        <f t="shared" si="28"/>
        <v>0</v>
      </c>
      <c r="X45" s="214">
        <f t="shared" si="29"/>
        <v>0</v>
      </c>
      <c r="Y45" s="215">
        <f t="shared" si="30"/>
        <v>0</v>
      </c>
      <c r="AA45" s="216">
        <f t="shared" si="31"/>
        <v>0</v>
      </c>
      <c r="AB45" s="217">
        <f t="shared" si="18"/>
        <v>3.6904854840509982E-2</v>
      </c>
      <c r="AC45" s="162">
        <f>11.67*1.037</f>
        <v>12.101789999999999</v>
      </c>
    </row>
    <row r="46" spans="1:29">
      <c r="A46" s="232" t="s">
        <v>222</v>
      </c>
      <c r="B46" s="234">
        <v>5</v>
      </c>
      <c r="C46" s="262">
        <f>+B46</f>
        <v>5</v>
      </c>
      <c r="D46" s="160">
        <v>1</v>
      </c>
      <c r="E46" s="167">
        <f t="shared" si="19"/>
        <v>5</v>
      </c>
      <c r="F46" s="234">
        <f t="shared" si="20"/>
        <v>5</v>
      </c>
      <c r="G46" s="160">
        <v>52</v>
      </c>
      <c r="I46" s="235">
        <v>20.98</v>
      </c>
      <c r="J46" s="164">
        <f t="shared" si="21"/>
        <v>104.9</v>
      </c>
      <c r="K46" s="164">
        <f t="shared" si="22"/>
        <v>1258.8000000000002</v>
      </c>
      <c r="L46" s="210">
        <f t="shared" si="15"/>
        <v>145</v>
      </c>
      <c r="M46" s="161">
        <f t="shared" si="23"/>
        <v>97.68085308091554</v>
      </c>
      <c r="N46" s="236">
        <f t="shared" si="16"/>
        <v>4.3499999999999996</v>
      </c>
      <c r="O46" s="211">
        <f t="shared" si="24"/>
        <v>2.9304255924274658</v>
      </c>
      <c r="Q46" s="187">
        <f t="shared" si="17"/>
        <v>0.70427895071340119</v>
      </c>
      <c r="R46" s="218"/>
      <c r="S46" s="212">
        <f t="shared" si="25"/>
        <v>1.3574976775000807E-2</v>
      </c>
      <c r="T46" s="213">
        <f t="shared" si="26"/>
        <v>0.71785392748840204</v>
      </c>
      <c r="V46" s="212">
        <f t="shared" si="27"/>
        <v>21.697853927488403</v>
      </c>
      <c r="W46" s="214">
        <f t="shared" si="28"/>
        <v>108.48926963744202</v>
      </c>
      <c r="X46" s="214">
        <f t="shared" si="29"/>
        <v>3.5892696374420154</v>
      </c>
      <c r="Y46" s="215">
        <f t="shared" si="30"/>
        <v>43.071235649304185</v>
      </c>
      <c r="AA46" s="216">
        <f t="shared" si="31"/>
        <v>42.256737042804062</v>
      </c>
      <c r="AB46" s="217">
        <f t="shared" si="18"/>
        <v>3.4216107125281336E-2</v>
      </c>
    </row>
    <row r="47" spans="1:29">
      <c r="A47" s="232" t="s">
        <v>129</v>
      </c>
      <c r="B47" s="234">
        <v>289</v>
      </c>
      <c r="C47" s="262">
        <f>+B47*4.3333</f>
        <v>1252.3237000000001</v>
      </c>
      <c r="D47" s="160">
        <v>1</v>
      </c>
      <c r="E47" s="167">
        <f t="shared" si="19"/>
        <v>1252.3237000000001</v>
      </c>
      <c r="F47" s="234">
        <f t="shared" si="20"/>
        <v>289</v>
      </c>
      <c r="G47" s="160">
        <v>52</v>
      </c>
      <c r="I47" s="235">
        <v>19.48</v>
      </c>
      <c r="J47" s="164">
        <f t="shared" si="21"/>
        <v>24395.265676000003</v>
      </c>
      <c r="K47" s="164">
        <f t="shared" si="22"/>
        <v>292743.188112</v>
      </c>
      <c r="L47" s="210">
        <f t="shared" si="15"/>
        <v>145</v>
      </c>
      <c r="M47" s="161">
        <f t="shared" si="23"/>
        <v>97.68085308091554</v>
      </c>
      <c r="N47" s="236">
        <f t="shared" si="16"/>
        <v>1089.52</v>
      </c>
      <c r="O47" s="211">
        <f t="shared" si="24"/>
        <v>733.96719343944198</v>
      </c>
      <c r="Q47" s="187">
        <f t="shared" si="17"/>
        <v>0.70427895071340119</v>
      </c>
      <c r="R47" s="212"/>
      <c r="S47" s="212">
        <f t="shared" si="25"/>
        <v>1.3574976775000807E-2</v>
      </c>
      <c r="T47" s="213">
        <f t="shared" si="26"/>
        <v>0.71785392748840204</v>
      </c>
      <c r="V47" s="212">
        <f t="shared" si="27"/>
        <v>20.197853927488403</v>
      </c>
      <c r="W47" s="214">
        <f t="shared" si="28"/>
        <v>25294.251162531811</v>
      </c>
      <c r="X47" s="214">
        <f t="shared" si="29"/>
        <v>898.98548653180842</v>
      </c>
      <c r="Y47" s="215">
        <f t="shared" si="30"/>
        <v>10787.825838381701</v>
      </c>
      <c r="AA47" s="216">
        <f t="shared" si="31"/>
        <v>10583.806929396755</v>
      </c>
      <c r="AB47" s="217">
        <f t="shared" si="18"/>
        <v>3.6850817632874788E-2</v>
      </c>
    </row>
    <row r="48" spans="1:29">
      <c r="A48" s="232" t="s">
        <v>223</v>
      </c>
      <c r="B48" s="234"/>
      <c r="C48" s="262">
        <f>B48*1</f>
        <v>0</v>
      </c>
      <c r="D48" s="160">
        <v>1.5</v>
      </c>
      <c r="E48" s="167">
        <f t="shared" si="19"/>
        <v>0</v>
      </c>
      <c r="F48" s="234">
        <f t="shared" si="20"/>
        <v>0</v>
      </c>
      <c r="G48" s="160">
        <v>52</v>
      </c>
      <c r="I48" s="235">
        <v>27.95</v>
      </c>
      <c r="J48" s="164">
        <f t="shared" si="21"/>
        <v>0</v>
      </c>
      <c r="K48" s="164">
        <f t="shared" si="22"/>
        <v>0</v>
      </c>
      <c r="L48" s="210">
        <f t="shared" si="15"/>
        <v>217.5</v>
      </c>
      <c r="M48" s="161">
        <f t="shared" si="23"/>
        <v>146.52127962137331</v>
      </c>
      <c r="N48" s="236">
        <f t="shared" si="16"/>
        <v>0</v>
      </c>
      <c r="O48" s="211">
        <f t="shared" si="24"/>
        <v>0</v>
      </c>
      <c r="Q48" s="187">
        <f t="shared" si="17"/>
        <v>1.0564184260701017</v>
      </c>
      <c r="R48" s="218"/>
      <c r="S48" s="212">
        <f t="shared" si="25"/>
        <v>2.036246516250121E-2</v>
      </c>
      <c r="T48" s="213">
        <f t="shared" si="26"/>
        <v>1.0767808912326029</v>
      </c>
      <c r="V48" s="212">
        <f t="shared" si="27"/>
        <v>29.026780891232601</v>
      </c>
      <c r="W48" s="214">
        <f t="shared" si="28"/>
        <v>0</v>
      </c>
      <c r="X48" s="214">
        <f t="shared" si="29"/>
        <v>0</v>
      </c>
      <c r="Y48" s="215">
        <f t="shared" si="30"/>
        <v>0</v>
      </c>
      <c r="AA48" s="216">
        <f t="shared" si="31"/>
        <v>0</v>
      </c>
      <c r="AB48" s="217">
        <f t="shared" si="18"/>
        <v>3.8525255500271971E-2</v>
      </c>
    </row>
    <row r="49" spans="1:28">
      <c r="A49" s="232" t="s">
        <v>224</v>
      </c>
      <c r="B49" s="234">
        <v>83</v>
      </c>
      <c r="C49" s="263">
        <f>B49*4.3333</f>
        <v>359.66390000000001</v>
      </c>
      <c r="D49" s="160">
        <v>1.5</v>
      </c>
      <c r="E49" s="167">
        <f t="shared" si="19"/>
        <v>539.49585000000002</v>
      </c>
      <c r="F49" s="234">
        <f t="shared" si="20"/>
        <v>83</v>
      </c>
      <c r="G49" s="160">
        <v>52</v>
      </c>
      <c r="I49" s="235">
        <v>26.1</v>
      </c>
      <c r="J49" s="164">
        <f t="shared" si="21"/>
        <v>9387.2277900000008</v>
      </c>
      <c r="K49" s="164">
        <f t="shared" si="22"/>
        <v>112646.73348000001</v>
      </c>
      <c r="L49" s="210">
        <f t="shared" si="15"/>
        <v>217.5</v>
      </c>
      <c r="M49" s="161">
        <f t="shared" si="23"/>
        <v>146.52127962137331</v>
      </c>
      <c r="N49" s="236">
        <f t="shared" si="16"/>
        <v>469.36</v>
      </c>
      <c r="O49" s="211">
        <f t="shared" si="24"/>
        <v>316.18955311764495</v>
      </c>
      <c r="Q49" s="187">
        <f t="shared" si="17"/>
        <v>1.0564184260701017</v>
      </c>
      <c r="R49" s="212"/>
      <c r="S49" s="212">
        <f t="shared" si="25"/>
        <v>2.036246516250121E-2</v>
      </c>
      <c r="T49" s="213">
        <f t="shared" si="26"/>
        <v>1.0767808912326029</v>
      </c>
      <c r="V49" s="212">
        <f t="shared" si="27"/>
        <v>27.176780891232603</v>
      </c>
      <c r="W49" s="214">
        <f t="shared" si="28"/>
        <v>9774.5070047861936</v>
      </c>
      <c r="X49" s="214">
        <f t="shared" si="29"/>
        <v>387.27921478619282</v>
      </c>
      <c r="Y49" s="215">
        <f t="shared" si="30"/>
        <v>4647.3505774343139</v>
      </c>
      <c r="AA49" s="216">
        <f t="shared" si="31"/>
        <v>4559.4533559564406</v>
      </c>
      <c r="AB49" s="217">
        <f t="shared" si="18"/>
        <v>4.1255972844161048E-2</v>
      </c>
    </row>
    <row r="50" spans="1:28">
      <c r="A50" s="232" t="s">
        <v>225</v>
      </c>
      <c r="B50" s="234"/>
      <c r="C50" s="263">
        <f>B50*4.3333*2</f>
        <v>0</v>
      </c>
      <c r="D50" s="160">
        <v>1.5</v>
      </c>
      <c r="E50" s="167">
        <f t="shared" si="19"/>
        <v>0</v>
      </c>
      <c r="F50" s="234">
        <f t="shared" si="20"/>
        <v>0</v>
      </c>
      <c r="G50" s="160">
        <v>52</v>
      </c>
      <c r="I50" s="235">
        <v>26.1</v>
      </c>
      <c r="J50" s="164">
        <f t="shared" si="21"/>
        <v>0</v>
      </c>
      <c r="K50" s="164">
        <f t="shared" si="22"/>
        <v>0</v>
      </c>
      <c r="L50" s="210">
        <f t="shared" si="15"/>
        <v>217.5</v>
      </c>
      <c r="M50" s="161">
        <f t="shared" si="23"/>
        <v>146.52127962137331</v>
      </c>
      <c r="N50" s="236">
        <f t="shared" si="16"/>
        <v>0</v>
      </c>
      <c r="O50" s="211">
        <f t="shared" si="24"/>
        <v>0</v>
      </c>
      <c r="Q50" s="187">
        <f t="shared" si="17"/>
        <v>1.0564184260701017</v>
      </c>
      <c r="R50" s="212"/>
      <c r="S50" s="212">
        <f t="shared" si="25"/>
        <v>2.036246516250121E-2</v>
      </c>
      <c r="T50" s="213">
        <f t="shared" si="26"/>
        <v>1.0767808912326029</v>
      </c>
      <c r="V50" s="212">
        <f t="shared" si="27"/>
        <v>27.176780891232603</v>
      </c>
      <c r="W50" s="214">
        <f t="shared" si="28"/>
        <v>0</v>
      </c>
      <c r="X50" s="214">
        <f t="shared" si="29"/>
        <v>0</v>
      </c>
      <c r="Y50" s="215">
        <f t="shared" si="30"/>
        <v>0</v>
      </c>
      <c r="AA50" s="216">
        <f t="shared" si="31"/>
        <v>0</v>
      </c>
      <c r="AB50" s="217">
        <f t="shared" si="18"/>
        <v>4.1255972844161048E-2</v>
      </c>
    </row>
    <row r="51" spans="1:28">
      <c r="A51" s="232" t="s">
        <v>226</v>
      </c>
      <c r="B51" s="234"/>
      <c r="C51" s="263">
        <f>B51*4.3333*3</f>
        <v>0</v>
      </c>
      <c r="D51" s="160">
        <v>1.5</v>
      </c>
      <c r="E51" s="167">
        <f t="shared" si="19"/>
        <v>0</v>
      </c>
      <c r="F51" s="234">
        <f t="shared" si="20"/>
        <v>0</v>
      </c>
      <c r="G51" s="160">
        <v>52</v>
      </c>
      <c r="I51" s="235">
        <v>26.1</v>
      </c>
      <c r="J51" s="164">
        <f t="shared" si="21"/>
        <v>0</v>
      </c>
      <c r="K51" s="164">
        <f t="shared" si="22"/>
        <v>0</v>
      </c>
      <c r="L51" s="210">
        <f t="shared" si="15"/>
        <v>217.5</v>
      </c>
      <c r="M51" s="161">
        <f t="shared" si="23"/>
        <v>146.52127962137331</v>
      </c>
      <c r="N51" s="236">
        <f t="shared" si="16"/>
        <v>0</v>
      </c>
      <c r="O51" s="211">
        <f t="shared" si="24"/>
        <v>0</v>
      </c>
      <c r="Q51" s="187">
        <f t="shared" si="17"/>
        <v>1.0564184260701017</v>
      </c>
      <c r="R51" s="212"/>
      <c r="S51" s="212">
        <f t="shared" si="25"/>
        <v>2.036246516250121E-2</v>
      </c>
      <c r="T51" s="213">
        <f t="shared" si="26"/>
        <v>1.0767808912326029</v>
      </c>
      <c r="V51" s="212">
        <f t="shared" si="27"/>
        <v>27.176780891232603</v>
      </c>
      <c r="W51" s="214">
        <f t="shared" si="28"/>
        <v>0</v>
      </c>
      <c r="X51" s="214">
        <f t="shared" si="29"/>
        <v>0</v>
      </c>
      <c r="Y51" s="215">
        <f t="shared" si="30"/>
        <v>0</v>
      </c>
      <c r="AA51" s="216">
        <f t="shared" si="31"/>
        <v>0</v>
      </c>
      <c r="AB51" s="217">
        <f t="shared" si="18"/>
        <v>4.1255972844161048E-2</v>
      </c>
    </row>
    <row r="52" spans="1:28">
      <c r="A52" s="232" t="s">
        <v>268</v>
      </c>
      <c r="B52" s="234"/>
      <c r="C52" s="263">
        <f>B52*4.33</f>
        <v>0</v>
      </c>
      <c r="D52" s="160">
        <f>2*3.5</f>
        <v>7</v>
      </c>
      <c r="E52" s="167">
        <f t="shared" si="19"/>
        <v>0</v>
      </c>
      <c r="F52" s="234">
        <f t="shared" si="20"/>
        <v>0</v>
      </c>
      <c r="G52" s="160">
        <v>52</v>
      </c>
      <c r="I52" s="235">
        <v>156.4</v>
      </c>
      <c r="J52" s="164">
        <f t="shared" si="21"/>
        <v>0</v>
      </c>
      <c r="K52" s="164">
        <f t="shared" si="22"/>
        <v>0</v>
      </c>
      <c r="L52" s="210">
        <f t="shared" si="15"/>
        <v>1015</v>
      </c>
      <c r="M52" s="161">
        <f t="shared" si="23"/>
        <v>683.76597156640878</v>
      </c>
      <c r="N52" s="236">
        <f t="shared" si="16"/>
        <v>0</v>
      </c>
      <c r="O52" s="211">
        <f t="shared" si="24"/>
        <v>0</v>
      </c>
      <c r="Q52" s="187">
        <f t="shared" si="17"/>
        <v>4.9299526549938077</v>
      </c>
      <c r="R52" s="218"/>
      <c r="S52" s="212">
        <f t="shared" si="25"/>
        <v>9.5024837425005643E-2</v>
      </c>
      <c r="T52" s="213">
        <f t="shared" si="26"/>
        <v>5.0249774924188131</v>
      </c>
      <c r="V52" s="212">
        <f t="shared" si="27"/>
        <v>161.4249774924188</v>
      </c>
      <c r="W52" s="214">
        <f t="shared" si="28"/>
        <v>0</v>
      </c>
      <c r="X52" s="214">
        <f t="shared" si="29"/>
        <v>0</v>
      </c>
      <c r="Y52" s="215">
        <f t="shared" si="30"/>
        <v>0</v>
      </c>
      <c r="AA52" s="216">
        <f t="shared" si="31"/>
        <v>0</v>
      </c>
      <c r="AB52" s="217">
        <f t="shared" si="18"/>
        <v>3.2129012099864518E-2</v>
      </c>
    </row>
    <row r="53" spans="1:28">
      <c r="A53" s="232" t="s">
        <v>227</v>
      </c>
      <c r="B53" s="220"/>
      <c r="C53" s="263">
        <f>B53*4.33</f>
        <v>0</v>
      </c>
      <c r="D53" s="160">
        <f>2*5</f>
        <v>10</v>
      </c>
      <c r="E53" s="167">
        <f t="shared" si="19"/>
        <v>0</v>
      </c>
      <c r="F53" s="234">
        <f t="shared" si="20"/>
        <v>0</v>
      </c>
      <c r="G53" s="160">
        <v>52</v>
      </c>
      <c r="I53" s="235">
        <v>186.34</v>
      </c>
      <c r="J53" s="164">
        <f t="shared" si="21"/>
        <v>0</v>
      </c>
      <c r="K53" s="164">
        <f t="shared" si="22"/>
        <v>0</v>
      </c>
      <c r="L53" s="210">
        <f t="shared" si="15"/>
        <v>1450</v>
      </c>
      <c r="M53" s="161">
        <f t="shared" si="23"/>
        <v>976.8085308091554</v>
      </c>
      <c r="N53" s="236">
        <f t="shared" si="16"/>
        <v>0</v>
      </c>
      <c r="O53" s="211">
        <f t="shared" si="24"/>
        <v>0</v>
      </c>
      <c r="Q53" s="187">
        <f t="shared" si="17"/>
        <v>7.0427895071340112</v>
      </c>
      <c r="R53" s="212"/>
      <c r="S53" s="212">
        <f t="shared" si="25"/>
        <v>0.13574976775000808</v>
      </c>
      <c r="T53" s="213">
        <f t="shared" si="26"/>
        <v>7.1785392748840193</v>
      </c>
      <c r="V53" s="212">
        <f t="shared" si="27"/>
        <v>193.51853927488403</v>
      </c>
      <c r="W53" s="214">
        <f t="shared" si="28"/>
        <v>0</v>
      </c>
      <c r="X53" s="214">
        <f t="shared" si="29"/>
        <v>0</v>
      </c>
      <c r="Y53" s="215">
        <f t="shared" si="30"/>
        <v>0</v>
      </c>
      <c r="AA53" s="216">
        <f t="shared" si="31"/>
        <v>0</v>
      </c>
      <c r="AB53" s="217">
        <f t="shared" si="18"/>
        <v>3.8523877186240396E-2</v>
      </c>
    </row>
    <row r="54" spans="1:28">
      <c r="A54" s="232" t="s">
        <v>130</v>
      </c>
      <c r="B54" s="220">
        <v>4</v>
      </c>
      <c r="C54" s="262">
        <f>B54*1</f>
        <v>4</v>
      </c>
      <c r="D54" s="160">
        <v>2</v>
      </c>
      <c r="E54" s="167">
        <f t="shared" si="19"/>
        <v>8</v>
      </c>
      <c r="F54" s="234">
        <f t="shared" si="20"/>
        <v>4</v>
      </c>
      <c r="G54" s="160">
        <v>52</v>
      </c>
      <c r="I54" s="235">
        <v>39.799999999999997</v>
      </c>
      <c r="J54" s="164">
        <f t="shared" si="21"/>
        <v>159.19999999999999</v>
      </c>
      <c r="K54" s="164">
        <f t="shared" si="22"/>
        <v>1910.3999999999999</v>
      </c>
      <c r="L54" s="210">
        <f t="shared" si="15"/>
        <v>290</v>
      </c>
      <c r="M54" s="161">
        <f t="shared" si="23"/>
        <v>195.36170616183108</v>
      </c>
      <c r="N54" s="236">
        <f t="shared" si="16"/>
        <v>6.96</v>
      </c>
      <c r="O54" s="211">
        <f t="shared" si="24"/>
        <v>4.6886809478839462</v>
      </c>
      <c r="Q54" s="187">
        <f t="shared" si="17"/>
        <v>1.4085579014268024</v>
      </c>
      <c r="R54" s="212"/>
      <c r="S54" s="212">
        <f t="shared" si="25"/>
        <v>2.7149953550001615E-2</v>
      </c>
      <c r="T54" s="213">
        <f t="shared" si="26"/>
        <v>1.4357078549768041</v>
      </c>
      <c r="V54" s="212">
        <f t="shared" si="27"/>
        <v>41.235707854976802</v>
      </c>
      <c r="W54" s="214">
        <f t="shared" si="28"/>
        <v>164.94283141990721</v>
      </c>
      <c r="X54" s="214">
        <f t="shared" si="29"/>
        <v>5.742831419907219</v>
      </c>
      <c r="Y54" s="215">
        <f t="shared" si="30"/>
        <v>68.913977038886628</v>
      </c>
      <c r="AA54" s="216">
        <f t="shared" si="31"/>
        <v>67.61077926848651</v>
      </c>
      <c r="AB54" s="217">
        <f t="shared" si="18"/>
        <v>3.6073061682834195E-2</v>
      </c>
    </row>
    <row r="55" spans="1:28">
      <c r="A55" s="232" t="s">
        <v>131</v>
      </c>
      <c r="B55" s="220">
        <v>362</v>
      </c>
      <c r="C55" s="263">
        <f>B55*4.3333</f>
        <v>1568.6546000000001</v>
      </c>
      <c r="D55" s="160">
        <v>2</v>
      </c>
      <c r="E55" s="167">
        <f t="shared" si="19"/>
        <v>3137.3092000000001</v>
      </c>
      <c r="F55" s="234">
        <f t="shared" si="20"/>
        <v>362</v>
      </c>
      <c r="G55" s="160">
        <v>52</v>
      </c>
      <c r="I55" s="235">
        <v>36.35</v>
      </c>
      <c r="J55" s="164">
        <f t="shared" si="21"/>
        <v>57020.594710000005</v>
      </c>
      <c r="K55" s="164">
        <f t="shared" si="22"/>
        <v>684247.13652000006</v>
      </c>
      <c r="L55" s="210">
        <f t="shared" si="15"/>
        <v>290</v>
      </c>
      <c r="M55" s="161">
        <f t="shared" si="23"/>
        <v>195.36170616183108</v>
      </c>
      <c r="N55" s="236">
        <f t="shared" si="16"/>
        <v>2729.46</v>
      </c>
      <c r="O55" s="211">
        <f t="shared" si="24"/>
        <v>1838.7309051740394</v>
      </c>
      <c r="Q55" s="187">
        <f t="shared" si="17"/>
        <v>1.4085579014268024</v>
      </c>
      <c r="R55" s="212"/>
      <c r="S55" s="212">
        <f t="shared" si="25"/>
        <v>2.7149953550001615E-2</v>
      </c>
      <c r="T55" s="213">
        <f t="shared" si="26"/>
        <v>1.4357078549768041</v>
      </c>
      <c r="V55" s="212">
        <f t="shared" si="27"/>
        <v>37.785707854976806</v>
      </c>
      <c r="W55" s="214">
        <f t="shared" si="28"/>
        <v>59272.724440965503</v>
      </c>
      <c r="X55" s="214">
        <f t="shared" si="29"/>
        <v>2252.1297309654983</v>
      </c>
      <c r="Y55" s="215">
        <f t="shared" si="30"/>
        <v>27025.55677158598</v>
      </c>
      <c r="AA55" s="216">
        <f t="shared" si="31"/>
        <v>26514.499652609651</v>
      </c>
      <c r="AB55" s="217">
        <f t="shared" si="18"/>
        <v>3.9496777303350994E-2</v>
      </c>
    </row>
    <row r="56" spans="1:28">
      <c r="A56" s="232" t="s">
        <v>132</v>
      </c>
      <c r="B56" s="220"/>
      <c r="C56" s="263">
        <f>B56*4.3333*2</f>
        <v>0</v>
      </c>
      <c r="D56" s="160">
        <v>2</v>
      </c>
      <c r="E56" s="167">
        <f t="shared" si="19"/>
        <v>0</v>
      </c>
      <c r="F56" s="234">
        <f t="shared" si="20"/>
        <v>0</v>
      </c>
      <c r="G56" s="160">
        <v>52</v>
      </c>
      <c r="I56" s="235">
        <v>36.35</v>
      </c>
      <c r="J56" s="164">
        <f t="shared" si="21"/>
        <v>0</v>
      </c>
      <c r="K56" s="164">
        <f t="shared" si="22"/>
        <v>0</v>
      </c>
      <c r="L56" s="210">
        <f t="shared" si="15"/>
        <v>290</v>
      </c>
      <c r="M56" s="161">
        <f t="shared" si="23"/>
        <v>195.36170616183108</v>
      </c>
      <c r="N56" s="236">
        <f t="shared" si="16"/>
        <v>0</v>
      </c>
      <c r="O56" s="211">
        <f t="shared" si="24"/>
        <v>0</v>
      </c>
      <c r="Q56" s="187">
        <f t="shared" si="17"/>
        <v>1.4085579014268024</v>
      </c>
      <c r="R56" s="212"/>
      <c r="S56" s="212">
        <f t="shared" si="25"/>
        <v>2.7149953550001615E-2</v>
      </c>
      <c r="T56" s="213">
        <f t="shared" si="26"/>
        <v>1.4357078549768041</v>
      </c>
      <c r="V56" s="212">
        <f t="shared" si="27"/>
        <v>37.785707854976806</v>
      </c>
      <c r="W56" s="214">
        <f t="shared" si="28"/>
        <v>0</v>
      </c>
      <c r="X56" s="214">
        <f t="shared" si="29"/>
        <v>0</v>
      </c>
      <c r="Y56" s="215">
        <f t="shared" si="30"/>
        <v>0</v>
      </c>
      <c r="AA56" s="216">
        <f t="shared" si="31"/>
        <v>0</v>
      </c>
      <c r="AB56" s="217">
        <f t="shared" si="18"/>
        <v>3.9496777303350994E-2</v>
      </c>
    </row>
    <row r="57" spans="1:28">
      <c r="A57" s="232" t="s">
        <v>228</v>
      </c>
      <c r="B57" s="220"/>
      <c r="C57" s="263">
        <f>B57*4.3333*3</f>
        <v>0</v>
      </c>
      <c r="D57" s="160">
        <v>2</v>
      </c>
      <c r="E57" s="167">
        <f t="shared" si="19"/>
        <v>0</v>
      </c>
      <c r="F57" s="234">
        <f t="shared" si="20"/>
        <v>0</v>
      </c>
      <c r="G57" s="160">
        <v>52</v>
      </c>
      <c r="I57" s="235">
        <v>36.35</v>
      </c>
      <c r="J57" s="164">
        <f t="shared" si="21"/>
        <v>0</v>
      </c>
      <c r="K57" s="164">
        <f t="shared" si="22"/>
        <v>0</v>
      </c>
      <c r="L57" s="210">
        <f t="shared" si="15"/>
        <v>290</v>
      </c>
      <c r="M57" s="161">
        <f t="shared" si="23"/>
        <v>195.36170616183108</v>
      </c>
      <c r="N57" s="236">
        <f t="shared" si="16"/>
        <v>0</v>
      </c>
      <c r="O57" s="211">
        <f t="shared" si="24"/>
        <v>0</v>
      </c>
      <c r="Q57" s="187">
        <f t="shared" si="17"/>
        <v>1.4085579014268024</v>
      </c>
      <c r="R57" s="212"/>
      <c r="S57" s="212">
        <f t="shared" si="25"/>
        <v>2.7149953550001615E-2</v>
      </c>
      <c r="T57" s="213">
        <f t="shared" si="26"/>
        <v>1.4357078549768041</v>
      </c>
      <c r="V57" s="212">
        <f t="shared" si="27"/>
        <v>37.785707854976806</v>
      </c>
      <c r="W57" s="214">
        <f t="shared" si="28"/>
        <v>0</v>
      </c>
      <c r="X57" s="214">
        <f t="shared" si="29"/>
        <v>0</v>
      </c>
      <c r="Y57" s="215">
        <f t="shared" si="30"/>
        <v>0</v>
      </c>
      <c r="AA57" s="216">
        <f t="shared" si="31"/>
        <v>0</v>
      </c>
      <c r="AB57" s="217">
        <f t="shared" si="18"/>
        <v>3.9496777303350994E-2</v>
      </c>
    </row>
    <row r="58" spans="1:28">
      <c r="A58" s="232" t="s">
        <v>229</v>
      </c>
      <c r="B58" s="220"/>
      <c r="C58" s="263">
        <f>B58*4.3333*4</f>
        <v>0</v>
      </c>
      <c r="D58" s="160">
        <v>2</v>
      </c>
      <c r="E58" s="167">
        <f t="shared" si="19"/>
        <v>0</v>
      </c>
      <c r="F58" s="234">
        <f t="shared" si="20"/>
        <v>0</v>
      </c>
      <c r="G58" s="160">
        <v>52</v>
      </c>
      <c r="I58" s="235">
        <v>36.35</v>
      </c>
      <c r="J58" s="164">
        <f t="shared" si="21"/>
        <v>0</v>
      </c>
      <c r="K58" s="164">
        <f t="shared" si="22"/>
        <v>0</v>
      </c>
      <c r="L58" s="210">
        <f t="shared" si="15"/>
        <v>290</v>
      </c>
      <c r="M58" s="161">
        <f t="shared" si="23"/>
        <v>195.36170616183108</v>
      </c>
      <c r="N58" s="236">
        <f t="shared" si="16"/>
        <v>0</v>
      </c>
      <c r="O58" s="211">
        <f t="shared" si="24"/>
        <v>0</v>
      </c>
      <c r="Q58" s="187">
        <f t="shared" si="17"/>
        <v>1.4085579014268024</v>
      </c>
      <c r="R58" s="218"/>
      <c r="S58" s="212">
        <f t="shared" si="25"/>
        <v>2.7149953550001615E-2</v>
      </c>
      <c r="T58" s="213">
        <f t="shared" si="26"/>
        <v>1.4357078549768041</v>
      </c>
      <c r="V58" s="212">
        <f t="shared" si="27"/>
        <v>37.785707854976806</v>
      </c>
      <c r="W58" s="214">
        <f t="shared" si="28"/>
        <v>0</v>
      </c>
      <c r="X58" s="214">
        <f t="shared" si="29"/>
        <v>0</v>
      </c>
      <c r="Y58" s="215">
        <f t="shared" si="30"/>
        <v>0</v>
      </c>
      <c r="AA58" s="216">
        <f t="shared" si="31"/>
        <v>0</v>
      </c>
      <c r="AB58" s="217">
        <f t="shared" si="18"/>
        <v>3.9496777303350994E-2</v>
      </c>
    </row>
    <row r="59" spans="1:28">
      <c r="A59" s="232" t="s">
        <v>230</v>
      </c>
      <c r="B59" s="220"/>
      <c r="C59" s="263">
        <f>B59*4.33</f>
        <v>0</v>
      </c>
      <c r="D59" s="160">
        <f>3*3.5</f>
        <v>10.5</v>
      </c>
      <c r="E59" s="167">
        <f t="shared" si="19"/>
        <v>0</v>
      </c>
      <c r="F59" s="234">
        <f t="shared" si="20"/>
        <v>0</v>
      </c>
      <c r="G59" s="160">
        <v>52</v>
      </c>
      <c r="I59" s="235">
        <v>190.89</v>
      </c>
      <c r="J59" s="164">
        <f t="shared" si="21"/>
        <v>0</v>
      </c>
      <c r="K59" s="164">
        <f t="shared" si="22"/>
        <v>0</v>
      </c>
      <c r="L59" s="210">
        <f t="shared" si="15"/>
        <v>1522.5</v>
      </c>
      <c r="M59" s="161">
        <f t="shared" si="23"/>
        <v>1025.6489573496131</v>
      </c>
      <c r="N59" s="236">
        <f t="shared" si="16"/>
        <v>0</v>
      </c>
      <c r="O59" s="211">
        <f t="shared" si="24"/>
        <v>0</v>
      </c>
      <c r="Q59" s="187">
        <f t="shared" si="17"/>
        <v>7.3949289824907112</v>
      </c>
      <c r="R59" s="212"/>
      <c r="S59" s="212">
        <f t="shared" si="25"/>
        <v>0.14253725613750845</v>
      </c>
      <c r="T59" s="213">
        <f t="shared" si="26"/>
        <v>7.5374662386282196</v>
      </c>
      <c r="V59" s="212">
        <f t="shared" si="27"/>
        <v>198.4274662386282</v>
      </c>
      <c r="W59" s="214">
        <f t="shared" si="28"/>
        <v>0</v>
      </c>
      <c r="X59" s="214">
        <f t="shared" si="29"/>
        <v>0</v>
      </c>
      <c r="Y59" s="215">
        <f t="shared" si="30"/>
        <v>0</v>
      </c>
      <c r="AA59" s="216">
        <f t="shared" si="31"/>
        <v>0</v>
      </c>
      <c r="AB59" s="217">
        <f t="shared" si="18"/>
        <v>3.9485914603322403E-2</v>
      </c>
    </row>
    <row r="60" spans="1:28">
      <c r="A60" s="232" t="s">
        <v>231</v>
      </c>
      <c r="B60" s="220"/>
      <c r="C60" s="263">
        <f>B60*4.33</f>
        <v>0</v>
      </c>
      <c r="D60" s="160">
        <f>3*5</f>
        <v>15</v>
      </c>
      <c r="E60" s="167">
        <f t="shared" si="19"/>
        <v>0</v>
      </c>
      <c r="F60" s="234">
        <f t="shared" si="20"/>
        <v>0</v>
      </c>
      <c r="G60" s="160">
        <v>52</v>
      </c>
      <c r="I60" s="235">
        <v>232.6</v>
      </c>
      <c r="J60" s="164">
        <f t="shared" si="21"/>
        <v>0</v>
      </c>
      <c r="K60" s="164">
        <f t="shared" si="22"/>
        <v>0</v>
      </c>
      <c r="L60" s="210">
        <f t="shared" si="15"/>
        <v>2175</v>
      </c>
      <c r="M60" s="161">
        <f t="shared" si="23"/>
        <v>1465.2127962137331</v>
      </c>
      <c r="N60" s="236">
        <f t="shared" si="16"/>
        <v>0</v>
      </c>
      <c r="O60" s="211">
        <f t="shared" si="24"/>
        <v>0</v>
      </c>
      <c r="Q60" s="187">
        <f t="shared" si="17"/>
        <v>10.564184260701017</v>
      </c>
      <c r="R60" s="212"/>
      <c r="S60" s="212">
        <f t="shared" si="25"/>
        <v>0.20362465162501212</v>
      </c>
      <c r="T60" s="213">
        <f t="shared" si="26"/>
        <v>10.767808912326029</v>
      </c>
      <c r="V60" s="212">
        <f t="shared" si="27"/>
        <v>243.36780891232601</v>
      </c>
      <c r="W60" s="214">
        <f t="shared" si="28"/>
        <v>0</v>
      </c>
      <c r="X60" s="214">
        <f t="shared" si="29"/>
        <v>0</v>
      </c>
      <c r="Y60" s="215">
        <f t="shared" si="30"/>
        <v>0</v>
      </c>
      <c r="AA60" s="216">
        <f t="shared" si="31"/>
        <v>0</v>
      </c>
      <c r="AB60" s="217">
        <f t="shared" si="18"/>
        <v>4.6293245538804983E-2</v>
      </c>
    </row>
    <row r="61" spans="1:28">
      <c r="A61" s="232" t="s">
        <v>133</v>
      </c>
      <c r="B61" s="220">
        <v>4</v>
      </c>
      <c r="C61" s="263">
        <f>+B61*1</f>
        <v>4</v>
      </c>
      <c r="D61" s="160">
        <v>3</v>
      </c>
      <c r="E61" s="167">
        <f t="shared" si="19"/>
        <v>12</v>
      </c>
      <c r="F61" s="234">
        <f t="shared" si="20"/>
        <v>4</v>
      </c>
      <c r="G61" s="160">
        <v>52</v>
      </c>
      <c r="I61" s="235">
        <v>54.92</v>
      </c>
      <c r="J61" s="164">
        <f t="shared" si="21"/>
        <v>219.68</v>
      </c>
      <c r="K61" s="164">
        <f t="shared" si="22"/>
        <v>2636.16</v>
      </c>
      <c r="L61" s="210">
        <f t="shared" si="15"/>
        <v>435</v>
      </c>
      <c r="M61" s="161">
        <f t="shared" si="23"/>
        <v>293.04255924274662</v>
      </c>
      <c r="N61" s="236">
        <f t="shared" si="16"/>
        <v>10.44</v>
      </c>
      <c r="O61" s="211">
        <f t="shared" si="24"/>
        <v>7.0330214218259188</v>
      </c>
      <c r="Q61" s="187">
        <f t="shared" si="17"/>
        <v>2.1128368521402034</v>
      </c>
      <c r="R61" s="212"/>
      <c r="S61" s="212">
        <f t="shared" si="25"/>
        <v>4.072493032500242E-2</v>
      </c>
      <c r="T61" s="213">
        <f t="shared" si="26"/>
        <v>2.1535617824652058</v>
      </c>
      <c r="V61" s="212">
        <f t="shared" si="27"/>
        <v>57.073561782465205</v>
      </c>
      <c r="W61" s="214">
        <f t="shared" si="28"/>
        <v>228.29424712986082</v>
      </c>
      <c r="X61" s="214">
        <f t="shared" si="29"/>
        <v>8.6142471298608143</v>
      </c>
      <c r="Y61" s="215">
        <f t="shared" si="30"/>
        <v>103.37096555832977</v>
      </c>
      <c r="AA61" s="216">
        <f t="shared" si="31"/>
        <v>101.41616890272977</v>
      </c>
      <c r="AB61" s="217">
        <f t="shared" si="18"/>
        <v>3.9212705434544803E-2</v>
      </c>
    </row>
    <row r="62" spans="1:28">
      <c r="A62" s="232" t="s">
        <v>134</v>
      </c>
      <c r="B62" s="220">
        <v>188</v>
      </c>
      <c r="C62" s="263">
        <f>B62*4.3333</f>
        <v>814.6604000000001</v>
      </c>
      <c r="D62" s="160">
        <v>3</v>
      </c>
      <c r="E62" s="167">
        <f t="shared" si="19"/>
        <v>2443.9812000000002</v>
      </c>
      <c r="F62" s="234">
        <f t="shared" si="20"/>
        <v>188</v>
      </c>
      <c r="G62" s="160">
        <v>52</v>
      </c>
      <c r="I62" s="235">
        <v>51.57</v>
      </c>
      <c r="J62" s="164">
        <f t="shared" si="21"/>
        <v>42012.036828000004</v>
      </c>
      <c r="K62" s="164">
        <f t="shared" si="22"/>
        <v>504144.44193600002</v>
      </c>
      <c r="L62" s="210">
        <f t="shared" si="15"/>
        <v>435</v>
      </c>
      <c r="M62" s="161">
        <f t="shared" si="23"/>
        <v>293.04255924274662</v>
      </c>
      <c r="N62" s="236">
        <f t="shared" si="16"/>
        <v>2126.2600000000002</v>
      </c>
      <c r="O62" s="211">
        <f t="shared" si="24"/>
        <v>1432.3785563574311</v>
      </c>
      <c r="Q62" s="187">
        <f t="shared" si="17"/>
        <v>2.1128368521402034</v>
      </c>
      <c r="R62" s="212"/>
      <c r="S62" s="212">
        <f t="shared" si="25"/>
        <v>4.072493032500242E-2</v>
      </c>
      <c r="T62" s="213">
        <f t="shared" si="26"/>
        <v>2.1535617824652058</v>
      </c>
      <c r="V62" s="212">
        <f t="shared" si="27"/>
        <v>53.723561782465204</v>
      </c>
      <c r="W62" s="214">
        <f t="shared" si="28"/>
        <v>43766.458331127818</v>
      </c>
      <c r="X62" s="214">
        <f t="shared" si="29"/>
        <v>1754.4215031278145</v>
      </c>
      <c r="Y62" s="215">
        <f t="shared" si="30"/>
        <v>21053.058037533774</v>
      </c>
      <c r="AA62" s="216">
        <f t="shared" si="31"/>
        <v>20654.898782674158</v>
      </c>
      <c r="AB62" s="217">
        <f t="shared" si="18"/>
        <v>4.1759972512414256E-2</v>
      </c>
    </row>
    <row r="63" spans="1:28">
      <c r="A63" s="232" t="s">
        <v>135</v>
      </c>
      <c r="B63" s="220"/>
      <c r="C63" s="263">
        <f>B63*4.3333*2</f>
        <v>0</v>
      </c>
      <c r="D63" s="160">
        <v>3</v>
      </c>
      <c r="E63" s="167">
        <f t="shared" si="19"/>
        <v>0</v>
      </c>
      <c r="F63" s="234">
        <f t="shared" si="20"/>
        <v>0</v>
      </c>
      <c r="G63" s="160">
        <v>52</v>
      </c>
      <c r="I63" s="235">
        <v>51.57</v>
      </c>
      <c r="J63" s="164">
        <f t="shared" si="21"/>
        <v>0</v>
      </c>
      <c r="K63" s="164">
        <f t="shared" si="22"/>
        <v>0</v>
      </c>
      <c r="L63" s="210">
        <f t="shared" si="15"/>
        <v>435</v>
      </c>
      <c r="M63" s="161">
        <f t="shared" si="23"/>
        <v>293.04255924274662</v>
      </c>
      <c r="N63" s="236">
        <f t="shared" si="16"/>
        <v>0</v>
      </c>
      <c r="O63" s="211">
        <f t="shared" si="24"/>
        <v>0</v>
      </c>
      <c r="Q63" s="187">
        <f t="shared" si="17"/>
        <v>2.1128368521402034</v>
      </c>
      <c r="R63" s="218"/>
      <c r="S63" s="212">
        <f t="shared" si="25"/>
        <v>4.072493032500242E-2</v>
      </c>
      <c r="T63" s="213">
        <f t="shared" si="26"/>
        <v>2.1535617824652058</v>
      </c>
      <c r="V63" s="212">
        <f t="shared" si="27"/>
        <v>53.723561782465204</v>
      </c>
      <c r="W63" s="214">
        <f t="shared" si="28"/>
        <v>0</v>
      </c>
      <c r="X63" s="214">
        <f t="shared" si="29"/>
        <v>0</v>
      </c>
      <c r="Y63" s="215">
        <f t="shared" si="30"/>
        <v>0</v>
      </c>
      <c r="AA63" s="216">
        <f t="shared" si="31"/>
        <v>0</v>
      </c>
      <c r="AB63" s="217">
        <f t="shared" si="18"/>
        <v>4.1759972512414256E-2</v>
      </c>
    </row>
    <row r="64" spans="1:28">
      <c r="A64" s="232" t="s">
        <v>136</v>
      </c>
      <c r="B64" s="220"/>
      <c r="C64" s="263">
        <f>B64*4.3333*3</f>
        <v>0</v>
      </c>
      <c r="D64" s="160">
        <v>3</v>
      </c>
      <c r="E64" s="167">
        <f t="shared" si="19"/>
        <v>0</v>
      </c>
      <c r="F64" s="234">
        <f t="shared" si="20"/>
        <v>0</v>
      </c>
      <c r="G64" s="160">
        <v>52</v>
      </c>
      <c r="I64" s="235">
        <v>51.57</v>
      </c>
      <c r="J64" s="164">
        <f t="shared" si="21"/>
        <v>0</v>
      </c>
      <c r="K64" s="164">
        <f t="shared" si="22"/>
        <v>0</v>
      </c>
      <c r="L64" s="210">
        <f t="shared" si="15"/>
        <v>435</v>
      </c>
      <c r="M64" s="161">
        <f t="shared" si="23"/>
        <v>293.04255924274662</v>
      </c>
      <c r="N64" s="236">
        <f t="shared" si="16"/>
        <v>0</v>
      </c>
      <c r="O64" s="211">
        <f t="shared" si="24"/>
        <v>0</v>
      </c>
      <c r="Q64" s="187">
        <f t="shared" si="17"/>
        <v>2.1128368521402034</v>
      </c>
      <c r="R64" s="212"/>
      <c r="S64" s="212">
        <f t="shared" si="25"/>
        <v>4.072493032500242E-2</v>
      </c>
      <c r="T64" s="213">
        <f t="shared" si="26"/>
        <v>2.1535617824652058</v>
      </c>
      <c r="V64" s="212">
        <f t="shared" si="27"/>
        <v>53.723561782465204</v>
      </c>
      <c r="W64" s="214">
        <f t="shared" si="28"/>
        <v>0</v>
      </c>
      <c r="X64" s="214">
        <f t="shared" si="29"/>
        <v>0</v>
      </c>
      <c r="Y64" s="215">
        <f t="shared" si="30"/>
        <v>0</v>
      </c>
      <c r="AA64" s="216">
        <f t="shared" si="31"/>
        <v>0</v>
      </c>
      <c r="AB64" s="217">
        <f t="shared" si="18"/>
        <v>4.1759972512414256E-2</v>
      </c>
    </row>
    <row r="65" spans="1:28">
      <c r="A65" s="232" t="s">
        <v>232</v>
      </c>
      <c r="B65" s="220"/>
      <c r="C65" s="263">
        <f>B65*4.33</f>
        <v>0</v>
      </c>
      <c r="D65" s="160">
        <f>4*3.5</f>
        <v>14</v>
      </c>
      <c r="E65" s="167">
        <f t="shared" si="19"/>
        <v>0</v>
      </c>
      <c r="F65" s="234">
        <f t="shared" si="20"/>
        <v>0</v>
      </c>
      <c r="G65" s="160">
        <v>52</v>
      </c>
      <c r="I65" s="235">
        <v>222.88</v>
      </c>
      <c r="J65" s="164">
        <f t="shared" si="21"/>
        <v>0</v>
      </c>
      <c r="K65" s="164">
        <f t="shared" si="22"/>
        <v>0</v>
      </c>
      <c r="L65" s="210">
        <f t="shared" si="15"/>
        <v>2030</v>
      </c>
      <c r="M65" s="161">
        <f t="shared" si="23"/>
        <v>1367.5319431328176</v>
      </c>
      <c r="N65" s="236">
        <f t="shared" si="16"/>
        <v>0</v>
      </c>
      <c r="O65" s="211">
        <f t="shared" si="24"/>
        <v>0</v>
      </c>
      <c r="Q65" s="187">
        <f t="shared" si="17"/>
        <v>9.8599053099876155</v>
      </c>
      <c r="R65" s="212"/>
      <c r="S65" s="212">
        <f t="shared" si="25"/>
        <v>0.19004967485001129</v>
      </c>
      <c r="T65" s="213">
        <f t="shared" si="26"/>
        <v>10.049954984837626</v>
      </c>
      <c r="V65" s="212">
        <f t="shared" si="27"/>
        <v>232.92995498483762</v>
      </c>
      <c r="W65" s="214">
        <f t="shared" si="28"/>
        <v>0</v>
      </c>
      <c r="X65" s="214">
        <f t="shared" si="29"/>
        <v>0</v>
      </c>
      <c r="Y65" s="215">
        <f t="shared" si="30"/>
        <v>0</v>
      </c>
      <c r="AA65" s="216">
        <f t="shared" si="31"/>
        <v>0</v>
      </c>
      <c r="AB65" s="217">
        <f t="shared" si="18"/>
        <v>4.5091327103542911E-2</v>
      </c>
    </row>
    <row r="66" spans="1:28">
      <c r="A66" s="232" t="s">
        <v>233</v>
      </c>
      <c r="B66" s="220"/>
      <c r="C66" s="263">
        <f>B66*4.33</f>
        <v>0</v>
      </c>
      <c r="D66" s="160">
        <f>4*5</f>
        <v>20</v>
      </c>
      <c r="E66" s="167">
        <f t="shared" si="19"/>
        <v>0</v>
      </c>
      <c r="F66" s="234">
        <f t="shared" si="20"/>
        <v>0</v>
      </c>
      <c r="G66" s="160">
        <v>52</v>
      </c>
      <c r="I66" s="235">
        <v>278.88</v>
      </c>
      <c r="J66" s="164">
        <f t="shared" si="21"/>
        <v>0</v>
      </c>
      <c r="K66" s="164">
        <f t="shared" si="22"/>
        <v>0</v>
      </c>
      <c r="L66" s="210">
        <f t="shared" si="15"/>
        <v>2900</v>
      </c>
      <c r="M66" s="161">
        <f t="shared" si="23"/>
        <v>1953.6170616183108</v>
      </c>
      <c r="N66" s="236">
        <f t="shared" si="16"/>
        <v>0</v>
      </c>
      <c r="O66" s="211">
        <f t="shared" si="24"/>
        <v>0</v>
      </c>
      <c r="Q66" s="187">
        <f t="shared" si="17"/>
        <v>14.085579014268022</v>
      </c>
      <c r="R66" s="212"/>
      <c r="S66" s="212">
        <f t="shared" si="25"/>
        <v>0.27149953550001615</v>
      </c>
      <c r="T66" s="213">
        <f t="shared" si="26"/>
        <v>14.357078549768039</v>
      </c>
      <c r="V66" s="212">
        <f t="shared" si="27"/>
        <v>293.23707854976806</v>
      </c>
      <c r="W66" s="214">
        <f t="shared" si="28"/>
        <v>0</v>
      </c>
      <c r="X66" s="214">
        <f t="shared" si="29"/>
        <v>0</v>
      </c>
      <c r="Y66" s="215">
        <f t="shared" si="30"/>
        <v>0</v>
      </c>
      <c r="AA66" s="216">
        <f t="shared" si="31"/>
        <v>0</v>
      </c>
      <c r="AB66" s="217">
        <f t="shared" si="18"/>
        <v>5.1481205356311177E-2</v>
      </c>
    </row>
    <row r="67" spans="1:28">
      <c r="A67" s="232" t="s">
        <v>137</v>
      </c>
      <c r="B67" s="220">
        <v>6</v>
      </c>
      <c r="C67" s="263">
        <f>+B67*1</f>
        <v>6</v>
      </c>
      <c r="D67" s="160">
        <v>4</v>
      </c>
      <c r="E67" s="167">
        <f t="shared" si="19"/>
        <v>24</v>
      </c>
      <c r="F67" s="234">
        <f t="shared" si="20"/>
        <v>6</v>
      </c>
      <c r="G67" s="160">
        <v>52</v>
      </c>
      <c r="I67" s="235">
        <v>67.42</v>
      </c>
      <c r="J67" s="164">
        <f t="shared" si="21"/>
        <v>404.52</v>
      </c>
      <c r="K67" s="164">
        <f t="shared" si="22"/>
        <v>4854.24</v>
      </c>
      <c r="L67" s="210">
        <f t="shared" si="15"/>
        <v>580</v>
      </c>
      <c r="M67" s="161">
        <f t="shared" si="23"/>
        <v>390.72341232366216</v>
      </c>
      <c r="N67" s="236">
        <f t="shared" si="16"/>
        <v>20.88</v>
      </c>
      <c r="O67" s="211">
        <f t="shared" si="24"/>
        <v>14.066042843651838</v>
      </c>
      <c r="Q67" s="187">
        <f t="shared" si="17"/>
        <v>2.8171158028536047</v>
      </c>
      <c r="R67" s="212"/>
      <c r="S67" s="212">
        <f t="shared" si="25"/>
        <v>5.4299907100003229E-2</v>
      </c>
      <c r="T67" s="213">
        <f t="shared" si="26"/>
        <v>2.8714157099536082</v>
      </c>
      <c r="V67" s="212">
        <f t="shared" si="27"/>
        <v>70.291415709953611</v>
      </c>
      <c r="W67" s="214">
        <f t="shared" si="28"/>
        <v>421.74849425972167</v>
      </c>
      <c r="X67" s="214">
        <f t="shared" si="29"/>
        <v>17.228494259721685</v>
      </c>
      <c r="Y67" s="215">
        <f t="shared" si="30"/>
        <v>206.74193111666023</v>
      </c>
      <c r="AA67" s="216">
        <f t="shared" si="31"/>
        <v>202.83233780545953</v>
      </c>
      <c r="AB67" s="217">
        <f t="shared" si="18"/>
        <v>4.2589968999608541E-2</v>
      </c>
    </row>
    <row r="68" spans="1:28">
      <c r="A68" s="232" t="s">
        <v>138</v>
      </c>
      <c r="B68" s="220">
        <v>265</v>
      </c>
      <c r="C68" s="263">
        <f>B68*4.3333</f>
        <v>1148.3245000000002</v>
      </c>
      <c r="D68" s="160">
        <v>4</v>
      </c>
      <c r="E68" s="167">
        <f t="shared" si="19"/>
        <v>4593.2980000000007</v>
      </c>
      <c r="F68" s="234">
        <f t="shared" si="20"/>
        <v>265</v>
      </c>
      <c r="G68" s="160">
        <v>52</v>
      </c>
      <c r="I68" s="235">
        <v>64.25</v>
      </c>
      <c r="J68" s="164">
        <f t="shared" si="21"/>
        <v>73779.849125000008</v>
      </c>
      <c r="K68" s="164">
        <f t="shared" si="22"/>
        <v>885358.18950000009</v>
      </c>
      <c r="L68" s="210">
        <f t="shared" si="15"/>
        <v>580</v>
      </c>
      <c r="M68" s="161">
        <f t="shared" si="23"/>
        <v>390.72341232366216</v>
      </c>
      <c r="N68" s="236">
        <f t="shared" si="16"/>
        <v>3996.17</v>
      </c>
      <c r="O68" s="211">
        <f t="shared" si="24"/>
        <v>2692.0641010783602</v>
      </c>
      <c r="Q68" s="187">
        <f t="shared" si="17"/>
        <v>2.8171158028536047</v>
      </c>
      <c r="R68" s="212"/>
      <c r="S68" s="212">
        <f t="shared" si="25"/>
        <v>5.4299907100003229E-2</v>
      </c>
      <c r="T68" s="213">
        <f t="shared" si="26"/>
        <v>2.8714157099536082</v>
      </c>
      <c r="V68" s="212">
        <f t="shared" si="27"/>
        <v>67.12141570995361</v>
      </c>
      <c r="W68" s="214">
        <f t="shared" si="28"/>
        <v>77077.166134424639</v>
      </c>
      <c r="X68" s="214">
        <f t="shared" si="29"/>
        <v>3297.3170094246307</v>
      </c>
      <c r="Y68" s="215">
        <f t="shared" si="30"/>
        <v>39567.804113095568</v>
      </c>
      <c r="AA68" s="216">
        <f t="shared" si="31"/>
        <v>38819.564337549957</v>
      </c>
      <c r="AB68" s="217">
        <f t="shared" si="18"/>
        <v>4.469129509655434E-2</v>
      </c>
    </row>
    <row r="69" spans="1:28">
      <c r="A69" s="232" t="s">
        <v>139</v>
      </c>
      <c r="B69" s="220"/>
      <c r="C69" s="263">
        <f>B69*4.3333*2</f>
        <v>0</v>
      </c>
      <c r="D69" s="160">
        <v>4</v>
      </c>
      <c r="E69" s="167">
        <f t="shared" si="19"/>
        <v>0</v>
      </c>
      <c r="F69" s="234">
        <f t="shared" si="20"/>
        <v>0</v>
      </c>
      <c r="G69" s="160">
        <v>52</v>
      </c>
      <c r="I69" s="235">
        <v>64.25</v>
      </c>
      <c r="J69" s="164">
        <f t="shared" si="21"/>
        <v>0</v>
      </c>
      <c r="K69" s="164">
        <f t="shared" si="22"/>
        <v>0</v>
      </c>
      <c r="L69" s="210">
        <f t="shared" si="15"/>
        <v>580</v>
      </c>
      <c r="M69" s="161">
        <f t="shared" si="23"/>
        <v>390.72341232366216</v>
      </c>
      <c r="N69" s="236">
        <f t="shared" si="16"/>
        <v>0</v>
      </c>
      <c r="O69" s="211">
        <f t="shared" si="24"/>
        <v>0</v>
      </c>
      <c r="Q69" s="187">
        <f t="shared" si="17"/>
        <v>2.8171158028536047</v>
      </c>
      <c r="R69" s="218"/>
      <c r="S69" s="212">
        <f t="shared" si="25"/>
        <v>5.4299907100003229E-2</v>
      </c>
      <c r="T69" s="213">
        <f t="shared" si="26"/>
        <v>2.8714157099536082</v>
      </c>
      <c r="V69" s="212">
        <f t="shared" si="27"/>
        <v>67.12141570995361</v>
      </c>
      <c r="W69" s="214">
        <f t="shared" si="28"/>
        <v>0</v>
      </c>
      <c r="X69" s="214">
        <f t="shared" si="29"/>
        <v>0</v>
      </c>
      <c r="Y69" s="215">
        <f t="shared" si="30"/>
        <v>0</v>
      </c>
      <c r="AA69" s="216">
        <f t="shared" si="31"/>
        <v>0</v>
      </c>
      <c r="AB69" s="217">
        <f t="shared" si="18"/>
        <v>4.469129509655434E-2</v>
      </c>
    </row>
    <row r="70" spans="1:28">
      <c r="A70" s="232" t="s">
        <v>140</v>
      </c>
      <c r="B70" s="220"/>
      <c r="C70" s="263">
        <f>B70*4.3333*3</f>
        <v>0</v>
      </c>
      <c r="D70" s="160">
        <v>4</v>
      </c>
      <c r="E70" s="167">
        <f t="shared" si="19"/>
        <v>0</v>
      </c>
      <c r="F70" s="234">
        <f t="shared" si="20"/>
        <v>0</v>
      </c>
      <c r="G70" s="160">
        <v>52</v>
      </c>
      <c r="I70" s="235">
        <v>64.25</v>
      </c>
      <c r="J70" s="164">
        <f t="shared" si="21"/>
        <v>0</v>
      </c>
      <c r="K70" s="164">
        <f t="shared" si="22"/>
        <v>0</v>
      </c>
      <c r="L70" s="210">
        <f t="shared" si="15"/>
        <v>580</v>
      </c>
      <c r="M70" s="161">
        <f t="shared" si="23"/>
        <v>390.72341232366216</v>
      </c>
      <c r="N70" s="236">
        <f t="shared" si="16"/>
        <v>0</v>
      </c>
      <c r="O70" s="211">
        <f t="shared" si="24"/>
        <v>0</v>
      </c>
      <c r="Q70" s="187">
        <f t="shared" si="17"/>
        <v>2.8171158028536047</v>
      </c>
      <c r="R70" s="212"/>
      <c r="S70" s="212">
        <f t="shared" si="25"/>
        <v>5.4299907100003229E-2</v>
      </c>
      <c r="T70" s="213">
        <f t="shared" si="26"/>
        <v>2.8714157099536082</v>
      </c>
      <c r="V70" s="212">
        <f t="shared" si="27"/>
        <v>67.12141570995361</v>
      </c>
      <c r="W70" s="214">
        <f t="shared" si="28"/>
        <v>0</v>
      </c>
      <c r="X70" s="214">
        <f t="shared" si="29"/>
        <v>0</v>
      </c>
      <c r="Y70" s="215">
        <f t="shared" si="30"/>
        <v>0</v>
      </c>
      <c r="AA70" s="216">
        <f t="shared" si="31"/>
        <v>0</v>
      </c>
      <c r="AB70" s="217">
        <f t="shared" si="18"/>
        <v>4.469129509655434E-2</v>
      </c>
    </row>
    <row r="71" spans="1:28">
      <c r="A71" s="232" t="s">
        <v>234</v>
      </c>
      <c r="B71" s="220"/>
      <c r="C71" s="263">
        <f>(B71*4.3333)*4</f>
        <v>0</v>
      </c>
      <c r="D71" s="160">
        <v>4</v>
      </c>
      <c r="E71" s="167">
        <f t="shared" si="19"/>
        <v>0</v>
      </c>
      <c r="F71" s="234">
        <f t="shared" si="20"/>
        <v>0</v>
      </c>
      <c r="G71" s="160">
        <v>52</v>
      </c>
      <c r="I71" s="235">
        <v>64.25</v>
      </c>
      <c r="J71" s="164">
        <f t="shared" si="21"/>
        <v>0</v>
      </c>
      <c r="K71" s="164">
        <f t="shared" si="22"/>
        <v>0</v>
      </c>
      <c r="L71" s="210">
        <f t="shared" si="15"/>
        <v>580</v>
      </c>
      <c r="M71" s="161">
        <f t="shared" si="23"/>
        <v>390.72341232366216</v>
      </c>
      <c r="N71" s="236">
        <f t="shared" si="16"/>
        <v>0</v>
      </c>
      <c r="O71" s="211">
        <f t="shared" si="24"/>
        <v>0</v>
      </c>
      <c r="Q71" s="187">
        <f t="shared" si="17"/>
        <v>2.8171158028536047</v>
      </c>
      <c r="R71" s="212"/>
      <c r="S71" s="212">
        <f t="shared" si="25"/>
        <v>5.4299907100003229E-2</v>
      </c>
      <c r="T71" s="213">
        <f t="shared" si="26"/>
        <v>2.8714157099536082</v>
      </c>
      <c r="V71" s="212">
        <f t="shared" si="27"/>
        <v>67.12141570995361</v>
      </c>
      <c r="W71" s="214">
        <f t="shared" si="28"/>
        <v>0</v>
      </c>
      <c r="X71" s="214">
        <f t="shared" si="29"/>
        <v>0</v>
      </c>
      <c r="Y71" s="215">
        <f t="shared" si="30"/>
        <v>0</v>
      </c>
      <c r="AA71" s="216">
        <f t="shared" si="31"/>
        <v>0</v>
      </c>
      <c r="AB71" s="217">
        <f t="shared" si="18"/>
        <v>4.469129509655434E-2</v>
      </c>
    </row>
    <row r="72" spans="1:28">
      <c r="A72" s="232" t="s">
        <v>269</v>
      </c>
      <c r="B72" s="220"/>
      <c r="C72" s="263">
        <f>(B72*4.3333)*5</f>
        <v>0</v>
      </c>
      <c r="D72" s="160">
        <v>4</v>
      </c>
      <c r="E72" s="167">
        <f t="shared" si="19"/>
        <v>0</v>
      </c>
      <c r="F72" s="234">
        <f t="shared" si="20"/>
        <v>0</v>
      </c>
      <c r="G72" s="160">
        <v>52</v>
      </c>
      <c r="I72" s="235">
        <v>64.25</v>
      </c>
      <c r="J72" s="164">
        <f t="shared" si="21"/>
        <v>0</v>
      </c>
      <c r="K72" s="164">
        <f t="shared" si="22"/>
        <v>0</v>
      </c>
      <c r="L72" s="210">
        <f t="shared" si="15"/>
        <v>580</v>
      </c>
      <c r="M72" s="161">
        <f t="shared" si="23"/>
        <v>390.72341232366216</v>
      </c>
      <c r="N72" s="236">
        <f t="shared" si="16"/>
        <v>0</v>
      </c>
      <c r="O72" s="211">
        <f t="shared" si="24"/>
        <v>0</v>
      </c>
      <c r="Q72" s="187">
        <f t="shared" si="17"/>
        <v>2.8171158028536047</v>
      </c>
      <c r="R72" s="212"/>
      <c r="S72" s="212">
        <f t="shared" si="25"/>
        <v>5.4299907100003229E-2</v>
      </c>
      <c r="T72" s="213">
        <f t="shared" si="26"/>
        <v>2.8714157099536082</v>
      </c>
      <c r="V72" s="212">
        <f t="shared" si="27"/>
        <v>67.12141570995361</v>
      </c>
      <c r="W72" s="214">
        <f t="shared" si="28"/>
        <v>0</v>
      </c>
      <c r="X72" s="214">
        <f t="shared" si="29"/>
        <v>0</v>
      </c>
      <c r="Y72" s="215">
        <f t="shared" si="30"/>
        <v>0</v>
      </c>
      <c r="AA72" s="216">
        <f t="shared" si="31"/>
        <v>0</v>
      </c>
      <c r="AB72" s="217">
        <f t="shared" si="18"/>
        <v>4.469129509655434E-2</v>
      </c>
    </row>
    <row r="73" spans="1:28">
      <c r="A73" s="232" t="s">
        <v>235</v>
      </c>
      <c r="B73" s="220"/>
      <c r="C73" s="263">
        <f>B73*4.33</f>
        <v>0</v>
      </c>
      <c r="D73" s="160">
        <f>5*3.5</f>
        <v>17.5</v>
      </c>
      <c r="E73" s="167">
        <f t="shared" si="19"/>
        <v>0</v>
      </c>
      <c r="F73" s="234">
        <f t="shared" si="20"/>
        <v>0</v>
      </c>
      <c r="G73" s="160">
        <v>52</v>
      </c>
      <c r="I73" s="235">
        <v>255.45</v>
      </c>
      <c r="J73" s="164">
        <f t="shared" si="21"/>
        <v>0</v>
      </c>
      <c r="K73" s="164">
        <f t="shared" si="22"/>
        <v>0</v>
      </c>
      <c r="L73" s="210">
        <f t="shared" si="15"/>
        <v>2537.5</v>
      </c>
      <c r="M73" s="161">
        <f t="shared" si="23"/>
        <v>1709.4149289160218</v>
      </c>
      <c r="N73" s="236">
        <f t="shared" si="16"/>
        <v>0</v>
      </c>
      <c r="O73" s="211">
        <f t="shared" si="24"/>
        <v>0</v>
      </c>
      <c r="Q73" s="187">
        <f t="shared" si="17"/>
        <v>12.32488163748452</v>
      </c>
      <c r="R73" s="212"/>
      <c r="S73" s="212">
        <f t="shared" si="25"/>
        <v>0.23756209356251412</v>
      </c>
      <c r="T73" s="213">
        <f t="shared" si="26"/>
        <v>12.562443731047034</v>
      </c>
      <c r="V73" s="212">
        <f t="shared" si="27"/>
        <v>268.01244373104703</v>
      </c>
      <c r="W73" s="214">
        <f t="shared" si="28"/>
        <v>0</v>
      </c>
      <c r="X73" s="214">
        <f t="shared" si="29"/>
        <v>0</v>
      </c>
      <c r="Y73" s="215">
        <f t="shared" si="30"/>
        <v>0</v>
      </c>
      <c r="AA73" s="216">
        <f t="shared" si="31"/>
        <v>0</v>
      </c>
      <c r="AB73" s="217">
        <f t="shared" si="18"/>
        <v>4.9177701041483779E-2</v>
      </c>
    </row>
    <row r="74" spans="1:28">
      <c r="A74" s="232" t="s">
        <v>236</v>
      </c>
      <c r="B74" s="220"/>
      <c r="C74" s="263">
        <f>B74*4.33</f>
        <v>0</v>
      </c>
      <c r="D74" s="160">
        <f>5*5</f>
        <v>25</v>
      </c>
      <c r="E74" s="167">
        <f t="shared" si="19"/>
        <v>0</v>
      </c>
      <c r="F74" s="234">
        <f t="shared" si="20"/>
        <v>0</v>
      </c>
      <c r="G74" s="160">
        <v>52</v>
      </c>
      <c r="I74" s="235">
        <v>325.14</v>
      </c>
      <c r="J74" s="164">
        <f t="shared" si="21"/>
        <v>0</v>
      </c>
      <c r="K74" s="164">
        <f t="shared" si="22"/>
        <v>0</v>
      </c>
      <c r="L74" s="210">
        <f t="shared" si="15"/>
        <v>3625</v>
      </c>
      <c r="M74" s="161">
        <f t="shared" si="23"/>
        <v>2442.0213270228883</v>
      </c>
      <c r="N74" s="236">
        <f t="shared" si="16"/>
        <v>0</v>
      </c>
      <c r="O74" s="211">
        <f t="shared" si="24"/>
        <v>0</v>
      </c>
      <c r="Q74" s="187">
        <f t="shared" si="17"/>
        <v>17.606973767835026</v>
      </c>
      <c r="R74" s="218"/>
      <c r="S74" s="212">
        <f t="shared" si="25"/>
        <v>0.33937441937502011</v>
      </c>
      <c r="T74" s="213">
        <f t="shared" si="26"/>
        <v>17.946348187210045</v>
      </c>
      <c r="V74" s="212">
        <f t="shared" si="27"/>
        <v>343.08634818721004</v>
      </c>
      <c r="W74" s="214">
        <f t="shared" si="28"/>
        <v>0</v>
      </c>
      <c r="X74" s="214">
        <f t="shared" si="29"/>
        <v>0</v>
      </c>
      <c r="Y74" s="215">
        <f t="shared" si="30"/>
        <v>0</v>
      </c>
      <c r="AA74" s="216">
        <f t="shared" si="31"/>
        <v>0</v>
      </c>
      <c r="AB74" s="217">
        <f t="shared" si="18"/>
        <v>5.5195756250261629E-2</v>
      </c>
    </row>
    <row r="75" spans="1:28">
      <c r="A75" s="232" t="s">
        <v>237</v>
      </c>
      <c r="B75" s="220"/>
      <c r="C75" s="263">
        <f>B75*4.33</f>
        <v>0</v>
      </c>
      <c r="D75" s="160">
        <f>6*3.5</f>
        <v>21</v>
      </c>
      <c r="E75" s="167">
        <f t="shared" si="19"/>
        <v>0</v>
      </c>
      <c r="F75" s="234">
        <f t="shared" si="20"/>
        <v>0</v>
      </c>
      <c r="G75" s="160">
        <v>52</v>
      </c>
      <c r="I75" s="235">
        <v>325.26</v>
      </c>
      <c r="J75" s="164">
        <f t="shared" si="21"/>
        <v>0</v>
      </c>
      <c r="K75" s="164">
        <f t="shared" si="22"/>
        <v>0</v>
      </c>
      <c r="L75" s="210">
        <f t="shared" si="15"/>
        <v>3045</v>
      </c>
      <c r="M75" s="161">
        <f t="shared" si="23"/>
        <v>2051.2979146992261</v>
      </c>
      <c r="N75" s="236">
        <f t="shared" si="16"/>
        <v>0</v>
      </c>
      <c r="O75" s="211">
        <f t="shared" si="24"/>
        <v>0</v>
      </c>
      <c r="Q75" s="187">
        <f t="shared" si="17"/>
        <v>14.789857964981422</v>
      </c>
      <c r="R75" s="212"/>
      <c r="S75" s="212">
        <f t="shared" si="25"/>
        <v>0.2850745122750169</v>
      </c>
      <c r="T75" s="213">
        <f t="shared" si="26"/>
        <v>15.074932477256439</v>
      </c>
      <c r="V75" s="212">
        <f t="shared" si="27"/>
        <v>340.33493247725642</v>
      </c>
      <c r="W75" s="214">
        <f t="shared" si="28"/>
        <v>0</v>
      </c>
      <c r="X75" s="214">
        <f t="shared" si="29"/>
        <v>0</v>
      </c>
      <c r="Y75" s="215">
        <f t="shared" si="30"/>
        <v>0</v>
      </c>
      <c r="AA75" s="216">
        <f t="shared" si="31"/>
        <v>0</v>
      </c>
      <c r="AB75" s="217">
        <f t="shared" si="18"/>
        <v>4.6347329758520628E-2</v>
      </c>
    </row>
    <row r="76" spans="1:28">
      <c r="A76" s="232" t="s">
        <v>238</v>
      </c>
      <c r="B76" s="220"/>
      <c r="C76" s="263">
        <f>B76*4.33</f>
        <v>0</v>
      </c>
      <c r="D76" s="160">
        <f>6*5</f>
        <v>30</v>
      </c>
      <c r="E76" s="167">
        <f t="shared" si="19"/>
        <v>0</v>
      </c>
      <c r="F76" s="234">
        <f t="shared" si="20"/>
        <v>0</v>
      </c>
      <c r="G76" s="160">
        <v>52</v>
      </c>
      <c r="I76" s="235">
        <v>371.4</v>
      </c>
      <c r="J76" s="164">
        <f t="shared" si="21"/>
        <v>0</v>
      </c>
      <c r="K76" s="164">
        <f t="shared" si="22"/>
        <v>0</v>
      </c>
      <c r="L76" s="210">
        <f t="shared" si="15"/>
        <v>4350</v>
      </c>
      <c r="M76" s="161">
        <f t="shared" si="23"/>
        <v>2930.4255924274662</v>
      </c>
      <c r="N76" s="236">
        <f t="shared" si="16"/>
        <v>0</v>
      </c>
      <c r="O76" s="211">
        <f t="shared" si="24"/>
        <v>0</v>
      </c>
      <c r="Q76" s="187">
        <f t="shared" si="17"/>
        <v>21.128368521402034</v>
      </c>
      <c r="R76" s="212"/>
      <c r="S76" s="212">
        <f t="shared" si="25"/>
        <v>0.40724930325002423</v>
      </c>
      <c r="T76" s="213">
        <f t="shared" si="26"/>
        <v>21.535617824652057</v>
      </c>
      <c r="V76" s="212">
        <f t="shared" si="27"/>
        <v>392.93561782465201</v>
      </c>
      <c r="W76" s="214">
        <f t="shared" si="28"/>
        <v>0</v>
      </c>
      <c r="X76" s="214">
        <f t="shared" si="29"/>
        <v>0</v>
      </c>
      <c r="Y76" s="215">
        <f t="shared" si="30"/>
        <v>0</v>
      </c>
      <c r="AA76" s="216">
        <f t="shared" si="31"/>
        <v>0</v>
      </c>
      <c r="AB76" s="217">
        <f t="shared" si="18"/>
        <v>5.7984969910210182E-2</v>
      </c>
    </row>
    <row r="77" spans="1:28">
      <c r="A77" s="232" t="s">
        <v>120</v>
      </c>
      <c r="B77" s="220">
        <v>2</v>
      </c>
      <c r="C77" s="263">
        <f>+B77*1</f>
        <v>2</v>
      </c>
      <c r="D77" s="160">
        <v>6</v>
      </c>
      <c r="E77" s="167">
        <f t="shared" si="19"/>
        <v>12</v>
      </c>
      <c r="F77" s="234">
        <f t="shared" si="20"/>
        <v>2</v>
      </c>
      <c r="G77" s="160">
        <v>52</v>
      </c>
      <c r="I77" s="235">
        <v>101.71</v>
      </c>
      <c r="J77" s="164">
        <f t="shared" si="21"/>
        <v>203.42</v>
      </c>
      <c r="K77" s="164">
        <f t="shared" si="22"/>
        <v>2441.04</v>
      </c>
      <c r="L77" s="210">
        <f t="shared" si="15"/>
        <v>870</v>
      </c>
      <c r="M77" s="161">
        <f t="shared" si="23"/>
        <v>586.08511848549324</v>
      </c>
      <c r="N77" s="236">
        <f t="shared" si="16"/>
        <v>10.44</v>
      </c>
      <c r="O77" s="211">
        <f t="shared" si="24"/>
        <v>7.0330214218259188</v>
      </c>
      <c r="Q77" s="187">
        <f t="shared" si="17"/>
        <v>4.2256737042804069</v>
      </c>
      <c r="R77" s="212"/>
      <c r="S77" s="212">
        <f t="shared" si="25"/>
        <v>8.1449860650004841E-2</v>
      </c>
      <c r="T77" s="213">
        <f t="shared" si="26"/>
        <v>4.3071235649304116</v>
      </c>
      <c r="V77" s="212">
        <f t="shared" si="27"/>
        <v>106.0171235649304</v>
      </c>
      <c r="W77" s="214">
        <f t="shared" si="28"/>
        <v>212.0342471298608</v>
      </c>
      <c r="X77" s="214">
        <f t="shared" si="29"/>
        <v>8.6142471298608143</v>
      </c>
      <c r="Y77" s="215">
        <f t="shared" si="30"/>
        <v>103.37096555832977</v>
      </c>
      <c r="AA77" s="216">
        <f t="shared" si="31"/>
        <v>101.41616890272977</v>
      </c>
      <c r="AB77" s="217">
        <f t="shared" si="18"/>
        <v>4.2347100235280877E-2</v>
      </c>
    </row>
    <row r="78" spans="1:28">
      <c r="A78" s="232" t="s">
        <v>121</v>
      </c>
      <c r="B78" s="220">
        <v>121</v>
      </c>
      <c r="C78" s="263">
        <f>B78*4.3333</f>
        <v>524.32929999999999</v>
      </c>
      <c r="D78" s="160">
        <v>6</v>
      </c>
      <c r="E78" s="167">
        <f t="shared" si="19"/>
        <v>3145.9758000000002</v>
      </c>
      <c r="F78" s="234">
        <f t="shared" si="20"/>
        <v>121</v>
      </c>
      <c r="G78" s="160">
        <v>52</v>
      </c>
      <c r="I78" s="235">
        <v>95.9</v>
      </c>
      <c r="J78" s="164">
        <f t="shared" si="21"/>
        <v>50283.17987</v>
      </c>
      <c r="K78" s="164">
        <f t="shared" si="22"/>
        <v>603398.15844000003</v>
      </c>
      <c r="L78" s="210">
        <f t="shared" si="15"/>
        <v>870</v>
      </c>
      <c r="M78" s="161">
        <f t="shared" si="23"/>
        <v>586.08511848549324</v>
      </c>
      <c r="N78" s="236">
        <f t="shared" si="16"/>
        <v>2737</v>
      </c>
      <c r="O78" s="211">
        <f t="shared" si="24"/>
        <v>1843.8103095342472</v>
      </c>
      <c r="Q78" s="187">
        <f t="shared" si="17"/>
        <v>4.2256737042804069</v>
      </c>
      <c r="R78" s="212"/>
      <c r="S78" s="212">
        <f t="shared" si="25"/>
        <v>8.1449860650004841E-2</v>
      </c>
      <c r="T78" s="213">
        <f t="shared" si="26"/>
        <v>4.3071235649304116</v>
      </c>
      <c r="V78" s="212">
        <f t="shared" si="27"/>
        <v>100.20712356493041</v>
      </c>
      <c r="W78" s="214">
        <f t="shared" si="28"/>
        <v>52541.530953813468</v>
      </c>
      <c r="X78" s="214">
        <f t="shared" si="29"/>
        <v>2258.351083813468</v>
      </c>
      <c r="Y78" s="215">
        <f t="shared" si="30"/>
        <v>27100.213005761616</v>
      </c>
      <c r="AA78" s="216">
        <f t="shared" si="31"/>
        <v>26587.744663483849</v>
      </c>
      <c r="AB78" s="217">
        <f t="shared" si="18"/>
        <v>4.4912654483111547E-2</v>
      </c>
    </row>
    <row r="79" spans="1:28">
      <c r="A79" s="232" t="s">
        <v>122</v>
      </c>
      <c r="B79" s="220"/>
      <c r="C79" s="263">
        <f>B79*4.3333*2</f>
        <v>0</v>
      </c>
      <c r="D79" s="160">
        <v>6</v>
      </c>
      <c r="E79" s="167">
        <f t="shared" si="19"/>
        <v>0</v>
      </c>
      <c r="F79" s="234">
        <f t="shared" si="20"/>
        <v>0</v>
      </c>
      <c r="G79" s="160">
        <v>52</v>
      </c>
      <c r="I79" s="235">
        <v>95.9</v>
      </c>
      <c r="J79" s="164">
        <f t="shared" si="21"/>
        <v>0</v>
      </c>
      <c r="K79" s="164">
        <f t="shared" si="22"/>
        <v>0</v>
      </c>
      <c r="L79" s="210">
        <f t="shared" si="15"/>
        <v>870</v>
      </c>
      <c r="M79" s="161">
        <f t="shared" si="23"/>
        <v>586.08511848549324</v>
      </c>
      <c r="N79" s="236">
        <f t="shared" si="16"/>
        <v>0</v>
      </c>
      <c r="O79" s="211">
        <f t="shared" si="24"/>
        <v>0</v>
      </c>
      <c r="Q79" s="187">
        <f t="shared" si="17"/>
        <v>4.2256737042804069</v>
      </c>
      <c r="R79" s="212"/>
      <c r="S79" s="212">
        <f t="shared" si="25"/>
        <v>8.1449860650004841E-2</v>
      </c>
      <c r="T79" s="213">
        <f t="shared" si="26"/>
        <v>4.3071235649304116</v>
      </c>
      <c r="V79" s="212">
        <f t="shared" si="27"/>
        <v>100.20712356493041</v>
      </c>
      <c r="W79" s="214">
        <f t="shared" si="28"/>
        <v>0</v>
      </c>
      <c r="X79" s="214">
        <f t="shared" si="29"/>
        <v>0</v>
      </c>
      <c r="Y79" s="215">
        <f t="shared" si="30"/>
        <v>0</v>
      </c>
      <c r="AA79" s="216">
        <f t="shared" si="31"/>
        <v>0</v>
      </c>
      <c r="AB79" s="217">
        <f t="shared" si="18"/>
        <v>4.4912654483111547E-2</v>
      </c>
    </row>
    <row r="80" spans="1:28">
      <c r="A80" s="232" t="s">
        <v>239</v>
      </c>
      <c r="B80" s="220"/>
      <c r="C80" s="263">
        <f>B80*4.3333*3</f>
        <v>0</v>
      </c>
      <c r="D80" s="160">
        <v>6</v>
      </c>
      <c r="E80" s="167">
        <f t="shared" si="19"/>
        <v>0</v>
      </c>
      <c r="F80" s="234">
        <f t="shared" si="20"/>
        <v>0</v>
      </c>
      <c r="G80" s="160">
        <v>52</v>
      </c>
      <c r="I80" s="235">
        <v>95.9</v>
      </c>
      <c r="J80" s="164">
        <f t="shared" si="21"/>
        <v>0</v>
      </c>
      <c r="K80" s="164">
        <f t="shared" si="22"/>
        <v>0</v>
      </c>
      <c r="L80" s="210">
        <f t="shared" si="15"/>
        <v>870</v>
      </c>
      <c r="M80" s="161">
        <f t="shared" si="23"/>
        <v>586.08511848549324</v>
      </c>
      <c r="N80" s="236">
        <f t="shared" si="16"/>
        <v>0</v>
      </c>
      <c r="O80" s="211">
        <f t="shared" si="24"/>
        <v>0</v>
      </c>
      <c r="Q80" s="187">
        <f t="shared" si="17"/>
        <v>4.2256737042804069</v>
      </c>
      <c r="R80" s="212"/>
      <c r="S80" s="212">
        <f t="shared" si="25"/>
        <v>8.1449860650004841E-2</v>
      </c>
      <c r="T80" s="213">
        <f t="shared" si="26"/>
        <v>4.3071235649304116</v>
      </c>
      <c r="V80" s="212">
        <f t="shared" si="27"/>
        <v>100.20712356493041</v>
      </c>
      <c r="W80" s="214">
        <f t="shared" si="28"/>
        <v>0</v>
      </c>
      <c r="X80" s="214">
        <f t="shared" si="29"/>
        <v>0</v>
      </c>
      <c r="Y80" s="215">
        <f t="shared" si="30"/>
        <v>0</v>
      </c>
      <c r="AA80" s="216">
        <f t="shared" si="31"/>
        <v>0</v>
      </c>
      <c r="AB80" s="217">
        <f t="shared" si="18"/>
        <v>4.4912654483111547E-2</v>
      </c>
    </row>
    <row r="81" spans="1:28">
      <c r="A81" s="232" t="s">
        <v>240</v>
      </c>
      <c r="B81" s="220"/>
      <c r="C81" s="263">
        <f>B81*4.3333*4</f>
        <v>0</v>
      </c>
      <c r="D81" s="160">
        <v>6</v>
      </c>
      <c r="E81" s="167">
        <f t="shared" si="19"/>
        <v>0</v>
      </c>
      <c r="F81" s="234">
        <f t="shared" si="20"/>
        <v>0</v>
      </c>
      <c r="G81" s="160">
        <v>52</v>
      </c>
      <c r="I81" s="235">
        <v>95.9</v>
      </c>
      <c r="J81" s="164">
        <f t="shared" si="21"/>
        <v>0</v>
      </c>
      <c r="K81" s="164">
        <f t="shared" si="22"/>
        <v>0</v>
      </c>
      <c r="L81" s="210">
        <f t="shared" si="15"/>
        <v>870</v>
      </c>
      <c r="M81" s="161">
        <f t="shared" si="23"/>
        <v>586.08511848549324</v>
      </c>
      <c r="N81" s="236">
        <f t="shared" si="16"/>
        <v>0</v>
      </c>
      <c r="O81" s="211">
        <f t="shared" si="24"/>
        <v>0</v>
      </c>
      <c r="Q81" s="187">
        <f t="shared" si="17"/>
        <v>4.2256737042804069</v>
      </c>
      <c r="R81" s="212"/>
      <c r="S81" s="212">
        <f t="shared" si="25"/>
        <v>8.1449860650004841E-2</v>
      </c>
      <c r="T81" s="213">
        <f t="shared" si="26"/>
        <v>4.3071235649304116</v>
      </c>
      <c r="V81" s="212">
        <f t="shared" si="27"/>
        <v>100.20712356493041</v>
      </c>
      <c r="W81" s="214">
        <f t="shared" si="28"/>
        <v>0</v>
      </c>
      <c r="X81" s="214">
        <f t="shared" si="29"/>
        <v>0</v>
      </c>
      <c r="Y81" s="215">
        <f t="shared" si="30"/>
        <v>0</v>
      </c>
      <c r="AA81" s="216">
        <f t="shared" si="31"/>
        <v>0</v>
      </c>
      <c r="AB81" s="217">
        <f t="shared" si="18"/>
        <v>4.4912654483111547E-2</v>
      </c>
    </row>
    <row r="82" spans="1:28">
      <c r="A82" s="232" t="s">
        <v>123</v>
      </c>
      <c r="B82" s="220">
        <v>6</v>
      </c>
      <c r="C82" s="263">
        <f>+B82*1</f>
        <v>6</v>
      </c>
      <c r="D82" s="160">
        <v>8</v>
      </c>
      <c r="E82" s="167">
        <f t="shared" si="19"/>
        <v>48</v>
      </c>
      <c r="F82" s="234">
        <f t="shared" si="20"/>
        <v>6</v>
      </c>
      <c r="G82" s="160">
        <v>52</v>
      </c>
      <c r="I82" s="235">
        <v>123.82</v>
      </c>
      <c r="J82" s="164">
        <f t="shared" si="21"/>
        <v>742.92</v>
      </c>
      <c r="K82" s="164">
        <f t="shared" si="22"/>
        <v>8915.0399999999991</v>
      </c>
      <c r="L82" s="210">
        <f t="shared" si="15"/>
        <v>1160</v>
      </c>
      <c r="M82" s="161">
        <f t="shared" si="23"/>
        <v>781.44682464732432</v>
      </c>
      <c r="N82" s="236">
        <f t="shared" si="16"/>
        <v>41.76</v>
      </c>
      <c r="O82" s="211">
        <f t="shared" si="24"/>
        <v>28.132085687303675</v>
      </c>
      <c r="Q82" s="187">
        <f t="shared" si="17"/>
        <v>5.6342316057072095</v>
      </c>
      <c r="R82" s="212"/>
      <c r="S82" s="212">
        <f t="shared" si="25"/>
        <v>0.10859981420000646</v>
      </c>
      <c r="T82" s="213">
        <f t="shared" si="26"/>
        <v>5.7428314199072164</v>
      </c>
      <c r="V82" s="212">
        <f t="shared" si="27"/>
        <v>129.56283141990721</v>
      </c>
      <c r="W82" s="214">
        <f t="shared" si="28"/>
        <v>777.37698851944333</v>
      </c>
      <c r="X82" s="214">
        <f t="shared" si="29"/>
        <v>34.456988519443371</v>
      </c>
      <c r="Y82" s="215">
        <f t="shared" si="30"/>
        <v>413.48386223332045</v>
      </c>
      <c r="AA82" s="216">
        <f t="shared" si="31"/>
        <v>405.66467561091906</v>
      </c>
      <c r="AB82" s="217">
        <f t="shared" si="18"/>
        <v>4.6380483119909721E-2</v>
      </c>
    </row>
    <row r="83" spans="1:28">
      <c r="A83" s="232" t="s">
        <v>124</v>
      </c>
      <c r="B83" s="220">
        <v>101</v>
      </c>
      <c r="C83" s="263">
        <f>B83*4.3333</f>
        <v>437.66330000000005</v>
      </c>
      <c r="D83" s="160">
        <v>8</v>
      </c>
      <c r="E83" s="167">
        <f t="shared" si="19"/>
        <v>3501.3064000000004</v>
      </c>
      <c r="F83" s="234">
        <f t="shared" si="20"/>
        <v>101</v>
      </c>
      <c r="G83" s="160">
        <v>52</v>
      </c>
      <c r="I83" s="235">
        <v>121.19</v>
      </c>
      <c r="J83" s="164">
        <f t="shared" si="21"/>
        <v>53040.415327000002</v>
      </c>
      <c r="K83" s="164">
        <f t="shared" si="22"/>
        <v>636484.98392400006</v>
      </c>
      <c r="L83" s="210">
        <f t="shared" si="15"/>
        <v>1160</v>
      </c>
      <c r="M83" s="161">
        <f t="shared" si="23"/>
        <v>781.44682464732432</v>
      </c>
      <c r="N83" s="236">
        <f t="shared" si="16"/>
        <v>3046.14</v>
      </c>
      <c r="O83" s="211">
        <f t="shared" si="24"/>
        <v>2052.065888302759</v>
      </c>
      <c r="Q83" s="187">
        <f t="shared" si="17"/>
        <v>5.6342316057072095</v>
      </c>
      <c r="R83" s="212"/>
      <c r="S83" s="212">
        <f t="shared" si="25"/>
        <v>0.10859981420000646</v>
      </c>
      <c r="T83" s="213">
        <f t="shared" si="26"/>
        <v>5.7428314199072164</v>
      </c>
      <c r="V83" s="212">
        <f t="shared" si="27"/>
        <v>126.93283141990722</v>
      </c>
      <c r="W83" s="214">
        <f t="shared" si="28"/>
        <v>55553.841877580286</v>
      </c>
      <c r="X83" s="214">
        <f t="shared" si="29"/>
        <v>2513.4265505802832</v>
      </c>
      <c r="Y83" s="215">
        <f t="shared" si="30"/>
        <v>30161.118606963399</v>
      </c>
      <c r="AA83" s="216">
        <f t="shared" si="31"/>
        <v>29590.79010932579</v>
      </c>
      <c r="AB83" s="217">
        <f t="shared" si="18"/>
        <v>4.7387007343074661E-2</v>
      </c>
    </row>
    <row r="84" spans="1:28">
      <c r="A84" s="232" t="s">
        <v>125</v>
      </c>
      <c r="B84" s="220"/>
      <c r="C84" s="263">
        <f>B84*4.3333*2</f>
        <v>0</v>
      </c>
      <c r="D84" s="160">
        <v>8</v>
      </c>
      <c r="E84" s="167">
        <f t="shared" si="19"/>
        <v>0</v>
      </c>
      <c r="F84" s="234">
        <f t="shared" si="20"/>
        <v>0</v>
      </c>
      <c r="G84" s="160">
        <v>52</v>
      </c>
      <c r="I84" s="235">
        <v>121.19</v>
      </c>
      <c r="J84" s="164">
        <f t="shared" si="21"/>
        <v>0</v>
      </c>
      <c r="K84" s="164">
        <f t="shared" si="22"/>
        <v>0</v>
      </c>
      <c r="L84" s="210">
        <f t="shared" si="15"/>
        <v>1160</v>
      </c>
      <c r="M84" s="161">
        <f t="shared" si="23"/>
        <v>781.44682464732432</v>
      </c>
      <c r="N84" s="236">
        <f t="shared" si="16"/>
        <v>0</v>
      </c>
      <c r="O84" s="211">
        <f t="shared" si="24"/>
        <v>0</v>
      </c>
      <c r="Q84" s="187">
        <f t="shared" si="17"/>
        <v>5.6342316057072095</v>
      </c>
      <c r="R84" s="212"/>
      <c r="S84" s="212">
        <f t="shared" si="25"/>
        <v>0.10859981420000646</v>
      </c>
      <c r="T84" s="213">
        <f t="shared" si="26"/>
        <v>5.7428314199072164</v>
      </c>
      <c r="V84" s="212">
        <f t="shared" si="27"/>
        <v>126.93283141990722</v>
      </c>
      <c r="W84" s="214">
        <f t="shared" si="28"/>
        <v>0</v>
      </c>
      <c r="X84" s="214">
        <f t="shared" si="29"/>
        <v>0</v>
      </c>
      <c r="Y84" s="215">
        <f t="shared" si="30"/>
        <v>0</v>
      </c>
      <c r="AA84" s="216">
        <f t="shared" si="31"/>
        <v>0</v>
      </c>
      <c r="AB84" s="217">
        <f t="shared" si="18"/>
        <v>4.7387007343074661E-2</v>
      </c>
    </row>
    <row r="85" spans="1:28">
      <c r="A85" s="232" t="s">
        <v>241</v>
      </c>
      <c r="B85" s="220"/>
      <c r="C85" s="263">
        <f>B85*4.3333*3</f>
        <v>0</v>
      </c>
      <c r="D85" s="160">
        <v>8</v>
      </c>
      <c r="E85" s="167">
        <f t="shared" si="19"/>
        <v>0</v>
      </c>
      <c r="F85" s="234">
        <f t="shared" si="20"/>
        <v>0</v>
      </c>
      <c r="G85" s="160">
        <v>52</v>
      </c>
      <c r="I85" s="235">
        <v>121.19</v>
      </c>
      <c r="J85" s="164">
        <f t="shared" si="21"/>
        <v>0</v>
      </c>
      <c r="K85" s="164">
        <f t="shared" si="22"/>
        <v>0</v>
      </c>
      <c r="L85" s="210">
        <f t="shared" si="15"/>
        <v>1160</v>
      </c>
      <c r="M85" s="161">
        <f t="shared" si="23"/>
        <v>781.44682464732432</v>
      </c>
      <c r="N85" s="236">
        <f t="shared" si="16"/>
        <v>0</v>
      </c>
      <c r="O85" s="211">
        <f t="shared" si="24"/>
        <v>0</v>
      </c>
      <c r="Q85" s="187">
        <f t="shared" si="17"/>
        <v>5.6342316057072095</v>
      </c>
      <c r="R85" s="212"/>
      <c r="S85" s="212">
        <f t="shared" si="25"/>
        <v>0.10859981420000646</v>
      </c>
      <c r="T85" s="213">
        <f t="shared" si="26"/>
        <v>5.7428314199072164</v>
      </c>
      <c r="V85" s="212">
        <f t="shared" si="27"/>
        <v>126.93283141990722</v>
      </c>
      <c r="W85" s="214">
        <f t="shared" si="28"/>
        <v>0</v>
      </c>
      <c r="X85" s="214">
        <f t="shared" si="29"/>
        <v>0</v>
      </c>
      <c r="Y85" s="215">
        <f t="shared" si="30"/>
        <v>0</v>
      </c>
      <c r="AA85" s="216">
        <f t="shared" si="31"/>
        <v>0</v>
      </c>
      <c r="AB85" s="217">
        <f t="shared" si="18"/>
        <v>4.7387007343074661E-2</v>
      </c>
    </row>
    <row r="86" spans="1:28">
      <c r="A86" s="232" t="s">
        <v>242</v>
      </c>
      <c r="B86" s="220"/>
      <c r="C86" s="263">
        <f>B86*4.3333*4</f>
        <v>0</v>
      </c>
      <c r="D86" s="160">
        <v>8</v>
      </c>
      <c r="E86" s="167">
        <f t="shared" si="19"/>
        <v>0</v>
      </c>
      <c r="F86" s="234">
        <f t="shared" si="20"/>
        <v>0</v>
      </c>
      <c r="G86" s="160">
        <v>52</v>
      </c>
      <c r="I86" s="235">
        <v>121.19</v>
      </c>
      <c r="J86" s="164">
        <f t="shared" si="21"/>
        <v>0</v>
      </c>
      <c r="K86" s="164">
        <f t="shared" si="22"/>
        <v>0</v>
      </c>
      <c r="L86" s="210">
        <f t="shared" si="15"/>
        <v>1160</v>
      </c>
      <c r="M86" s="161">
        <f t="shared" si="23"/>
        <v>781.44682464732432</v>
      </c>
      <c r="N86" s="236">
        <f t="shared" si="16"/>
        <v>0</v>
      </c>
      <c r="O86" s="211">
        <f t="shared" si="24"/>
        <v>0</v>
      </c>
      <c r="Q86" s="187">
        <f t="shared" si="17"/>
        <v>5.6342316057072095</v>
      </c>
      <c r="R86" s="212"/>
      <c r="S86" s="212">
        <f t="shared" si="25"/>
        <v>0.10859981420000646</v>
      </c>
      <c r="T86" s="213">
        <f t="shared" si="26"/>
        <v>5.7428314199072164</v>
      </c>
      <c r="V86" s="212">
        <f t="shared" si="27"/>
        <v>126.93283141990722</v>
      </c>
      <c r="W86" s="214">
        <f t="shared" si="28"/>
        <v>0</v>
      </c>
      <c r="X86" s="214">
        <f t="shared" si="29"/>
        <v>0</v>
      </c>
      <c r="Y86" s="215">
        <f t="shared" si="30"/>
        <v>0</v>
      </c>
      <c r="AA86" s="216">
        <f t="shared" si="31"/>
        <v>0</v>
      </c>
      <c r="AB86" s="217">
        <f t="shared" si="18"/>
        <v>4.7387007343074661E-2</v>
      </c>
    </row>
    <row r="87" spans="1:28">
      <c r="A87" s="232" t="s">
        <v>243</v>
      </c>
      <c r="B87" s="220"/>
      <c r="C87" s="263">
        <f>B87*4.3333*5</f>
        <v>0</v>
      </c>
      <c r="D87" s="160">
        <v>8</v>
      </c>
      <c r="E87" s="167">
        <f t="shared" si="19"/>
        <v>0</v>
      </c>
      <c r="F87" s="234">
        <f t="shared" si="20"/>
        <v>0</v>
      </c>
      <c r="G87" s="160">
        <v>52</v>
      </c>
      <c r="I87" s="235">
        <v>121.19</v>
      </c>
      <c r="J87" s="164">
        <f t="shared" si="21"/>
        <v>0</v>
      </c>
      <c r="K87" s="164">
        <f t="shared" si="22"/>
        <v>0</v>
      </c>
      <c r="L87" s="210">
        <f t="shared" si="15"/>
        <v>1160</v>
      </c>
      <c r="M87" s="161">
        <f t="shared" si="23"/>
        <v>781.44682464732432</v>
      </c>
      <c r="N87" s="236">
        <f t="shared" si="16"/>
        <v>0</v>
      </c>
      <c r="O87" s="211">
        <f t="shared" si="24"/>
        <v>0</v>
      </c>
      <c r="Q87" s="187">
        <f t="shared" si="17"/>
        <v>5.6342316057072095</v>
      </c>
      <c r="R87" s="212"/>
      <c r="S87" s="212">
        <f t="shared" si="25"/>
        <v>0.10859981420000646</v>
      </c>
      <c r="T87" s="213">
        <f t="shared" si="26"/>
        <v>5.7428314199072164</v>
      </c>
      <c r="V87" s="212">
        <f t="shared" si="27"/>
        <v>126.93283141990722</v>
      </c>
      <c r="W87" s="214">
        <f t="shared" si="28"/>
        <v>0</v>
      </c>
      <c r="X87" s="214">
        <f>W87-J87</f>
        <v>0</v>
      </c>
      <c r="Y87" s="215">
        <f t="shared" si="30"/>
        <v>0</v>
      </c>
      <c r="AA87" s="216">
        <f t="shared" si="31"/>
        <v>0</v>
      </c>
      <c r="AB87" s="217">
        <f t="shared" si="18"/>
        <v>4.7387007343074661E-2</v>
      </c>
    </row>
    <row r="88" spans="1:28" ht="12">
      <c r="A88" s="158" t="s">
        <v>32</v>
      </c>
      <c r="B88" s="238"/>
      <c r="C88" s="233">
        <f t="shared" ref="C88:C99" si="32">B88</f>
        <v>0</v>
      </c>
      <c r="D88" s="160">
        <v>1</v>
      </c>
      <c r="E88" s="166">
        <f t="shared" si="19"/>
        <v>0</v>
      </c>
      <c r="F88" s="234">
        <f t="shared" si="20"/>
        <v>0</v>
      </c>
      <c r="G88" s="160">
        <v>12</v>
      </c>
      <c r="I88" s="157">
        <v>13.8</v>
      </c>
      <c r="J88" s="164">
        <f>F88*I88</f>
        <v>0</v>
      </c>
      <c r="K88" s="164">
        <f t="shared" si="22"/>
        <v>0</v>
      </c>
      <c r="L88" s="210">
        <f t="shared" si="15"/>
        <v>145</v>
      </c>
      <c r="M88" s="161">
        <f t="shared" si="23"/>
        <v>97.68085308091554</v>
      </c>
      <c r="N88" s="236">
        <f t="shared" si="16"/>
        <v>0</v>
      </c>
      <c r="O88" s="211">
        <f t="shared" si="24"/>
        <v>0</v>
      </c>
      <c r="Q88" s="187">
        <f>M88*$R$12</f>
        <v>0.70427895071340119</v>
      </c>
      <c r="R88" s="212"/>
      <c r="S88" s="212">
        <f>Q88*$U$11</f>
        <v>1.3574976775000807E-2</v>
      </c>
      <c r="T88" s="213">
        <f>+Q88+S88</f>
        <v>0.71785392748840204</v>
      </c>
      <c r="V88" s="212">
        <f>I88+T88</f>
        <v>14.517853927488403</v>
      </c>
      <c r="W88" s="214">
        <f>C88*V88</f>
        <v>0</v>
      </c>
      <c r="X88" s="214">
        <f>W88-J88</f>
        <v>0</v>
      </c>
      <c r="Y88" s="215">
        <f>X88*12</f>
        <v>0</v>
      </c>
      <c r="AA88" s="216">
        <f>O88*$R$11</f>
        <v>0</v>
      </c>
    </row>
    <row r="89" spans="1:28" ht="12">
      <c r="A89" s="232" t="s">
        <v>244</v>
      </c>
      <c r="B89" s="220"/>
      <c r="C89" s="233">
        <f t="shared" si="32"/>
        <v>0</v>
      </c>
      <c r="E89" s="167">
        <f t="shared" si="19"/>
        <v>0</v>
      </c>
      <c r="F89" s="234">
        <f t="shared" si="20"/>
        <v>0</v>
      </c>
      <c r="G89" s="160">
        <v>12</v>
      </c>
      <c r="I89" s="235"/>
      <c r="J89" s="164">
        <f t="shared" ref="J89:J99" si="33">+C89*I89</f>
        <v>0</v>
      </c>
      <c r="K89" s="164">
        <f t="shared" si="22"/>
        <v>0</v>
      </c>
      <c r="L89" s="210">
        <f t="shared" si="15"/>
        <v>0</v>
      </c>
      <c r="M89" s="161">
        <f t="shared" si="23"/>
        <v>0</v>
      </c>
      <c r="N89" s="236">
        <f t="shared" si="16"/>
        <v>0</v>
      </c>
      <c r="O89" s="211">
        <f t="shared" si="24"/>
        <v>0</v>
      </c>
      <c r="V89" s="212"/>
      <c r="W89" s="214"/>
      <c r="X89" s="214"/>
      <c r="Y89" s="215"/>
      <c r="AA89" s="216"/>
    </row>
    <row r="90" spans="1:28" ht="12">
      <c r="A90" s="232" t="s">
        <v>245</v>
      </c>
      <c r="B90" s="220"/>
      <c r="C90" s="233">
        <f t="shared" si="32"/>
        <v>0</v>
      </c>
      <c r="E90" s="167">
        <f t="shared" si="19"/>
        <v>0</v>
      </c>
      <c r="F90" s="234">
        <f t="shared" si="20"/>
        <v>0</v>
      </c>
      <c r="G90" s="160">
        <v>12</v>
      </c>
      <c r="I90" s="235"/>
      <c r="J90" s="164">
        <f t="shared" si="33"/>
        <v>0</v>
      </c>
      <c r="K90" s="164">
        <f t="shared" si="22"/>
        <v>0</v>
      </c>
      <c r="L90" s="210">
        <f t="shared" si="15"/>
        <v>0</v>
      </c>
      <c r="M90" s="161">
        <f t="shared" si="23"/>
        <v>0</v>
      </c>
      <c r="N90" s="236">
        <f t="shared" si="16"/>
        <v>0</v>
      </c>
      <c r="O90" s="211">
        <f t="shared" si="24"/>
        <v>0</v>
      </c>
      <c r="AA90" s="179"/>
    </row>
    <row r="91" spans="1:28" ht="12">
      <c r="A91" s="232" t="s">
        <v>246</v>
      </c>
      <c r="B91" s="220"/>
      <c r="C91" s="233">
        <f t="shared" si="32"/>
        <v>0</v>
      </c>
      <c r="E91" s="167">
        <f t="shared" si="19"/>
        <v>0</v>
      </c>
      <c r="F91" s="234">
        <f t="shared" si="20"/>
        <v>0</v>
      </c>
      <c r="G91" s="160">
        <v>12</v>
      </c>
      <c r="I91" s="235"/>
      <c r="J91" s="164">
        <f t="shared" si="33"/>
        <v>0</v>
      </c>
      <c r="K91" s="164">
        <f t="shared" si="22"/>
        <v>0</v>
      </c>
      <c r="L91" s="210">
        <f t="shared" si="15"/>
        <v>0</v>
      </c>
      <c r="M91" s="161">
        <f t="shared" si="23"/>
        <v>0</v>
      </c>
      <c r="N91" s="236">
        <f t="shared" si="16"/>
        <v>0</v>
      </c>
      <c r="O91" s="211">
        <f t="shared" si="24"/>
        <v>0</v>
      </c>
      <c r="AA91" s="179"/>
    </row>
    <row r="92" spans="1:28" ht="12">
      <c r="A92" s="232" t="s">
        <v>247</v>
      </c>
      <c r="B92" s="220"/>
      <c r="C92" s="233">
        <f t="shared" si="32"/>
        <v>0</v>
      </c>
      <c r="E92" s="167">
        <f t="shared" si="19"/>
        <v>0</v>
      </c>
      <c r="F92" s="234">
        <f t="shared" si="20"/>
        <v>0</v>
      </c>
      <c r="G92" s="160">
        <v>12</v>
      </c>
      <c r="I92" s="235"/>
      <c r="J92" s="164">
        <f t="shared" si="33"/>
        <v>0</v>
      </c>
      <c r="K92" s="164">
        <f t="shared" si="22"/>
        <v>0</v>
      </c>
      <c r="L92" s="210">
        <f t="shared" si="15"/>
        <v>0</v>
      </c>
      <c r="M92" s="161">
        <f t="shared" si="23"/>
        <v>0</v>
      </c>
      <c r="N92" s="236">
        <f t="shared" si="16"/>
        <v>0</v>
      </c>
      <c r="O92" s="211">
        <f t="shared" si="24"/>
        <v>0</v>
      </c>
      <c r="AA92" s="179"/>
    </row>
    <row r="93" spans="1:28" ht="12">
      <c r="A93" s="232" t="s">
        <v>270</v>
      </c>
      <c r="B93" s="220"/>
      <c r="C93" s="233">
        <f t="shared" si="32"/>
        <v>0</v>
      </c>
      <c r="E93" s="167">
        <f t="shared" si="19"/>
        <v>0</v>
      </c>
      <c r="F93" s="234">
        <f t="shared" si="20"/>
        <v>0</v>
      </c>
      <c r="G93" s="160">
        <v>12</v>
      </c>
      <c r="I93" s="235"/>
      <c r="J93" s="164">
        <f t="shared" si="33"/>
        <v>0</v>
      </c>
      <c r="K93" s="164">
        <f t="shared" si="22"/>
        <v>0</v>
      </c>
      <c r="L93" s="210">
        <f t="shared" si="15"/>
        <v>0</v>
      </c>
      <c r="M93" s="161">
        <f t="shared" si="23"/>
        <v>0</v>
      </c>
      <c r="N93" s="236">
        <f t="shared" si="16"/>
        <v>0</v>
      </c>
      <c r="O93" s="211">
        <f t="shared" si="24"/>
        <v>0</v>
      </c>
      <c r="AA93" s="179"/>
    </row>
    <row r="94" spans="1:28" ht="12">
      <c r="A94" s="232" t="s">
        <v>270</v>
      </c>
      <c r="B94" s="220"/>
      <c r="C94" s="233">
        <f t="shared" si="32"/>
        <v>0</v>
      </c>
      <c r="E94" s="167">
        <f t="shared" si="19"/>
        <v>0</v>
      </c>
      <c r="F94" s="234">
        <f t="shared" si="20"/>
        <v>0</v>
      </c>
      <c r="G94" s="160">
        <v>12</v>
      </c>
      <c r="I94" s="235"/>
      <c r="J94" s="164">
        <f t="shared" si="33"/>
        <v>0</v>
      </c>
      <c r="K94" s="164">
        <f t="shared" si="22"/>
        <v>0</v>
      </c>
      <c r="L94" s="210">
        <f t="shared" si="15"/>
        <v>0</v>
      </c>
      <c r="M94" s="161">
        <f t="shared" si="23"/>
        <v>0</v>
      </c>
      <c r="N94" s="236">
        <f t="shared" si="16"/>
        <v>0</v>
      </c>
      <c r="O94" s="211">
        <f t="shared" si="24"/>
        <v>0</v>
      </c>
      <c r="AA94" s="179"/>
    </row>
    <row r="95" spans="1:28" ht="12">
      <c r="A95" s="232" t="s">
        <v>249</v>
      </c>
      <c r="B95" s="220"/>
      <c r="C95" s="233">
        <f t="shared" si="32"/>
        <v>0</v>
      </c>
      <c r="E95" s="167">
        <f t="shared" si="19"/>
        <v>0</v>
      </c>
      <c r="F95" s="234">
        <f t="shared" si="20"/>
        <v>0</v>
      </c>
      <c r="G95" s="160">
        <v>12</v>
      </c>
      <c r="I95" s="235"/>
      <c r="J95" s="164">
        <f t="shared" si="33"/>
        <v>0</v>
      </c>
      <c r="K95" s="164">
        <f t="shared" si="22"/>
        <v>0</v>
      </c>
      <c r="L95" s="210">
        <f t="shared" si="15"/>
        <v>0</v>
      </c>
      <c r="M95" s="161">
        <f t="shared" si="23"/>
        <v>0</v>
      </c>
      <c r="N95" s="236">
        <f t="shared" si="16"/>
        <v>0</v>
      </c>
      <c r="O95" s="211">
        <f t="shared" si="24"/>
        <v>0</v>
      </c>
      <c r="AA95" s="179"/>
    </row>
    <row r="96" spans="1:28" ht="12">
      <c r="A96" s="232" t="s">
        <v>250</v>
      </c>
      <c r="B96" s="220"/>
      <c r="C96" s="233">
        <f t="shared" si="32"/>
        <v>0</v>
      </c>
      <c r="E96" s="167">
        <f t="shared" si="19"/>
        <v>0</v>
      </c>
      <c r="F96" s="234">
        <f t="shared" si="20"/>
        <v>0</v>
      </c>
      <c r="G96" s="160">
        <v>12</v>
      </c>
      <c r="I96" s="235"/>
      <c r="J96" s="164">
        <f t="shared" si="33"/>
        <v>0</v>
      </c>
      <c r="K96" s="164">
        <f t="shared" si="22"/>
        <v>0</v>
      </c>
      <c r="L96" s="210">
        <f t="shared" si="15"/>
        <v>0</v>
      </c>
      <c r="M96" s="161">
        <f t="shared" si="23"/>
        <v>0</v>
      </c>
      <c r="N96" s="236">
        <f t="shared" si="16"/>
        <v>0</v>
      </c>
      <c r="O96" s="211">
        <f t="shared" si="24"/>
        <v>0</v>
      </c>
      <c r="AA96" s="179"/>
    </row>
    <row r="97" spans="1:29" ht="12">
      <c r="A97" s="232" t="s">
        <v>251</v>
      </c>
      <c r="B97" s="220"/>
      <c r="C97" s="233">
        <f t="shared" si="32"/>
        <v>0</v>
      </c>
      <c r="E97" s="167">
        <f t="shared" si="19"/>
        <v>0</v>
      </c>
      <c r="F97" s="234">
        <f t="shared" si="20"/>
        <v>0</v>
      </c>
      <c r="G97" s="160">
        <v>12</v>
      </c>
      <c r="I97" s="235"/>
      <c r="J97" s="164">
        <f t="shared" si="33"/>
        <v>0</v>
      </c>
      <c r="K97" s="164">
        <f t="shared" si="22"/>
        <v>0</v>
      </c>
      <c r="L97" s="210">
        <f t="shared" si="15"/>
        <v>0</v>
      </c>
      <c r="M97" s="161">
        <f t="shared" si="23"/>
        <v>0</v>
      </c>
      <c r="N97" s="236">
        <f t="shared" si="16"/>
        <v>0</v>
      </c>
      <c r="O97" s="211">
        <f t="shared" si="24"/>
        <v>0</v>
      </c>
      <c r="AA97" s="179"/>
    </row>
    <row r="98" spans="1:29" ht="12">
      <c r="A98" s="232" t="s">
        <v>252</v>
      </c>
      <c r="B98" s="220"/>
      <c r="C98" s="233">
        <f t="shared" si="32"/>
        <v>0</v>
      </c>
      <c r="E98" s="167">
        <f t="shared" si="19"/>
        <v>0</v>
      </c>
      <c r="F98" s="234">
        <f t="shared" si="20"/>
        <v>0</v>
      </c>
      <c r="G98" s="160">
        <v>12</v>
      </c>
      <c r="I98" s="235"/>
      <c r="J98" s="164">
        <f t="shared" si="33"/>
        <v>0</v>
      </c>
      <c r="K98" s="164">
        <f t="shared" si="22"/>
        <v>0</v>
      </c>
      <c r="L98" s="210">
        <f t="shared" si="15"/>
        <v>0</v>
      </c>
      <c r="M98" s="161">
        <f t="shared" si="23"/>
        <v>0</v>
      </c>
      <c r="N98" s="236">
        <f t="shared" si="16"/>
        <v>0</v>
      </c>
      <c r="O98" s="211">
        <f t="shared" si="24"/>
        <v>0</v>
      </c>
      <c r="AA98" s="179"/>
    </row>
    <row r="99" spans="1:29" ht="12">
      <c r="A99" s="232" t="s">
        <v>253</v>
      </c>
      <c r="B99" s="220"/>
      <c r="C99" s="233">
        <f t="shared" si="32"/>
        <v>0</v>
      </c>
      <c r="E99" s="167">
        <f t="shared" si="19"/>
        <v>0</v>
      </c>
      <c r="F99" s="234">
        <f t="shared" si="20"/>
        <v>0</v>
      </c>
      <c r="G99" s="160">
        <v>12</v>
      </c>
      <c r="I99" s="235"/>
      <c r="J99" s="164">
        <f t="shared" si="33"/>
        <v>0</v>
      </c>
      <c r="K99" s="164">
        <f t="shared" si="22"/>
        <v>0</v>
      </c>
      <c r="L99" s="210">
        <f t="shared" si="15"/>
        <v>0</v>
      </c>
      <c r="M99" s="161">
        <f t="shared" si="23"/>
        <v>0</v>
      </c>
      <c r="N99" s="236">
        <f t="shared" si="16"/>
        <v>0</v>
      </c>
      <c r="O99" s="211">
        <f t="shared" si="24"/>
        <v>0</v>
      </c>
      <c r="AA99" s="179"/>
    </row>
    <row r="100" spans="1:29">
      <c r="A100" s="239"/>
      <c r="B100" s="220"/>
      <c r="C100" s="240"/>
      <c r="F100" s="220"/>
      <c r="I100" s="241"/>
      <c r="J100" s="164"/>
      <c r="K100" s="164"/>
      <c r="L100" s="242"/>
      <c r="N100" s="164"/>
      <c r="O100" s="211"/>
      <c r="AA100" s="179"/>
    </row>
    <row r="101" spans="1:29">
      <c r="A101" s="243" t="s">
        <v>271</v>
      </c>
      <c r="B101" s="220"/>
      <c r="C101" s="240"/>
      <c r="E101" s="168">
        <f>SUM(E43:E100)</f>
        <v>19512.104744200002</v>
      </c>
      <c r="F101" s="220"/>
      <c r="I101" s="221"/>
      <c r="J101" s="164">
        <f>SUM(J43:J99)</f>
        <v>330589.24109900004</v>
      </c>
      <c r="K101" s="164">
        <f>SUM(K43:K99)</f>
        <v>3967070.8931880002</v>
      </c>
      <c r="L101" s="164"/>
      <c r="M101" s="164"/>
      <c r="N101" s="164">
        <f>SUM(N43:N99)</f>
        <v>16975.530000000002</v>
      </c>
      <c r="O101" s="164">
        <f>SUM(O43:O99)</f>
        <v>11435.75346138396</v>
      </c>
      <c r="W101" s="214">
        <f>SUM(W43:W100)</f>
        <v>344596.08212318906</v>
      </c>
      <c r="X101" s="214">
        <f>SUM(X43:X100)</f>
        <v>14006.841024189065</v>
      </c>
      <c r="Y101" s="214">
        <f>SUM(Y43:Y100)</f>
        <v>168082.09229026877</v>
      </c>
      <c r="AA101" s="223">
        <f>SUM(AA43:AA100)</f>
        <v>164903.56491315673</v>
      </c>
    </row>
    <row r="102" spans="1:29">
      <c r="A102" s="243"/>
      <c r="B102" s="220"/>
      <c r="C102" s="240"/>
      <c r="F102" s="220"/>
      <c r="I102" s="221"/>
      <c r="J102" s="164"/>
      <c r="K102" s="164"/>
      <c r="L102" s="242"/>
      <c r="N102" s="164"/>
      <c r="O102" s="211"/>
      <c r="AA102" s="244">
        <f>Y101/AA101-1</f>
        <v>1.9275067696601589E-2</v>
      </c>
    </row>
    <row r="103" spans="1:29">
      <c r="A103" s="245" t="s">
        <v>272</v>
      </c>
      <c r="B103" s="220"/>
      <c r="C103" s="240"/>
      <c r="F103" s="220"/>
      <c r="I103" s="221"/>
      <c r="J103" s="164"/>
      <c r="K103" s="164"/>
      <c r="L103" s="242"/>
      <c r="N103" s="164"/>
      <c r="O103" s="211"/>
      <c r="AA103" s="179"/>
    </row>
    <row r="104" spans="1:29">
      <c r="A104" s="246"/>
      <c r="B104" s="220"/>
      <c r="C104" s="240"/>
      <c r="F104" s="220"/>
      <c r="I104" s="221"/>
      <c r="J104" s="164"/>
      <c r="K104" s="164"/>
      <c r="L104" s="242"/>
      <c r="N104" s="164"/>
      <c r="O104" s="211"/>
      <c r="AA104" s="179"/>
    </row>
    <row r="105" spans="1:29">
      <c r="A105" s="264" t="s">
        <v>126</v>
      </c>
      <c r="B105" s="265">
        <v>1315</v>
      </c>
      <c r="C105" s="262">
        <f>B105*4.3333</f>
        <v>5698.2895000000008</v>
      </c>
      <c r="D105" s="160">
        <v>0.158</v>
      </c>
      <c r="E105" s="167">
        <f t="shared" ref="E105:E156" si="34">C105*D105</f>
        <v>900.32974100000013</v>
      </c>
      <c r="F105" s="220">
        <f>B105</f>
        <v>1315</v>
      </c>
      <c r="G105" s="160">
        <v>52</v>
      </c>
      <c r="I105" s="266">
        <v>4.05</v>
      </c>
      <c r="J105" s="164">
        <f t="shared" ref="J105:J145" si="35">+C105*I105</f>
        <v>23078.072475000001</v>
      </c>
      <c r="K105" s="164">
        <f t="shared" ref="K105:K155" si="36">J105*12</f>
        <v>276936.86970000004</v>
      </c>
      <c r="L105" s="210">
        <f t="shared" ref="L105:L145" si="37">+D105*L$16</f>
        <v>22.91</v>
      </c>
      <c r="M105" s="161">
        <f>L105*$O$5</f>
        <v>15.433574786784655</v>
      </c>
      <c r="N105" s="236">
        <f>ROUND((C105*L105*12)/2000,2)</f>
        <v>783.29</v>
      </c>
      <c r="O105" s="211">
        <f>$O$5*N105</f>
        <v>527.67196834310573</v>
      </c>
      <c r="Q105" s="187">
        <f t="shared" ref="Q105:Q146" si="38">M105*$R$12</f>
        <v>0.11127607421271739</v>
      </c>
      <c r="R105" s="212"/>
      <c r="S105" s="212">
        <f>Q105*$U$11</f>
        <v>2.1448463304501275E-3</v>
      </c>
      <c r="T105" s="213">
        <f>+Q105+S105</f>
        <v>0.11342092054316752</v>
      </c>
      <c r="V105" s="212">
        <f>I105+T105</f>
        <v>4.1634209205431674</v>
      </c>
      <c r="W105" s="214">
        <f>C105*V105</f>
        <v>23724.377715611467</v>
      </c>
      <c r="X105" s="214">
        <f>W105-J105</f>
        <v>646.30524061146571</v>
      </c>
      <c r="Y105" s="215">
        <f t="shared" ref="Y105:Y145" si="39">X105*12</f>
        <v>7755.6628873375885</v>
      </c>
      <c r="AA105" s="216">
        <f>O105*$R$11</f>
        <v>7609.0297835075853</v>
      </c>
      <c r="AB105" s="217">
        <f t="shared" ref="AB105:AB146" si="40">IF(I105=0,"",V105/I105-1)</f>
        <v>2.800516556621413E-2</v>
      </c>
      <c r="AC105" s="162">
        <f>8.72*(1+AB105)</f>
        <v>8.9642050437373886</v>
      </c>
    </row>
    <row r="106" spans="1:29">
      <c r="A106" s="264" t="s">
        <v>127</v>
      </c>
      <c r="B106" s="265"/>
      <c r="C106" s="262">
        <f>B106*4.3333</f>
        <v>0</v>
      </c>
      <c r="D106" s="160">
        <v>0.316</v>
      </c>
      <c r="E106" s="167">
        <f t="shared" si="34"/>
        <v>0</v>
      </c>
      <c r="F106" s="220">
        <f t="shared" ref="F106:F155" si="41">B106</f>
        <v>0</v>
      </c>
      <c r="G106" s="160">
        <v>52</v>
      </c>
      <c r="I106" s="266">
        <v>6.71</v>
      </c>
      <c r="J106" s="164">
        <f t="shared" si="35"/>
        <v>0</v>
      </c>
      <c r="K106" s="164">
        <f t="shared" si="36"/>
        <v>0</v>
      </c>
      <c r="L106" s="210">
        <f t="shared" si="37"/>
        <v>45.82</v>
      </c>
      <c r="M106" s="161">
        <f t="shared" ref="M106:M155" si="42">L106*$O$5</f>
        <v>30.867149573569311</v>
      </c>
      <c r="N106" s="236">
        <f t="shared" ref="N106:N155" si="43">ROUND((C106*L106*12)/2000,2)</f>
        <v>0</v>
      </c>
      <c r="O106" s="211">
        <f t="shared" ref="O106:O155" si="44">$O$5*N106</f>
        <v>0</v>
      </c>
      <c r="Q106" s="187">
        <f t="shared" si="38"/>
        <v>0.22255214842543478</v>
      </c>
      <c r="R106" s="212"/>
      <c r="S106" s="212">
        <f t="shared" ref="S106:S146" si="45">Q106*$U$11</f>
        <v>4.289692660900255E-3</v>
      </c>
      <c r="T106" s="213">
        <f t="shared" ref="T106:T146" si="46">+Q106+S106</f>
        <v>0.22684184108633504</v>
      </c>
      <c r="V106" s="212">
        <f t="shared" ref="V106:V146" si="47">I106+T106</f>
        <v>6.9368418410863351</v>
      </c>
      <c r="W106" s="214">
        <f t="shared" ref="W106:W145" si="48">C106*V106</f>
        <v>0</v>
      </c>
      <c r="X106" s="214">
        <f t="shared" ref="X106:X145" si="49">W106-J106</f>
        <v>0</v>
      </c>
      <c r="Y106" s="215">
        <f t="shared" si="39"/>
        <v>0</v>
      </c>
      <c r="AA106" s="216">
        <f t="shared" ref="AA106:AA145" si="50">O106*$R$11</f>
        <v>0</v>
      </c>
      <c r="AB106" s="217">
        <f t="shared" si="40"/>
        <v>3.3806533693939711E-2</v>
      </c>
      <c r="AC106" s="162">
        <f>10.09*(1+AB106)</f>
        <v>10.431107924971851</v>
      </c>
    </row>
    <row r="107" spans="1:29">
      <c r="A107" s="264" t="s">
        <v>128</v>
      </c>
      <c r="B107" s="265">
        <v>509</v>
      </c>
      <c r="C107" s="262">
        <f>B107*4.3333</f>
        <v>2205.6497000000004</v>
      </c>
      <c r="D107" s="160">
        <v>0.47399999999999998</v>
      </c>
      <c r="E107" s="167">
        <f t="shared" si="34"/>
        <v>1045.4779578000002</v>
      </c>
      <c r="F107" s="220">
        <f t="shared" si="41"/>
        <v>509</v>
      </c>
      <c r="G107" s="160">
        <v>52</v>
      </c>
      <c r="I107" s="266">
        <v>10</v>
      </c>
      <c r="J107" s="164">
        <f t="shared" si="35"/>
        <v>22056.497000000003</v>
      </c>
      <c r="K107" s="164">
        <f t="shared" si="36"/>
        <v>264677.96400000004</v>
      </c>
      <c r="L107" s="210">
        <f t="shared" si="37"/>
        <v>68.72999999999999</v>
      </c>
      <c r="M107" s="161">
        <f t="shared" si="42"/>
        <v>46.300724360353961</v>
      </c>
      <c r="N107" s="236">
        <f t="shared" si="43"/>
        <v>909.57</v>
      </c>
      <c r="O107" s="211">
        <f t="shared" si="44"/>
        <v>612.7418864607472</v>
      </c>
      <c r="Q107" s="187">
        <f t="shared" si="38"/>
        <v>0.33382822263815209</v>
      </c>
      <c r="R107" s="212"/>
      <c r="S107" s="212">
        <f t="shared" si="45"/>
        <v>6.4345389913503821E-3</v>
      </c>
      <c r="T107" s="213">
        <f t="shared" si="46"/>
        <v>0.34026276162950247</v>
      </c>
      <c r="V107" s="212">
        <f t="shared" si="47"/>
        <v>10.340262761629502</v>
      </c>
      <c r="W107" s="214">
        <f t="shared" si="48"/>
        <v>22806.997458109287</v>
      </c>
      <c r="X107" s="214">
        <f t="shared" si="49"/>
        <v>750.5004581092835</v>
      </c>
      <c r="Y107" s="215">
        <f t="shared" si="39"/>
        <v>9006.005497311402</v>
      </c>
      <c r="AA107" s="216">
        <f t="shared" si="50"/>
        <v>8835.7380027639756</v>
      </c>
      <c r="AB107" s="217">
        <f t="shared" si="40"/>
        <v>3.4026276162950175E-2</v>
      </c>
      <c r="AC107" s="162">
        <f>12.5*(1+AB107)</f>
        <v>12.925328452036878</v>
      </c>
    </row>
    <row r="108" spans="1:29">
      <c r="A108" s="264" t="s">
        <v>129</v>
      </c>
      <c r="B108" s="265">
        <v>14</v>
      </c>
      <c r="C108" s="262">
        <f>+B108*4.3333</f>
        <v>60.666200000000003</v>
      </c>
      <c r="D108" s="160">
        <v>1</v>
      </c>
      <c r="E108" s="167">
        <f t="shared" si="34"/>
        <v>60.666200000000003</v>
      </c>
      <c r="F108" s="220">
        <f t="shared" si="41"/>
        <v>14</v>
      </c>
      <c r="G108" s="160">
        <v>52</v>
      </c>
      <c r="I108" s="266">
        <v>21.22</v>
      </c>
      <c r="J108" s="164">
        <f t="shared" si="35"/>
        <v>1287.3367639999999</v>
      </c>
      <c r="K108" s="164">
        <f t="shared" si="36"/>
        <v>15448.041168</v>
      </c>
      <c r="L108" s="210">
        <f t="shared" si="37"/>
        <v>145</v>
      </c>
      <c r="M108" s="161">
        <f t="shared" si="42"/>
        <v>97.68085308091554</v>
      </c>
      <c r="N108" s="236">
        <f t="shared" si="43"/>
        <v>52.78</v>
      </c>
      <c r="O108" s="211">
        <f t="shared" si="44"/>
        <v>35.55583052145326</v>
      </c>
      <c r="Q108" s="187">
        <f t="shared" si="38"/>
        <v>0.70427895071340119</v>
      </c>
      <c r="R108" s="218"/>
      <c r="S108" s="212">
        <f t="shared" si="45"/>
        <v>1.3574976775000807E-2</v>
      </c>
      <c r="T108" s="213">
        <f t="shared" si="46"/>
        <v>0.71785392748840204</v>
      </c>
      <c r="V108" s="212">
        <f t="shared" si="47"/>
        <v>21.937853927488401</v>
      </c>
      <c r="W108" s="214">
        <f t="shared" si="48"/>
        <v>1330.886233935797</v>
      </c>
      <c r="X108" s="214">
        <f t="shared" si="49"/>
        <v>43.549469935797106</v>
      </c>
      <c r="Y108" s="215">
        <f t="shared" si="39"/>
        <v>522.59363922956527</v>
      </c>
      <c r="AA108" s="216">
        <f t="shared" si="50"/>
        <v>512.71507611935601</v>
      </c>
      <c r="AB108" s="217">
        <f t="shared" si="40"/>
        <v>3.3829120051291239E-2</v>
      </c>
      <c r="AC108" s="162">
        <f>22.72*(1+AB108)</f>
        <v>23.488597607565335</v>
      </c>
    </row>
    <row r="109" spans="1:29">
      <c r="A109" s="264" t="s">
        <v>273</v>
      </c>
      <c r="B109" s="265"/>
      <c r="C109" s="262">
        <f>+B109*1</f>
        <v>0</v>
      </c>
      <c r="D109" s="160">
        <v>1.5</v>
      </c>
      <c r="E109" s="167">
        <f t="shared" si="34"/>
        <v>0</v>
      </c>
      <c r="F109" s="220">
        <f t="shared" si="41"/>
        <v>0</v>
      </c>
      <c r="G109" s="160">
        <v>52</v>
      </c>
      <c r="I109" s="266">
        <v>30.55</v>
      </c>
      <c r="J109" s="164">
        <f t="shared" si="35"/>
        <v>0</v>
      </c>
      <c r="K109" s="164">
        <f t="shared" si="36"/>
        <v>0</v>
      </c>
      <c r="L109" s="210">
        <f t="shared" si="37"/>
        <v>217.5</v>
      </c>
      <c r="M109" s="161">
        <f t="shared" si="42"/>
        <v>146.52127962137331</v>
      </c>
      <c r="N109" s="236">
        <f t="shared" si="43"/>
        <v>0</v>
      </c>
      <c r="O109" s="211">
        <f t="shared" si="44"/>
        <v>0</v>
      </c>
      <c r="Q109" s="187">
        <f>M109*$R$12</f>
        <v>1.0564184260701017</v>
      </c>
      <c r="R109" s="212"/>
      <c r="S109" s="212">
        <f t="shared" si="45"/>
        <v>2.036246516250121E-2</v>
      </c>
      <c r="T109" s="213">
        <f t="shared" si="46"/>
        <v>1.0767808912326029</v>
      </c>
      <c r="V109" s="212">
        <f t="shared" si="47"/>
        <v>31.626780891232602</v>
      </c>
      <c r="W109" s="214">
        <f t="shared" si="48"/>
        <v>0</v>
      </c>
      <c r="X109" s="214">
        <f t="shared" si="49"/>
        <v>0</v>
      </c>
      <c r="Y109" s="215">
        <f t="shared" si="39"/>
        <v>0</v>
      </c>
      <c r="AA109" s="216">
        <f t="shared" si="50"/>
        <v>0</v>
      </c>
      <c r="AB109" s="217">
        <f t="shared" si="40"/>
        <v>3.5246510351312654E-2</v>
      </c>
    </row>
    <row r="110" spans="1:29">
      <c r="A110" s="264" t="s">
        <v>224</v>
      </c>
      <c r="B110" s="265">
        <v>4</v>
      </c>
      <c r="C110" s="262">
        <f>B110*4.3333</f>
        <v>17.333200000000001</v>
      </c>
      <c r="D110" s="160">
        <v>1.5</v>
      </c>
      <c r="E110" s="167">
        <f t="shared" si="34"/>
        <v>25.9998</v>
      </c>
      <c r="F110" s="220">
        <f t="shared" si="41"/>
        <v>4</v>
      </c>
      <c r="G110" s="160">
        <v>52</v>
      </c>
      <c r="I110" s="266">
        <v>28.7</v>
      </c>
      <c r="J110" s="164">
        <f t="shared" si="35"/>
        <v>497.46284000000003</v>
      </c>
      <c r="K110" s="164">
        <f t="shared" si="36"/>
        <v>5969.5540799999999</v>
      </c>
      <c r="L110" s="210">
        <f t="shared" si="37"/>
        <v>217.5</v>
      </c>
      <c r="M110" s="161">
        <f t="shared" si="42"/>
        <v>146.52127962137331</v>
      </c>
      <c r="N110" s="236">
        <f t="shared" si="43"/>
        <v>22.62</v>
      </c>
      <c r="O110" s="211">
        <f t="shared" si="44"/>
        <v>15.238213080622824</v>
      </c>
      <c r="Q110" s="187">
        <f>M110*$R$12</f>
        <v>1.0564184260701017</v>
      </c>
      <c r="R110" s="218"/>
      <c r="S110" s="212">
        <f t="shared" si="45"/>
        <v>2.036246516250121E-2</v>
      </c>
      <c r="T110" s="213">
        <f t="shared" si="46"/>
        <v>1.0767808912326029</v>
      </c>
      <c r="V110" s="212">
        <f t="shared" si="47"/>
        <v>29.776780891232601</v>
      </c>
      <c r="W110" s="214">
        <f t="shared" si="48"/>
        <v>516.12689854391294</v>
      </c>
      <c r="X110" s="214">
        <f t="shared" si="49"/>
        <v>18.664058543912915</v>
      </c>
      <c r="Y110" s="215">
        <f t="shared" si="39"/>
        <v>223.96870252695498</v>
      </c>
      <c r="AA110" s="216">
        <f t="shared" si="50"/>
        <v>219.73503262258114</v>
      </c>
      <c r="AB110" s="217">
        <f t="shared" si="40"/>
        <v>3.7518497952355512E-2</v>
      </c>
    </row>
    <row r="111" spans="1:29">
      <c r="A111" s="264" t="s">
        <v>225</v>
      </c>
      <c r="B111" s="265"/>
      <c r="C111" s="262">
        <f>B111*4.3333*2</f>
        <v>0</v>
      </c>
      <c r="D111" s="160">
        <v>1.5</v>
      </c>
      <c r="E111" s="167">
        <f t="shared" si="34"/>
        <v>0</v>
      </c>
      <c r="F111" s="220">
        <f t="shared" si="41"/>
        <v>0</v>
      </c>
      <c r="G111" s="160">
        <v>52</v>
      </c>
      <c r="I111" s="266">
        <v>28.7</v>
      </c>
      <c r="J111" s="164">
        <f t="shared" si="35"/>
        <v>0</v>
      </c>
      <c r="K111" s="164">
        <f t="shared" si="36"/>
        <v>0</v>
      </c>
      <c r="L111" s="210">
        <f t="shared" si="37"/>
        <v>217.5</v>
      </c>
      <c r="M111" s="161">
        <f t="shared" si="42"/>
        <v>146.52127962137331</v>
      </c>
      <c r="N111" s="236">
        <f t="shared" si="43"/>
        <v>0</v>
      </c>
      <c r="O111" s="211">
        <f t="shared" si="44"/>
        <v>0</v>
      </c>
      <c r="Q111" s="187">
        <f>M111*$R$12</f>
        <v>1.0564184260701017</v>
      </c>
      <c r="R111" s="212"/>
      <c r="S111" s="212">
        <f t="shared" si="45"/>
        <v>2.036246516250121E-2</v>
      </c>
      <c r="T111" s="213">
        <f t="shared" si="46"/>
        <v>1.0767808912326029</v>
      </c>
      <c r="V111" s="212">
        <f t="shared" si="47"/>
        <v>29.776780891232601</v>
      </c>
      <c r="W111" s="214">
        <f t="shared" si="48"/>
        <v>0</v>
      </c>
      <c r="X111" s="214">
        <f t="shared" si="49"/>
        <v>0</v>
      </c>
      <c r="Y111" s="215">
        <f t="shared" si="39"/>
        <v>0</v>
      </c>
      <c r="AA111" s="216">
        <f t="shared" si="50"/>
        <v>0</v>
      </c>
      <c r="AB111" s="217">
        <f t="shared" si="40"/>
        <v>3.7518497952355512E-2</v>
      </c>
    </row>
    <row r="112" spans="1:29">
      <c r="A112" s="264" t="s">
        <v>226</v>
      </c>
      <c r="B112" s="265"/>
      <c r="C112" s="262">
        <f>B112*4.3333*3</f>
        <v>0</v>
      </c>
      <c r="D112" s="160">
        <v>1.5</v>
      </c>
      <c r="E112" s="167">
        <f t="shared" si="34"/>
        <v>0</v>
      </c>
      <c r="F112" s="220">
        <f t="shared" si="41"/>
        <v>0</v>
      </c>
      <c r="G112" s="160">
        <v>52</v>
      </c>
      <c r="I112" s="266">
        <v>28.7</v>
      </c>
      <c r="J112" s="164">
        <f t="shared" si="35"/>
        <v>0</v>
      </c>
      <c r="K112" s="164">
        <f t="shared" si="36"/>
        <v>0</v>
      </c>
      <c r="L112" s="210">
        <f t="shared" si="37"/>
        <v>217.5</v>
      </c>
      <c r="M112" s="161">
        <f t="shared" si="42"/>
        <v>146.52127962137331</v>
      </c>
      <c r="N112" s="236">
        <f t="shared" si="43"/>
        <v>0</v>
      </c>
      <c r="O112" s="211">
        <f t="shared" si="44"/>
        <v>0</v>
      </c>
      <c r="Q112" s="187">
        <f>M112*$R$12</f>
        <v>1.0564184260701017</v>
      </c>
      <c r="R112" s="212"/>
      <c r="S112" s="212">
        <f t="shared" si="45"/>
        <v>2.036246516250121E-2</v>
      </c>
      <c r="T112" s="213">
        <f t="shared" si="46"/>
        <v>1.0767808912326029</v>
      </c>
      <c r="V112" s="212">
        <f t="shared" si="47"/>
        <v>29.776780891232601</v>
      </c>
      <c r="W112" s="214">
        <f t="shared" si="48"/>
        <v>0</v>
      </c>
      <c r="X112" s="214">
        <f t="shared" si="49"/>
        <v>0</v>
      </c>
      <c r="Y112" s="215">
        <f t="shared" si="39"/>
        <v>0</v>
      </c>
      <c r="AA112" s="216">
        <f t="shared" si="50"/>
        <v>0</v>
      </c>
      <c r="AB112" s="217">
        <f t="shared" si="40"/>
        <v>3.7518497952355512E-2</v>
      </c>
    </row>
    <row r="113" spans="1:28">
      <c r="A113" s="264" t="s">
        <v>268</v>
      </c>
      <c r="B113" s="265"/>
      <c r="C113" s="263">
        <f>B113*4.33</f>
        <v>0</v>
      </c>
      <c r="D113" s="160">
        <f>2*3.5</f>
        <v>7</v>
      </c>
      <c r="E113" s="167">
        <f t="shared" si="34"/>
        <v>0</v>
      </c>
      <c r="F113" s="220">
        <f t="shared" si="41"/>
        <v>0</v>
      </c>
      <c r="G113" s="160">
        <v>52</v>
      </c>
      <c r="I113" s="266">
        <v>168.54</v>
      </c>
      <c r="J113" s="164">
        <f t="shared" si="35"/>
        <v>0</v>
      </c>
      <c r="K113" s="164">
        <f t="shared" si="36"/>
        <v>0</v>
      </c>
      <c r="L113" s="210">
        <f t="shared" si="37"/>
        <v>1015</v>
      </c>
      <c r="M113" s="161">
        <f t="shared" si="42"/>
        <v>683.76597156640878</v>
      </c>
      <c r="N113" s="236">
        <f t="shared" si="43"/>
        <v>0</v>
      </c>
      <c r="O113" s="211">
        <f t="shared" si="44"/>
        <v>0</v>
      </c>
      <c r="Q113" s="187">
        <f>M113*$R$12</f>
        <v>4.9299526549938077</v>
      </c>
      <c r="R113" s="212"/>
      <c r="S113" s="212">
        <f t="shared" si="45"/>
        <v>9.5024837425005643E-2</v>
      </c>
      <c r="T113" s="213">
        <f t="shared" si="46"/>
        <v>5.0249774924188131</v>
      </c>
      <c r="V113" s="212">
        <f t="shared" si="47"/>
        <v>173.56497749241879</v>
      </c>
      <c r="W113" s="214">
        <f t="shared" si="48"/>
        <v>0</v>
      </c>
      <c r="X113" s="214">
        <f t="shared" si="49"/>
        <v>0</v>
      </c>
      <c r="Y113" s="215">
        <f t="shared" si="39"/>
        <v>0</v>
      </c>
      <c r="AA113" s="216">
        <f t="shared" si="50"/>
        <v>0</v>
      </c>
      <c r="AB113" s="217">
        <f t="shared" si="40"/>
        <v>2.9814747196029501E-2</v>
      </c>
    </row>
    <row r="114" spans="1:28">
      <c r="A114" s="264" t="s">
        <v>227</v>
      </c>
      <c r="B114" s="265"/>
      <c r="C114" s="263">
        <f>B114*4.33</f>
        <v>0</v>
      </c>
      <c r="D114" s="160">
        <f>2*5</f>
        <v>10</v>
      </c>
      <c r="E114" s="167">
        <f t="shared" si="34"/>
        <v>0</v>
      </c>
      <c r="F114" s="220">
        <f t="shared" si="41"/>
        <v>0</v>
      </c>
      <c r="G114" s="160">
        <v>52</v>
      </c>
      <c r="I114" s="266">
        <v>203.69</v>
      </c>
      <c r="J114" s="164">
        <f t="shared" si="35"/>
        <v>0</v>
      </c>
      <c r="K114" s="164">
        <f t="shared" si="36"/>
        <v>0</v>
      </c>
      <c r="L114" s="210">
        <f t="shared" si="37"/>
        <v>1450</v>
      </c>
      <c r="M114" s="161">
        <f t="shared" si="42"/>
        <v>976.8085308091554</v>
      </c>
      <c r="N114" s="236">
        <f t="shared" si="43"/>
        <v>0</v>
      </c>
      <c r="O114" s="211">
        <f t="shared" si="44"/>
        <v>0</v>
      </c>
      <c r="Q114" s="187">
        <f t="shared" si="38"/>
        <v>7.0427895071340112</v>
      </c>
      <c r="R114" s="218"/>
      <c r="S114" s="212">
        <f t="shared" si="45"/>
        <v>0.13574976775000808</v>
      </c>
      <c r="T114" s="213">
        <f t="shared" si="46"/>
        <v>7.1785392748840193</v>
      </c>
      <c r="V114" s="212">
        <f t="shared" si="47"/>
        <v>210.86853927488403</v>
      </c>
      <c r="W114" s="214">
        <f t="shared" si="48"/>
        <v>0</v>
      </c>
      <c r="X114" s="214">
        <f t="shared" si="49"/>
        <v>0</v>
      </c>
      <c r="Y114" s="215">
        <f t="shared" si="39"/>
        <v>0</v>
      </c>
      <c r="AA114" s="216">
        <f t="shared" si="50"/>
        <v>0</v>
      </c>
      <c r="AB114" s="217">
        <f t="shared" si="40"/>
        <v>3.5242472752143206E-2</v>
      </c>
    </row>
    <row r="115" spans="1:28">
      <c r="A115" s="264" t="s">
        <v>130</v>
      </c>
      <c r="B115" s="265"/>
      <c r="C115" s="262">
        <f>B115*1</f>
        <v>0</v>
      </c>
      <c r="D115" s="160">
        <v>2</v>
      </c>
      <c r="E115" s="167">
        <f t="shared" si="34"/>
        <v>0</v>
      </c>
      <c r="F115" s="220">
        <f t="shared" si="41"/>
        <v>0</v>
      </c>
      <c r="G115" s="160">
        <v>52</v>
      </c>
      <c r="I115" s="266">
        <v>43.29</v>
      </c>
      <c r="J115" s="164">
        <f t="shared" si="35"/>
        <v>0</v>
      </c>
      <c r="K115" s="164">
        <f t="shared" si="36"/>
        <v>0</v>
      </c>
      <c r="L115" s="210">
        <f t="shared" si="37"/>
        <v>290</v>
      </c>
      <c r="M115" s="161">
        <f t="shared" si="42"/>
        <v>195.36170616183108</v>
      </c>
      <c r="N115" s="236">
        <f t="shared" si="43"/>
        <v>0</v>
      </c>
      <c r="O115" s="211">
        <f t="shared" si="44"/>
        <v>0</v>
      </c>
      <c r="Q115" s="187">
        <f t="shared" si="38"/>
        <v>1.4085579014268024</v>
      </c>
      <c r="R115" s="212"/>
      <c r="S115" s="212">
        <f t="shared" si="45"/>
        <v>2.7149953550001615E-2</v>
      </c>
      <c r="T115" s="213">
        <f t="shared" si="46"/>
        <v>1.4357078549768041</v>
      </c>
      <c r="V115" s="212">
        <f t="shared" si="47"/>
        <v>44.725707854976804</v>
      </c>
      <c r="W115" s="214">
        <f t="shared" si="48"/>
        <v>0</v>
      </c>
      <c r="X115" s="214">
        <f t="shared" si="49"/>
        <v>0</v>
      </c>
      <c r="Y115" s="215">
        <f t="shared" si="39"/>
        <v>0</v>
      </c>
      <c r="AA115" s="216">
        <f t="shared" si="50"/>
        <v>0</v>
      </c>
      <c r="AB115" s="217">
        <f t="shared" si="40"/>
        <v>3.31648846148489E-2</v>
      </c>
    </row>
    <row r="116" spans="1:28">
      <c r="A116" s="264" t="s">
        <v>131</v>
      </c>
      <c r="B116" s="265">
        <v>15</v>
      </c>
      <c r="C116" s="263">
        <f>B116*4.3333</f>
        <v>64.999500000000012</v>
      </c>
      <c r="D116" s="160">
        <v>2</v>
      </c>
      <c r="E116" s="167">
        <f t="shared" si="34"/>
        <v>129.99900000000002</v>
      </c>
      <c r="F116" s="220">
        <f t="shared" si="41"/>
        <v>15</v>
      </c>
      <c r="G116" s="160">
        <v>52</v>
      </c>
      <c r="I116" s="266">
        <v>39.82</v>
      </c>
      <c r="J116" s="164">
        <f t="shared" si="35"/>
        <v>2588.2800900000007</v>
      </c>
      <c r="K116" s="164">
        <f t="shared" si="36"/>
        <v>31059.36108000001</v>
      </c>
      <c r="L116" s="210">
        <f t="shared" si="37"/>
        <v>290</v>
      </c>
      <c r="M116" s="161">
        <f t="shared" si="42"/>
        <v>195.36170616183108</v>
      </c>
      <c r="N116" s="236">
        <f t="shared" si="43"/>
        <v>113.1</v>
      </c>
      <c r="O116" s="211">
        <f t="shared" si="44"/>
        <v>76.191065403114109</v>
      </c>
      <c r="Q116" s="187">
        <f t="shared" si="38"/>
        <v>1.4085579014268024</v>
      </c>
      <c r="R116" s="212"/>
      <c r="S116" s="212">
        <f t="shared" si="45"/>
        <v>2.7149953550001615E-2</v>
      </c>
      <c r="T116" s="213">
        <f t="shared" si="46"/>
        <v>1.4357078549768041</v>
      </c>
      <c r="V116" s="212">
        <f t="shared" si="47"/>
        <v>41.255707854976805</v>
      </c>
      <c r="W116" s="214">
        <f t="shared" si="48"/>
        <v>2681.6003827195655</v>
      </c>
      <c r="X116" s="214">
        <f t="shared" si="49"/>
        <v>93.320292719564804</v>
      </c>
      <c r="Y116" s="215">
        <f t="shared" si="39"/>
        <v>1119.8435126347777</v>
      </c>
      <c r="AA116" s="216">
        <f t="shared" si="50"/>
        <v>1098.6751631129057</v>
      </c>
      <c r="AB116" s="217">
        <f t="shared" si="40"/>
        <v>3.6054943620713376E-2</v>
      </c>
    </row>
    <row r="117" spans="1:28">
      <c r="A117" s="264" t="s">
        <v>132</v>
      </c>
      <c r="B117" s="265"/>
      <c r="C117" s="263">
        <f>B117*4.3333*2</f>
        <v>0</v>
      </c>
      <c r="D117" s="160">
        <v>2</v>
      </c>
      <c r="E117" s="167">
        <f t="shared" si="34"/>
        <v>0</v>
      </c>
      <c r="F117" s="220">
        <f t="shared" si="41"/>
        <v>0</v>
      </c>
      <c r="G117" s="160">
        <v>52</v>
      </c>
      <c r="I117" s="266">
        <v>39.82</v>
      </c>
      <c r="J117" s="164">
        <f t="shared" si="35"/>
        <v>0</v>
      </c>
      <c r="K117" s="164">
        <f t="shared" si="36"/>
        <v>0</v>
      </c>
      <c r="L117" s="210">
        <f t="shared" si="37"/>
        <v>290</v>
      </c>
      <c r="M117" s="161">
        <f t="shared" si="42"/>
        <v>195.36170616183108</v>
      </c>
      <c r="N117" s="236">
        <f t="shared" si="43"/>
        <v>0</v>
      </c>
      <c r="O117" s="211">
        <f t="shared" si="44"/>
        <v>0</v>
      </c>
      <c r="Q117" s="187">
        <f t="shared" si="38"/>
        <v>1.4085579014268024</v>
      </c>
      <c r="R117" s="212"/>
      <c r="S117" s="212">
        <f t="shared" si="45"/>
        <v>2.7149953550001615E-2</v>
      </c>
      <c r="T117" s="213">
        <f t="shared" si="46"/>
        <v>1.4357078549768041</v>
      </c>
      <c r="V117" s="212">
        <f t="shared" si="47"/>
        <v>41.255707854976805</v>
      </c>
      <c r="W117" s="214">
        <f t="shared" si="48"/>
        <v>0</v>
      </c>
      <c r="X117" s="214">
        <f t="shared" si="49"/>
        <v>0</v>
      </c>
      <c r="Y117" s="215">
        <f t="shared" si="39"/>
        <v>0</v>
      </c>
      <c r="AA117" s="216">
        <f t="shared" si="50"/>
        <v>0</v>
      </c>
      <c r="AB117" s="217">
        <f t="shared" si="40"/>
        <v>3.6054943620713376E-2</v>
      </c>
    </row>
    <row r="118" spans="1:28">
      <c r="A118" s="264" t="s">
        <v>228</v>
      </c>
      <c r="B118" s="265"/>
      <c r="C118" s="263">
        <f>B118*4.3333*3</f>
        <v>0</v>
      </c>
      <c r="D118" s="160">
        <v>2</v>
      </c>
      <c r="E118" s="167">
        <f t="shared" si="34"/>
        <v>0</v>
      </c>
      <c r="F118" s="220">
        <f t="shared" si="41"/>
        <v>0</v>
      </c>
      <c r="G118" s="160">
        <v>52</v>
      </c>
      <c r="I118" s="266">
        <v>39.82</v>
      </c>
      <c r="J118" s="164">
        <f t="shared" si="35"/>
        <v>0</v>
      </c>
      <c r="K118" s="164">
        <f t="shared" si="36"/>
        <v>0</v>
      </c>
      <c r="L118" s="210">
        <f t="shared" si="37"/>
        <v>290</v>
      </c>
      <c r="M118" s="161">
        <f t="shared" si="42"/>
        <v>195.36170616183108</v>
      </c>
      <c r="N118" s="236">
        <f t="shared" si="43"/>
        <v>0</v>
      </c>
      <c r="O118" s="211">
        <f t="shared" si="44"/>
        <v>0</v>
      </c>
      <c r="Q118" s="187">
        <f t="shared" si="38"/>
        <v>1.4085579014268024</v>
      </c>
      <c r="R118" s="212"/>
      <c r="S118" s="212">
        <f t="shared" si="45"/>
        <v>2.7149953550001615E-2</v>
      </c>
      <c r="T118" s="213">
        <f t="shared" si="46"/>
        <v>1.4357078549768041</v>
      </c>
      <c r="V118" s="212">
        <f t="shared" si="47"/>
        <v>41.255707854976805</v>
      </c>
      <c r="W118" s="214">
        <f t="shared" si="48"/>
        <v>0</v>
      </c>
      <c r="X118" s="214">
        <f t="shared" si="49"/>
        <v>0</v>
      </c>
      <c r="Y118" s="215">
        <f t="shared" si="39"/>
        <v>0</v>
      </c>
      <c r="AA118" s="216">
        <f t="shared" si="50"/>
        <v>0</v>
      </c>
      <c r="AB118" s="217">
        <f t="shared" si="40"/>
        <v>3.6054943620713376E-2</v>
      </c>
    </row>
    <row r="119" spans="1:28">
      <c r="A119" s="264" t="s">
        <v>229</v>
      </c>
      <c r="B119" s="265"/>
      <c r="C119" s="263">
        <f>B119*4.3333*4</f>
        <v>0</v>
      </c>
      <c r="D119" s="160">
        <v>2</v>
      </c>
      <c r="E119" s="167">
        <f t="shared" si="34"/>
        <v>0</v>
      </c>
      <c r="F119" s="220">
        <f t="shared" si="41"/>
        <v>0</v>
      </c>
      <c r="G119" s="160">
        <v>52</v>
      </c>
      <c r="I119" s="266">
        <v>39.82</v>
      </c>
      <c r="J119" s="164">
        <f t="shared" si="35"/>
        <v>0</v>
      </c>
      <c r="K119" s="164">
        <f t="shared" si="36"/>
        <v>0</v>
      </c>
      <c r="L119" s="210">
        <f t="shared" si="37"/>
        <v>290</v>
      </c>
      <c r="M119" s="161">
        <f t="shared" si="42"/>
        <v>195.36170616183108</v>
      </c>
      <c r="N119" s="236">
        <f t="shared" si="43"/>
        <v>0</v>
      </c>
      <c r="O119" s="211">
        <f t="shared" si="44"/>
        <v>0</v>
      </c>
      <c r="Q119" s="187">
        <f t="shared" si="38"/>
        <v>1.4085579014268024</v>
      </c>
      <c r="R119" s="212"/>
      <c r="S119" s="212">
        <f t="shared" si="45"/>
        <v>2.7149953550001615E-2</v>
      </c>
      <c r="T119" s="213">
        <f t="shared" si="46"/>
        <v>1.4357078549768041</v>
      </c>
      <c r="V119" s="212">
        <f t="shared" si="47"/>
        <v>41.255707854976805</v>
      </c>
      <c r="W119" s="214">
        <f t="shared" si="48"/>
        <v>0</v>
      </c>
      <c r="X119" s="214">
        <f t="shared" si="49"/>
        <v>0</v>
      </c>
      <c r="Y119" s="215">
        <f t="shared" si="39"/>
        <v>0</v>
      </c>
      <c r="AA119" s="216">
        <f t="shared" si="50"/>
        <v>0</v>
      </c>
      <c r="AB119" s="217">
        <f t="shared" si="40"/>
        <v>3.6054943620713376E-2</v>
      </c>
    </row>
    <row r="120" spans="1:28">
      <c r="A120" s="264" t="s">
        <v>230</v>
      </c>
      <c r="B120" s="265"/>
      <c r="C120" s="263">
        <f>B120*4.33</f>
        <v>0</v>
      </c>
      <c r="D120" s="160">
        <f>3*3.5</f>
        <v>10.5</v>
      </c>
      <c r="E120" s="167">
        <f t="shared" si="34"/>
        <v>0</v>
      </c>
      <c r="F120" s="220">
        <f t="shared" si="41"/>
        <v>0</v>
      </c>
      <c r="G120" s="160">
        <v>52</v>
      </c>
      <c r="I120" s="266">
        <v>209.11</v>
      </c>
      <c r="J120" s="164">
        <f t="shared" si="35"/>
        <v>0</v>
      </c>
      <c r="K120" s="164">
        <f t="shared" si="36"/>
        <v>0</v>
      </c>
      <c r="L120" s="210">
        <f t="shared" si="37"/>
        <v>1522.5</v>
      </c>
      <c r="M120" s="161">
        <f t="shared" si="42"/>
        <v>1025.6489573496131</v>
      </c>
      <c r="N120" s="236">
        <f t="shared" si="43"/>
        <v>0</v>
      </c>
      <c r="O120" s="211">
        <f t="shared" si="44"/>
        <v>0</v>
      </c>
      <c r="Q120" s="187">
        <f t="shared" si="38"/>
        <v>7.3949289824907112</v>
      </c>
      <c r="R120" s="218"/>
      <c r="S120" s="212">
        <f t="shared" si="45"/>
        <v>0.14253725613750845</v>
      </c>
      <c r="T120" s="213">
        <f t="shared" si="46"/>
        <v>7.5374662386282196</v>
      </c>
      <c r="V120" s="212">
        <f t="shared" si="47"/>
        <v>216.64746623862823</v>
      </c>
      <c r="W120" s="214">
        <f t="shared" si="48"/>
        <v>0</v>
      </c>
      <c r="X120" s="214">
        <f t="shared" si="49"/>
        <v>0</v>
      </c>
      <c r="Y120" s="215">
        <f t="shared" si="39"/>
        <v>0</v>
      </c>
      <c r="AA120" s="216">
        <f t="shared" si="50"/>
        <v>0</v>
      </c>
      <c r="AB120" s="217">
        <f t="shared" si="40"/>
        <v>3.6045460468787871E-2</v>
      </c>
    </row>
    <row r="121" spans="1:28">
      <c r="A121" s="264" t="s">
        <v>231</v>
      </c>
      <c r="B121" s="265"/>
      <c r="C121" s="263">
        <f>B121*4.33</f>
        <v>0</v>
      </c>
      <c r="D121" s="160">
        <f>3*5</f>
        <v>15</v>
      </c>
      <c r="E121" s="167">
        <f t="shared" si="34"/>
        <v>0</v>
      </c>
      <c r="F121" s="220">
        <f t="shared" si="41"/>
        <v>0</v>
      </c>
      <c r="G121" s="160">
        <v>52</v>
      </c>
      <c r="I121" s="266">
        <v>258.62</v>
      </c>
      <c r="J121" s="164">
        <f t="shared" si="35"/>
        <v>0</v>
      </c>
      <c r="K121" s="164">
        <f t="shared" si="36"/>
        <v>0</v>
      </c>
      <c r="L121" s="210">
        <f t="shared" si="37"/>
        <v>2175</v>
      </c>
      <c r="M121" s="161">
        <f t="shared" si="42"/>
        <v>1465.2127962137331</v>
      </c>
      <c r="N121" s="236">
        <f t="shared" si="43"/>
        <v>0</v>
      </c>
      <c r="O121" s="211">
        <f t="shared" si="44"/>
        <v>0</v>
      </c>
      <c r="Q121" s="187">
        <f t="shared" si="38"/>
        <v>10.564184260701017</v>
      </c>
      <c r="R121" s="212"/>
      <c r="S121" s="212">
        <f t="shared" si="45"/>
        <v>0.20362465162501212</v>
      </c>
      <c r="T121" s="213">
        <f t="shared" si="46"/>
        <v>10.767808912326029</v>
      </c>
      <c r="V121" s="212">
        <f t="shared" si="47"/>
        <v>269.38780891232602</v>
      </c>
      <c r="W121" s="214">
        <f t="shared" si="48"/>
        <v>0</v>
      </c>
      <c r="X121" s="214">
        <f t="shared" si="49"/>
        <v>0</v>
      </c>
      <c r="Y121" s="215">
        <f t="shared" si="39"/>
        <v>0</v>
      </c>
      <c r="AA121" s="216">
        <f t="shared" si="50"/>
        <v>0</v>
      </c>
      <c r="AB121" s="217">
        <f t="shared" si="40"/>
        <v>4.1635638822697496E-2</v>
      </c>
    </row>
    <row r="122" spans="1:28">
      <c r="A122" s="264" t="s">
        <v>133</v>
      </c>
      <c r="B122" s="265"/>
      <c r="C122" s="263">
        <f>B122*4.33</f>
        <v>0</v>
      </c>
      <c r="D122" s="160">
        <v>3</v>
      </c>
      <c r="E122" s="167">
        <f t="shared" si="34"/>
        <v>0</v>
      </c>
      <c r="F122" s="220">
        <f t="shared" si="41"/>
        <v>0</v>
      </c>
      <c r="G122" s="160">
        <v>52</v>
      </c>
      <c r="I122" s="266">
        <v>60.12</v>
      </c>
      <c r="J122" s="164">
        <f t="shared" si="35"/>
        <v>0</v>
      </c>
      <c r="K122" s="164">
        <f t="shared" si="36"/>
        <v>0</v>
      </c>
      <c r="L122" s="210">
        <f t="shared" si="37"/>
        <v>435</v>
      </c>
      <c r="M122" s="161">
        <f t="shared" si="42"/>
        <v>293.04255924274662</v>
      </c>
      <c r="N122" s="236">
        <f t="shared" si="43"/>
        <v>0</v>
      </c>
      <c r="O122" s="211">
        <f t="shared" si="44"/>
        <v>0</v>
      </c>
      <c r="Q122" s="187">
        <f t="shared" si="38"/>
        <v>2.1128368521402034</v>
      </c>
      <c r="R122" s="212"/>
      <c r="S122" s="212">
        <f t="shared" si="45"/>
        <v>4.072493032500242E-2</v>
      </c>
      <c r="T122" s="213">
        <f t="shared" si="46"/>
        <v>2.1535617824652058</v>
      </c>
      <c r="V122" s="212">
        <f t="shared" si="47"/>
        <v>62.273561782465201</v>
      </c>
      <c r="W122" s="214">
        <f t="shared" si="48"/>
        <v>0</v>
      </c>
      <c r="X122" s="214">
        <f t="shared" si="49"/>
        <v>0</v>
      </c>
      <c r="Y122" s="215">
        <f t="shared" si="39"/>
        <v>0</v>
      </c>
      <c r="AA122" s="216">
        <f t="shared" si="50"/>
        <v>0</v>
      </c>
      <c r="AB122" s="217">
        <f t="shared" si="40"/>
        <v>3.582105426588833E-2</v>
      </c>
    </row>
    <row r="123" spans="1:28">
      <c r="A123" s="264" t="s">
        <v>134</v>
      </c>
      <c r="B123" s="265">
        <v>30</v>
      </c>
      <c r="C123" s="263">
        <f>B123*4.3333</f>
        <v>129.99900000000002</v>
      </c>
      <c r="D123" s="160">
        <v>3</v>
      </c>
      <c r="E123" s="167">
        <f t="shared" si="34"/>
        <v>389.99700000000007</v>
      </c>
      <c r="F123" s="220">
        <f t="shared" si="41"/>
        <v>30</v>
      </c>
      <c r="G123" s="160">
        <v>52</v>
      </c>
      <c r="I123" s="266">
        <v>56.78</v>
      </c>
      <c r="J123" s="164">
        <f t="shared" si="35"/>
        <v>7381.3432200000016</v>
      </c>
      <c r="K123" s="164">
        <f t="shared" si="36"/>
        <v>88576.118640000015</v>
      </c>
      <c r="L123" s="210">
        <f t="shared" si="37"/>
        <v>435</v>
      </c>
      <c r="M123" s="161">
        <f t="shared" si="42"/>
        <v>293.04255924274662</v>
      </c>
      <c r="N123" s="236">
        <f t="shared" si="43"/>
        <v>339.3</v>
      </c>
      <c r="O123" s="211">
        <f t="shared" si="44"/>
        <v>228.57319620934237</v>
      </c>
      <c r="Q123" s="187">
        <f t="shared" si="38"/>
        <v>2.1128368521402034</v>
      </c>
      <c r="R123" s="212"/>
      <c r="S123" s="212">
        <f t="shared" si="45"/>
        <v>4.072493032500242E-2</v>
      </c>
      <c r="T123" s="213">
        <f t="shared" si="46"/>
        <v>2.1535617824652058</v>
      </c>
      <c r="V123" s="212">
        <f t="shared" si="47"/>
        <v>58.933561782465205</v>
      </c>
      <c r="W123" s="214">
        <f t="shared" si="48"/>
        <v>7661.3040981586955</v>
      </c>
      <c r="X123" s="214">
        <f t="shared" si="49"/>
        <v>279.96087815869396</v>
      </c>
      <c r="Y123" s="215">
        <f t="shared" si="39"/>
        <v>3359.5305379043275</v>
      </c>
      <c r="AA123" s="216">
        <f t="shared" si="50"/>
        <v>3296.0254893387173</v>
      </c>
      <c r="AB123" s="217">
        <f t="shared" si="40"/>
        <v>3.7928175105058193E-2</v>
      </c>
    </row>
    <row r="124" spans="1:28">
      <c r="A124" s="264" t="s">
        <v>135</v>
      </c>
      <c r="B124" s="265"/>
      <c r="C124" s="263">
        <f>B124*4.3333*2</f>
        <v>0</v>
      </c>
      <c r="D124" s="160">
        <v>3</v>
      </c>
      <c r="E124" s="167">
        <f t="shared" si="34"/>
        <v>0</v>
      </c>
      <c r="F124" s="220">
        <f t="shared" si="41"/>
        <v>0</v>
      </c>
      <c r="G124" s="160">
        <v>52</v>
      </c>
      <c r="I124" s="266">
        <v>56.78</v>
      </c>
      <c r="J124" s="164">
        <f t="shared" si="35"/>
        <v>0</v>
      </c>
      <c r="K124" s="164">
        <f t="shared" si="36"/>
        <v>0</v>
      </c>
      <c r="L124" s="210">
        <f t="shared" si="37"/>
        <v>435</v>
      </c>
      <c r="M124" s="161">
        <f t="shared" si="42"/>
        <v>293.04255924274662</v>
      </c>
      <c r="N124" s="236">
        <f t="shared" si="43"/>
        <v>0</v>
      </c>
      <c r="O124" s="211">
        <f t="shared" si="44"/>
        <v>0</v>
      </c>
      <c r="Q124" s="187">
        <f t="shared" si="38"/>
        <v>2.1128368521402034</v>
      </c>
      <c r="R124" s="212"/>
      <c r="S124" s="212">
        <f t="shared" si="45"/>
        <v>4.072493032500242E-2</v>
      </c>
      <c r="T124" s="213">
        <f t="shared" si="46"/>
        <v>2.1535617824652058</v>
      </c>
      <c r="V124" s="212">
        <f t="shared" si="47"/>
        <v>58.933561782465205</v>
      </c>
      <c r="W124" s="214">
        <f t="shared" si="48"/>
        <v>0</v>
      </c>
      <c r="X124" s="214">
        <f t="shared" si="49"/>
        <v>0</v>
      </c>
      <c r="Y124" s="215">
        <f t="shared" si="39"/>
        <v>0</v>
      </c>
      <c r="AA124" s="216">
        <f t="shared" si="50"/>
        <v>0</v>
      </c>
      <c r="AB124" s="217">
        <f t="shared" si="40"/>
        <v>3.7928175105058193E-2</v>
      </c>
    </row>
    <row r="125" spans="1:28">
      <c r="A125" s="264" t="s">
        <v>136</v>
      </c>
      <c r="B125" s="265"/>
      <c r="C125" s="263">
        <f>B125*4.3333*3</f>
        <v>0</v>
      </c>
      <c r="D125" s="160">
        <v>3</v>
      </c>
      <c r="E125" s="167">
        <f t="shared" si="34"/>
        <v>0</v>
      </c>
      <c r="F125" s="220">
        <f t="shared" si="41"/>
        <v>0</v>
      </c>
      <c r="G125" s="160">
        <v>52</v>
      </c>
      <c r="I125" s="266">
        <v>56.78</v>
      </c>
      <c r="J125" s="164">
        <f t="shared" si="35"/>
        <v>0</v>
      </c>
      <c r="K125" s="164">
        <f t="shared" si="36"/>
        <v>0</v>
      </c>
      <c r="L125" s="210">
        <f t="shared" si="37"/>
        <v>435</v>
      </c>
      <c r="M125" s="161">
        <f t="shared" si="42"/>
        <v>293.04255924274662</v>
      </c>
      <c r="N125" s="236">
        <f t="shared" si="43"/>
        <v>0</v>
      </c>
      <c r="O125" s="211">
        <f t="shared" si="44"/>
        <v>0</v>
      </c>
      <c r="Q125" s="187">
        <f t="shared" si="38"/>
        <v>2.1128368521402034</v>
      </c>
      <c r="R125" s="218"/>
      <c r="S125" s="212">
        <f t="shared" si="45"/>
        <v>4.072493032500242E-2</v>
      </c>
      <c r="T125" s="213">
        <f t="shared" si="46"/>
        <v>2.1535617824652058</v>
      </c>
      <c r="V125" s="212">
        <f t="shared" si="47"/>
        <v>58.933561782465205</v>
      </c>
      <c r="W125" s="214">
        <f t="shared" si="48"/>
        <v>0</v>
      </c>
      <c r="X125" s="214">
        <f t="shared" si="49"/>
        <v>0</v>
      </c>
      <c r="Y125" s="215">
        <f t="shared" si="39"/>
        <v>0</v>
      </c>
      <c r="AA125" s="216">
        <f t="shared" si="50"/>
        <v>0</v>
      </c>
      <c r="AB125" s="217">
        <f t="shared" si="40"/>
        <v>3.7928175105058193E-2</v>
      </c>
    </row>
    <row r="126" spans="1:28">
      <c r="A126" s="264" t="s">
        <v>232</v>
      </c>
      <c r="B126" s="265"/>
      <c r="C126" s="263">
        <f>B126*4.33</f>
        <v>0</v>
      </c>
      <c r="D126" s="160">
        <f>4*3.5</f>
        <v>14</v>
      </c>
      <c r="E126" s="167">
        <f t="shared" si="34"/>
        <v>0</v>
      </c>
      <c r="F126" s="220">
        <f t="shared" si="41"/>
        <v>0</v>
      </c>
      <c r="G126" s="160">
        <v>52</v>
      </c>
      <c r="I126" s="266">
        <v>247.17</v>
      </c>
      <c r="J126" s="164">
        <f t="shared" si="35"/>
        <v>0</v>
      </c>
      <c r="K126" s="164">
        <f t="shared" si="36"/>
        <v>0</v>
      </c>
      <c r="L126" s="210">
        <f t="shared" si="37"/>
        <v>2030</v>
      </c>
      <c r="M126" s="161">
        <f t="shared" si="42"/>
        <v>1367.5319431328176</v>
      </c>
      <c r="N126" s="236">
        <f t="shared" si="43"/>
        <v>0</v>
      </c>
      <c r="O126" s="211">
        <f t="shared" si="44"/>
        <v>0</v>
      </c>
      <c r="Q126" s="187">
        <f t="shared" si="38"/>
        <v>9.8599053099876155</v>
      </c>
      <c r="R126" s="212"/>
      <c r="S126" s="212">
        <f t="shared" si="45"/>
        <v>0.19004967485001129</v>
      </c>
      <c r="T126" s="213">
        <f t="shared" si="46"/>
        <v>10.049954984837626</v>
      </c>
      <c r="V126" s="212">
        <f t="shared" si="47"/>
        <v>257.21995498483761</v>
      </c>
      <c r="W126" s="214">
        <f t="shared" si="48"/>
        <v>0</v>
      </c>
      <c r="X126" s="214">
        <f t="shared" si="49"/>
        <v>0</v>
      </c>
      <c r="Y126" s="215">
        <f t="shared" si="39"/>
        <v>0</v>
      </c>
      <c r="AA126" s="216">
        <f t="shared" si="50"/>
        <v>0</v>
      </c>
      <c r="AB126" s="217">
        <f t="shared" si="40"/>
        <v>4.0660092182860597E-2</v>
      </c>
    </row>
    <row r="127" spans="1:28">
      <c r="A127" s="264" t="s">
        <v>233</v>
      </c>
      <c r="B127" s="265"/>
      <c r="C127" s="263">
        <f>B127*4.33</f>
        <v>0</v>
      </c>
      <c r="D127" s="160">
        <f>4*5</f>
        <v>20</v>
      </c>
      <c r="E127" s="167">
        <f t="shared" si="34"/>
        <v>0</v>
      </c>
      <c r="F127" s="220">
        <f t="shared" si="41"/>
        <v>0</v>
      </c>
      <c r="G127" s="160">
        <v>52</v>
      </c>
      <c r="I127" s="266">
        <v>313.57</v>
      </c>
      <c r="J127" s="164">
        <f t="shared" si="35"/>
        <v>0</v>
      </c>
      <c r="K127" s="164">
        <f t="shared" si="36"/>
        <v>0</v>
      </c>
      <c r="L127" s="210">
        <f t="shared" si="37"/>
        <v>2900</v>
      </c>
      <c r="M127" s="161">
        <f t="shared" si="42"/>
        <v>1953.6170616183108</v>
      </c>
      <c r="N127" s="236">
        <f t="shared" si="43"/>
        <v>0</v>
      </c>
      <c r="O127" s="211">
        <f t="shared" si="44"/>
        <v>0</v>
      </c>
      <c r="Q127" s="187">
        <f t="shared" si="38"/>
        <v>14.085579014268022</v>
      </c>
      <c r="R127" s="212"/>
      <c r="S127" s="212">
        <f t="shared" si="45"/>
        <v>0.27149953550001615</v>
      </c>
      <c r="T127" s="213">
        <f t="shared" si="46"/>
        <v>14.357078549768039</v>
      </c>
      <c r="V127" s="212">
        <f t="shared" si="47"/>
        <v>327.92707854976805</v>
      </c>
      <c r="W127" s="214">
        <f t="shared" si="48"/>
        <v>0</v>
      </c>
      <c r="X127" s="214">
        <f t="shared" si="49"/>
        <v>0</v>
      </c>
      <c r="Y127" s="215">
        <f t="shared" si="39"/>
        <v>0</v>
      </c>
      <c r="AA127" s="216">
        <f t="shared" si="50"/>
        <v>0</v>
      </c>
      <c r="AB127" s="217">
        <f t="shared" si="40"/>
        <v>4.5785880504410681E-2</v>
      </c>
    </row>
    <row r="128" spans="1:28">
      <c r="A128" s="264" t="s">
        <v>137</v>
      </c>
      <c r="B128" s="265"/>
      <c r="C128" s="263">
        <f>+B128*1</f>
        <v>0</v>
      </c>
      <c r="D128" s="160">
        <v>4</v>
      </c>
      <c r="E128" s="167">
        <f t="shared" si="34"/>
        <v>0</v>
      </c>
      <c r="F128" s="220">
        <f t="shared" si="41"/>
        <v>0</v>
      </c>
      <c r="G128" s="160">
        <v>52</v>
      </c>
      <c r="I128" s="266">
        <v>74.36</v>
      </c>
      <c r="J128" s="164">
        <f t="shared" si="35"/>
        <v>0</v>
      </c>
      <c r="K128" s="164">
        <f t="shared" si="36"/>
        <v>0</v>
      </c>
      <c r="L128" s="210">
        <f t="shared" si="37"/>
        <v>580</v>
      </c>
      <c r="M128" s="161">
        <f t="shared" si="42"/>
        <v>390.72341232366216</v>
      </c>
      <c r="N128" s="236">
        <f t="shared" si="43"/>
        <v>0</v>
      </c>
      <c r="O128" s="211">
        <f t="shared" si="44"/>
        <v>0</v>
      </c>
      <c r="Q128" s="187">
        <f t="shared" si="38"/>
        <v>2.8171158028536047</v>
      </c>
      <c r="R128" s="212"/>
      <c r="S128" s="212">
        <f t="shared" si="45"/>
        <v>5.4299907100003229E-2</v>
      </c>
      <c r="T128" s="213">
        <f t="shared" si="46"/>
        <v>2.8714157099536082</v>
      </c>
      <c r="V128" s="212">
        <f t="shared" si="47"/>
        <v>77.231415709953609</v>
      </c>
      <c r="W128" s="214">
        <f t="shared" si="48"/>
        <v>0</v>
      </c>
      <c r="X128" s="214">
        <f t="shared" si="49"/>
        <v>0</v>
      </c>
      <c r="Y128" s="215">
        <f t="shared" si="39"/>
        <v>0</v>
      </c>
      <c r="AA128" s="216">
        <f t="shared" si="50"/>
        <v>0</v>
      </c>
      <c r="AB128" s="217">
        <f t="shared" si="40"/>
        <v>3.8615057960645682E-2</v>
      </c>
    </row>
    <row r="129" spans="1:28">
      <c r="A129" s="264" t="s">
        <v>138</v>
      </c>
      <c r="B129" s="265">
        <v>22</v>
      </c>
      <c r="C129" s="263">
        <f>B129*4.3333</f>
        <v>95.332600000000014</v>
      </c>
      <c r="D129" s="160">
        <v>4</v>
      </c>
      <c r="E129" s="167">
        <f t="shared" si="34"/>
        <v>381.33040000000005</v>
      </c>
      <c r="F129" s="220">
        <f t="shared" si="41"/>
        <v>22</v>
      </c>
      <c r="G129" s="160">
        <v>52</v>
      </c>
      <c r="I129" s="266">
        <v>71.19</v>
      </c>
      <c r="J129" s="164">
        <f t="shared" si="35"/>
        <v>6786.7277940000004</v>
      </c>
      <c r="K129" s="164">
        <f t="shared" si="36"/>
        <v>81440.733528000012</v>
      </c>
      <c r="L129" s="210">
        <f t="shared" si="37"/>
        <v>580</v>
      </c>
      <c r="M129" s="161">
        <f t="shared" si="42"/>
        <v>390.72341232366216</v>
      </c>
      <c r="N129" s="236">
        <f t="shared" si="43"/>
        <v>331.76</v>
      </c>
      <c r="O129" s="211">
        <f t="shared" si="44"/>
        <v>223.49379184913474</v>
      </c>
      <c r="Q129" s="187">
        <f t="shared" si="38"/>
        <v>2.8171158028536047</v>
      </c>
      <c r="R129" s="212"/>
      <c r="S129" s="212">
        <f t="shared" si="45"/>
        <v>5.4299907100003229E-2</v>
      </c>
      <c r="T129" s="213">
        <f t="shared" si="46"/>
        <v>2.8714157099536082</v>
      </c>
      <c r="V129" s="212">
        <f t="shared" si="47"/>
        <v>74.061415709953607</v>
      </c>
      <c r="W129" s="214">
        <f t="shared" si="48"/>
        <v>7060.4673193107246</v>
      </c>
      <c r="X129" s="214">
        <f t="shared" si="49"/>
        <v>273.73952531072428</v>
      </c>
      <c r="Y129" s="215">
        <f t="shared" si="39"/>
        <v>3284.8743037286913</v>
      </c>
      <c r="AA129" s="216">
        <f t="shared" si="50"/>
        <v>3222.7804784645232</v>
      </c>
      <c r="AB129" s="217">
        <f t="shared" si="40"/>
        <v>4.0334537293912121E-2</v>
      </c>
    </row>
    <row r="130" spans="1:28">
      <c r="A130" s="264" t="s">
        <v>139</v>
      </c>
      <c r="B130" s="265"/>
      <c r="C130" s="263">
        <f>B130*4.3333*2</f>
        <v>0</v>
      </c>
      <c r="D130" s="160">
        <v>4</v>
      </c>
      <c r="E130" s="167">
        <f t="shared" si="34"/>
        <v>0</v>
      </c>
      <c r="F130" s="220">
        <f t="shared" si="41"/>
        <v>0</v>
      </c>
      <c r="G130" s="160">
        <v>52</v>
      </c>
      <c r="I130" s="266">
        <v>71.19</v>
      </c>
      <c r="J130" s="164">
        <f t="shared" si="35"/>
        <v>0</v>
      </c>
      <c r="K130" s="164">
        <f t="shared" si="36"/>
        <v>0</v>
      </c>
      <c r="L130" s="210">
        <f t="shared" si="37"/>
        <v>580</v>
      </c>
      <c r="M130" s="161">
        <f t="shared" si="42"/>
        <v>390.72341232366216</v>
      </c>
      <c r="N130" s="236">
        <f t="shared" si="43"/>
        <v>0</v>
      </c>
      <c r="O130" s="211">
        <f t="shared" si="44"/>
        <v>0</v>
      </c>
      <c r="Q130" s="187">
        <f t="shared" si="38"/>
        <v>2.8171158028536047</v>
      </c>
      <c r="R130" s="212"/>
      <c r="S130" s="212">
        <f t="shared" si="45"/>
        <v>5.4299907100003229E-2</v>
      </c>
      <c r="T130" s="213">
        <f t="shared" si="46"/>
        <v>2.8714157099536082</v>
      </c>
      <c r="V130" s="212">
        <f t="shared" si="47"/>
        <v>74.061415709953607</v>
      </c>
      <c r="W130" s="214">
        <f t="shared" si="48"/>
        <v>0</v>
      </c>
      <c r="X130" s="214">
        <f t="shared" si="49"/>
        <v>0</v>
      </c>
      <c r="Y130" s="215">
        <f t="shared" si="39"/>
        <v>0</v>
      </c>
      <c r="AA130" s="216">
        <f t="shared" si="50"/>
        <v>0</v>
      </c>
      <c r="AB130" s="217">
        <f t="shared" si="40"/>
        <v>4.0334537293912121E-2</v>
      </c>
    </row>
    <row r="131" spans="1:28">
      <c r="A131" s="264" t="s">
        <v>140</v>
      </c>
      <c r="B131" s="265"/>
      <c r="C131" s="263">
        <f>B131*4.3333*3</f>
        <v>0</v>
      </c>
      <c r="D131" s="160">
        <v>4</v>
      </c>
      <c r="E131" s="167">
        <f t="shared" si="34"/>
        <v>0</v>
      </c>
      <c r="F131" s="220">
        <f t="shared" si="41"/>
        <v>0</v>
      </c>
      <c r="G131" s="160">
        <v>52</v>
      </c>
      <c r="I131" s="266">
        <v>71.19</v>
      </c>
      <c r="J131" s="164">
        <f t="shared" si="35"/>
        <v>0</v>
      </c>
      <c r="K131" s="164">
        <f t="shared" si="36"/>
        <v>0</v>
      </c>
      <c r="L131" s="210">
        <f t="shared" si="37"/>
        <v>580</v>
      </c>
      <c r="M131" s="161">
        <f t="shared" si="42"/>
        <v>390.72341232366216</v>
      </c>
      <c r="N131" s="236">
        <f t="shared" si="43"/>
        <v>0</v>
      </c>
      <c r="O131" s="211">
        <f t="shared" si="44"/>
        <v>0</v>
      </c>
      <c r="Q131" s="187">
        <f t="shared" si="38"/>
        <v>2.8171158028536047</v>
      </c>
      <c r="R131" s="218"/>
      <c r="S131" s="212">
        <f t="shared" si="45"/>
        <v>5.4299907100003229E-2</v>
      </c>
      <c r="T131" s="213">
        <f t="shared" si="46"/>
        <v>2.8714157099536082</v>
      </c>
      <c r="V131" s="212">
        <f t="shared" si="47"/>
        <v>74.061415709953607</v>
      </c>
      <c r="W131" s="214">
        <f t="shared" si="48"/>
        <v>0</v>
      </c>
      <c r="X131" s="214">
        <f t="shared" si="49"/>
        <v>0</v>
      </c>
      <c r="Y131" s="215">
        <f t="shared" si="39"/>
        <v>0</v>
      </c>
      <c r="AA131" s="216">
        <f t="shared" si="50"/>
        <v>0</v>
      </c>
      <c r="AB131" s="217">
        <f t="shared" si="40"/>
        <v>4.0334537293912121E-2</v>
      </c>
    </row>
    <row r="132" spans="1:28">
      <c r="A132" s="264" t="s">
        <v>234</v>
      </c>
      <c r="B132" s="265"/>
      <c r="C132" s="263">
        <f>(B132*4.3333)*4</f>
        <v>0</v>
      </c>
      <c r="D132" s="160">
        <v>4</v>
      </c>
      <c r="E132" s="167">
        <f t="shared" si="34"/>
        <v>0</v>
      </c>
      <c r="F132" s="220">
        <f t="shared" si="41"/>
        <v>0</v>
      </c>
      <c r="G132" s="160">
        <v>52</v>
      </c>
      <c r="I132" s="266">
        <v>71.19</v>
      </c>
      <c r="J132" s="164">
        <f t="shared" si="35"/>
        <v>0</v>
      </c>
      <c r="K132" s="164">
        <f t="shared" si="36"/>
        <v>0</v>
      </c>
      <c r="L132" s="210">
        <f t="shared" si="37"/>
        <v>580</v>
      </c>
      <c r="M132" s="161">
        <f t="shared" si="42"/>
        <v>390.72341232366216</v>
      </c>
      <c r="N132" s="236">
        <f t="shared" si="43"/>
        <v>0</v>
      </c>
      <c r="O132" s="211">
        <f t="shared" si="44"/>
        <v>0</v>
      </c>
      <c r="Q132" s="187">
        <f t="shared" si="38"/>
        <v>2.8171158028536047</v>
      </c>
      <c r="R132" s="212"/>
      <c r="S132" s="212">
        <f t="shared" si="45"/>
        <v>5.4299907100003229E-2</v>
      </c>
      <c r="T132" s="213">
        <f t="shared" si="46"/>
        <v>2.8714157099536082</v>
      </c>
      <c r="V132" s="212">
        <f t="shared" si="47"/>
        <v>74.061415709953607</v>
      </c>
      <c r="W132" s="214">
        <f t="shared" si="48"/>
        <v>0</v>
      </c>
      <c r="X132" s="214">
        <f t="shared" si="49"/>
        <v>0</v>
      </c>
      <c r="Y132" s="215">
        <f t="shared" si="39"/>
        <v>0</v>
      </c>
      <c r="AA132" s="216">
        <f t="shared" si="50"/>
        <v>0</v>
      </c>
      <c r="AB132" s="217">
        <f t="shared" si="40"/>
        <v>4.0334537293912121E-2</v>
      </c>
    </row>
    <row r="133" spans="1:28">
      <c r="A133" s="264" t="s">
        <v>235</v>
      </c>
      <c r="B133" s="265"/>
      <c r="C133" s="263">
        <f>B133*4.33</f>
        <v>0</v>
      </c>
      <c r="D133" s="160">
        <f>5*3.5</f>
        <v>17.5</v>
      </c>
      <c r="E133" s="167">
        <f t="shared" si="34"/>
        <v>0</v>
      </c>
      <c r="F133" s="220">
        <f t="shared" si="41"/>
        <v>0</v>
      </c>
      <c r="G133" s="160">
        <v>52</v>
      </c>
      <c r="I133" s="266">
        <v>285.81</v>
      </c>
      <c r="J133" s="164">
        <f t="shared" si="35"/>
        <v>0</v>
      </c>
      <c r="K133" s="164">
        <f t="shared" si="36"/>
        <v>0</v>
      </c>
      <c r="L133" s="210">
        <f t="shared" si="37"/>
        <v>2537.5</v>
      </c>
      <c r="M133" s="161">
        <f t="shared" si="42"/>
        <v>1709.4149289160218</v>
      </c>
      <c r="N133" s="236">
        <f t="shared" si="43"/>
        <v>0</v>
      </c>
      <c r="O133" s="211">
        <f t="shared" si="44"/>
        <v>0</v>
      </c>
      <c r="Q133" s="187">
        <f t="shared" si="38"/>
        <v>12.32488163748452</v>
      </c>
      <c r="R133" s="212"/>
      <c r="S133" s="212">
        <f t="shared" si="45"/>
        <v>0.23756209356251412</v>
      </c>
      <c r="T133" s="213">
        <f t="shared" si="46"/>
        <v>12.562443731047034</v>
      </c>
      <c r="V133" s="212">
        <f t="shared" si="47"/>
        <v>298.37244373104704</v>
      </c>
      <c r="W133" s="214">
        <f t="shared" si="48"/>
        <v>0</v>
      </c>
      <c r="X133" s="214">
        <f t="shared" si="49"/>
        <v>0</v>
      </c>
      <c r="Y133" s="215">
        <f t="shared" si="39"/>
        <v>0</v>
      </c>
      <c r="AA133" s="216">
        <f t="shared" si="50"/>
        <v>0</v>
      </c>
      <c r="AB133" s="217">
        <f t="shared" si="40"/>
        <v>4.3953828526108296E-2</v>
      </c>
    </row>
    <row r="134" spans="1:28">
      <c r="A134" s="264" t="s">
        <v>236</v>
      </c>
      <c r="B134" s="265"/>
      <c r="C134" s="263">
        <f>B134*4.33</f>
        <v>0</v>
      </c>
      <c r="D134" s="160">
        <f>5*5</f>
        <v>25</v>
      </c>
      <c r="E134" s="167">
        <f t="shared" si="34"/>
        <v>0</v>
      </c>
      <c r="F134" s="220">
        <f t="shared" si="41"/>
        <v>0</v>
      </c>
      <c r="G134" s="160">
        <v>52</v>
      </c>
      <c r="I134" s="266">
        <v>368.52</v>
      </c>
      <c r="J134" s="164">
        <f t="shared" si="35"/>
        <v>0</v>
      </c>
      <c r="K134" s="164">
        <f t="shared" si="36"/>
        <v>0</v>
      </c>
      <c r="L134" s="210">
        <f t="shared" si="37"/>
        <v>3625</v>
      </c>
      <c r="M134" s="161">
        <f t="shared" si="42"/>
        <v>2442.0213270228883</v>
      </c>
      <c r="N134" s="236">
        <f t="shared" si="43"/>
        <v>0</v>
      </c>
      <c r="O134" s="211">
        <f t="shared" si="44"/>
        <v>0</v>
      </c>
      <c r="Q134" s="187">
        <f t="shared" si="38"/>
        <v>17.606973767835026</v>
      </c>
      <c r="R134" s="212"/>
      <c r="S134" s="212">
        <f t="shared" si="45"/>
        <v>0.33937441937502011</v>
      </c>
      <c r="T134" s="213">
        <f t="shared" si="46"/>
        <v>17.946348187210045</v>
      </c>
      <c r="V134" s="212">
        <f t="shared" si="47"/>
        <v>386.46634818721003</v>
      </c>
      <c r="W134" s="214">
        <f t="shared" si="48"/>
        <v>0</v>
      </c>
      <c r="X134" s="214">
        <f t="shared" si="49"/>
        <v>0</v>
      </c>
      <c r="Y134" s="215">
        <f t="shared" si="39"/>
        <v>0</v>
      </c>
      <c r="AA134" s="216">
        <f t="shared" si="50"/>
        <v>0</v>
      </c>
      <c r="AB134" s="217">
        <f t="shared" si="40"/>
        <v>4.869843749921321E-2</v>
      </c>
    </row>
    <row r="135" spans="1:28">
      <c r="A135" s="264" t="s">
        <v>237</v>
      </c>
      <c r="B135" s="265"/>
      <c r="C135" s="263">
        <f>B135*4.33</f>
        <v>0</v>
      </c>
      <c r="D135" s="160">
        <f>6*3.5</f>
        <v>21</v>
      </c>
      <c r="E135" s="167">
        <f t="shared" si="34"/>
        <v>0</v>
      </c>
      <c r="F135" s="220">
        <f t="shared" si="41"/>
        <v>0</v>
      </c>
      <c r="G135" s="160">
        <v>52</v>
      </c>
      <c r="I135" s="266">
        <v>361.69</v>
      </c>
      <c r="J135" s="164">
        <f t="shared" si="35"/>
        <v>0</v>
      </c>
      <c r="K135" s="164">
        <f t="shared" si="36"/>
        <v>0</v>
      </c>
      <c r="L135" s="210">
        <f t="shared" si="37"/>
        <v>3045</v>
      </c>
      <c r="M135" s="161">
        <f t="shared" si="42"/>
        <v>2051.2979146992261</v>
      </c>
      <c r="N135" s="236">
        <f t="shared" si="43"/>
        <v>0</v>
      </c>
      <c r="O135" s="211">
        <f t="shared" si="44"/>
        <v>0</v>
      </c>
      <c r="Q135" s="187">
        <f t="shared" si="38"/>
        <v>14.789857964981422</v>
      </c>
      <c r="R135" s="212"/>
      <c r="S135" s="212">
        <f t="shared" si="45"/>
        <v>0.2850745122750169</v>
      </c>
      <c r="T135" s="213">
        <f t="shared" si="46"/>
        <v>15.074932477256439</v>
      </c>
      <c r="V135" s="212">
        <f t="shared" si="47"/>
        <v>376.76493247725642</v>
      </c>
      <c r="W135" s="214">
        <f t="shared" si="48"/>
        <v>0</v>
      </c>
      <c r="X135" s="214">
        <f t="shared" si="49"/>
        <v>0</v>
      </c>
      <c r="Y135" s="215">
        <f t="shared" si="39"/>
        <v>0</v>
      </c>
      <c r="AA135" s="216">
        <f t="shared" si="50"/>
        <v>0</v>
      </c>
      <c r="AB135" s="217">
        <f t="shared" si="40"/>
        <v>4.1679151973392781E-2</v>
      </c>
    </row>
    <row r="136" spans="1:28">
      <c r="A136" s="264" t="s">
        <v>238</v>
      </c>
      <c r="B136" s="265"/>
      <c r="C136" s="263">
        <f>B136*4.33</f>
        <v>0</v>
      </c>
      <c r="D136" s="160">
        <f>6*5</f>
        <v>30</v>
      </c>
      <c r="E136" s="167">
        <f t="shared" si="34"/>
        <v>0</v>
      </c>
      <c r="F136" s="220">
        <f t="shared" si="41"/>
        <v>0</v>
      </c>
      <c r="G136" s="160">
        <v>52</v>
      </c>
      <c r="I136" s="266">
        <v>423.45</v>
      </c>
      <c r="J136" s="164">
        <f t="shared" si="35"/>
        <v>0</v>
      </c>
      <c r="K136" s="164">
        <f t="shared" si="36"/>
        <v>0</v>
      </c>
      <c r="L136" s="210">
        <f t="shared" si="37"/>
        <v>4350</v>
      </c>
      <c r="M136" s="161">
        <f t="shared" si="42"/>
        <v>2930.4255924274662</v>
      </c>
      <c r="N136" s="236">
        <f t="shared" si="43"/>
        <v>0</v>
      </c>
      <c r="O136" s="211">
        <f t="shared" si="44"/>
        <v>0</v>
      </c>
      <c r="Q136" s="187">
        <f t="shared" si="38"/>
        <v>21.128368521402034</v>
      </c>
      <c r="R136" s="218"/>
      <c r="S136" s="212">
        <f t="shared" si="45"/>
        <v>0.40724930325002423</v>
      </c>
      <c r="T136" s="213">
        <f t="shared" si="46"/>
        <v>21.535617824652057</v>
      </c>
      <c r="V136" s="212">
        <f t="shared" si="47"/>
        <v>444.98561782465202</v>
      </c>
      <c r="W136" s="214">
        <f t="shared" si="48"/>
        <v>0</v>
      </c>
      <c r="X136" s="214">
        <f t="shared" si="49"/>
        <v>0</v>
      </c>
      <c r="Y136" s="215">
        <f t="shared" si="39"/>
        <v>0</v>
      </c>
      <c r="AA136" s="216">
        <f t="shared" si="50"/>
        <v>0</v>
      </c>
      <c r="AB136" s="217">
        <f t="shared" si="40"/>
        <v>5.0857522315862713E-2</v>
      </c>
    </row>
    <row r="137" spans="1:28">
      <c r="A137" s="264" t="s">
        <v>120</v>
      </c>
      <c r="B137" s="265"/>
      <c r="C137" s="263">
        <f>+B137*1</f>
        <v>0</v>
      </c>
      <c r="D137" s="160">
        <v>6</v>
      </c>
      <c r="E137" s="167">
        <f t="shared" si="34"/>
        <v>0</v>
      </c>
      <c r="F137" s="220">
        <f t="shared" si="41"/>
        <v>0</v>
      </c>
      <c r="G137" s="160">
        <v>52</v>
      </c>
      <c r="I137" s="266">
        <v>112.12</v>
      </c>
      <c r="J137" s="164">
        <f t="shared" si="35"/>
        <v>0</v>
      </c>
      <c r="K137" s="164">
        <f t="shared" si="36"/>
        <v>0</v>
      </c>
      <c r="L137" s="210">
        <f t="shared" si="37"/>
        <v>870</v>
      </c>
      <c r="M137" s="161">
        <f t="shared" si="42"/>
        <v>586.08511848549324</v>
      </c>
      <c r="N137" s="236">
        <f t="shared" si="43"/>
        <v>0</v>
      </c>
      <c r="O137" s="211">
        <f t="shared" si="44"/>
        <v>0</v>
      </c>
      <c r="Q137" s="187">
        <f t="shared" si="38"/>
        <v>4.2256737042804069</v>
      </c>
      <c r="R137" s="212"/>
      <c r="S137" s="212">
        <f t="shared" si="45"/>
        <v>8.1449860650004841E-2</v>
      </c>
      <c r="T137" s="213">
        <f t="shared" si="46"/>
        <v>4.3071235649304116</v>
      </c>
      <c r="V137" s="212">
        <f t="shared" si="47"/>
        <v>116.42712356493041</v>
      </c>
      <c r="W137" s="214">
        <f t="shared" si="48"/>
        <v>0</v>
      </c>
      <c r="X137" s="214">
        <f t="shared" si="49"/>
        <v>0</v>
      </c>
      <c r="Y137" s="215">
        <f t="shared" si="39"/>
        <v>0</v>
      </c>
      <c r="AA137" s="216">
        <f t="shared" si="50"/>
        <v>0</v>
      </c>
      <c r="AB137" s="217">
        <f t="shared" si="40"/>
        <v>3.8415301149932191E-2</v>
      </c>
    </row>
    <row r="138" spans="1:28">
      <c r="A138" s="264" t="s">
        <v>121</v>
      </c>
      <c r="B138" s="265">
        <v>22</v>
      </c>
      <c r="C138" s="263">
        <f>B138*4.3333</f>
        <v>95.332600000000014</v>
      </c>
      <c r="D138" s="160">
        <v>6</v>
      </c>
      <c r="E138" s="167">
        <f t="shared" si="34"/>
        <v>571.99560000000008</v>
      </c>
      <c r="F138" s="220">
        <f t="shared" si="41"/>
        <v>22</v>
      </c>
      <c r="G138" s="160">
        <v>52</v>
      </c>
      <c r="I138" s="266">
        <v>106.31</v>
      </c>
      <c r="J138" s="164">
        <f t="shared" si="35"/>
        <v>10134.808706000002</v>
      </c>
      <c r="K138" s="164">
        <f t="shared" si="36"/>
        <v>121617.70447200001</v>
      </c>
      <c r="L138" s="210">
        <f t="shared" si="37"/>
        <v>870</v>
      </c>
      <c r="M138" s="161">
        <f t="shared" si="42"/>
        <v>586.08511848549324</v>
      </c>
      <c r="N138" s="236">
        <f t="shared" si="43"/>
        <v>497.64</v>
      </c>
      <c r="O138" s="211">
        <f t="shared" si="44"/>
        <v>335.24068777370212</v>
      </c>
      <c r="Q138" s="187">
        <f t="shared" si="38"/>
        <v>4.2256737042804069</v>
      </c>
      <c r="R138" s="212"/>
      <c r="S138" s="212">
        <f t="shared" si="45"/>
        <v>8.1449860650004841E-2</v>
      </c>
      <c r="T138" s="213">
        <f t="shared" si="46"/>
        <v>4.3071235649304116</v>
      </c>
      <c r="V138" s="212">
        <f t="shared" si="47"/>
        <v>110.61712356493041</v>
      </c>
      <c r="W138" s="214">
        <f t="shared" si="48"/>
        <v>10545.417993966086</v>
      </c>
      <c r="X138" s="214">
        <f t="shared" si="49"/>
        <v>410.60928796608459</v>
      </c>
      <c r="Y138" s="215">
        <f t="shared" si="39"/>
        <v>4927.3114555930151</v>
      </c>
      <c r="AA138" s="216">
        <f t="shared" si="50"/>
        <v>4834.1707176967848</v>
      </c>
      <c r="AB138" s="217">
        <f t="shared" si="40"/>
        <v>4.0514754632023475E-2</v>
      </c>
    </row>
    <row r="139" spans="1:28">
      <c r="A139" s="264" t="s">
        <v>122</v>
      </c>
      <c r="B139" s="265"/>
      <c r="C139" s="263">
        <f>B139*4.3333*2</f>
        <v>0</v>
      </c>
      <c r="D139" s="160">
        <v>6</v>
      </c>
      <c r="E139" s="167">
        <f t="shared" si="34"/>
        <v>0</v>
      </c>
      <c r="F139" s="220">
        <f t="shared" si="41"/>
        <v>0</v>
      </c>
      <c r="G139" s="160">
        <v>52</v>
      </c>
      <c r="I139" s="266">
        <v>106.31</v>
      </c>
      <c r="J139" s="164">
        <f t="shared" si="35"/>
        <v>0</v>
      </c>
      <c r="K139" s="164">
        <f t="shared" si="36"/>
        <v>0</v>
      </c>
      <c r="L139" s="210">
        <f t="shared" si="37"/>
        <v>870</v>
      </c>
      <c r="M139" s="161">
        <f t="shared" si="42"/>
        <v>586.08511848549324</v>
      </c>
      <c r="N139" s="236">
        <f t="shared" si="43"/>
        <v>0</v>
      </c>
      <c r="O139" s="211">
        <f t="shared" si="44"/>
        <v>0</v>
      </c>
      <c r="Q139" s="187">
        <f t="shared" si="38"/>
        <v>4.2256737042804069</v>
      </c>
      <c r="R139" s="212"/>
      <c r="S139" s="212">
        <f t="shared" si="45"/>
        <v>8.1449860650004841E-2</v>
      </c>
      <c r="T139" s="213">
        <f t="shared" si="46"/>
        <v>4.3071235649304116</v>
      </c>
      <c r="V139" s="212">
        <f t="shared" si="47"/>
        <v>110.61712356493041</v>
      </c>
      <c r="W139" s="214">
        <f t="shared" si="48"/>
        <v>0</v>
      </c>
      <c r="X139" s="214">
        <f t="shared" si="49"/>
        <v>0</v>
      </c>
      <c r="Y139" s="215">
        <f t="shared" si="39"/>
        <v>0</v>
      </c>
      <c r="AA139" s="216">
        <f t="shared" si="50"/>
        <v>0</v>
      </c>
      <c r="AB139" s="217">
        <f t="shared" si="40"/>
        <v>4.0514754632023475E-2</v>
      </c>
    </row>
    <row r="140" spans="1:28">
      <c r="A140" s="264" t="s">
        <v>239</v>
      </c>
      <c r="B140" s="265"/>
      <c r="C140" s="263">
        <f>B140*4.3333*3</f>
        <v>0</v>
      </c>
      <c r="D140" s="160">
        <v>6</v>
      </c>
      <c r="E140" s="167">
        <f t="shared" si="34"/>
        <v>0</v>
      </c>
      <c r="F140" s="220">
        <f t="shared" si="41"/>
        <v>0</v>
      </c>
      <c r="G140" s="160">
        <v>52</v>
      </c>
      <c r="I140" s="266">
        <v>106.31</v>
      </c>
      <c r="J140" s="164">
        <f t="shared" si="35"/>
        <v>0</v>
      </c>
      <c r="K140" s="164">
        <f t="shared" si="36"/>
        <v>0</v>
      </c>
      <c r="L140" s="210">
        <f t="shared" si="37"/>
        <v>870</v>
      </c>
      <c r="M140" s="161">
        <f t="shared" si="42"/>
        <v>586.08511848549324</v>
      </c>
      <c r="N140" s="236">
        <f t="shared" si="43"/>
        <v>0</v>
      </c>
      <c r="O140" s="211">
        <f t="shared" si="44"/>
        <v>0</v>
      </c>
      <c r="Q140" s="187">
        <f t="shared" si="38"/>
        <v>4.2256737042804069</v>
      </c>
      <c r="R140" s="212"/>
      <c r="S140" s="212">
        <f t="shared" si="45"/>
        <v>8.1449860650004841E-2</v>
      </c>
      <c r="T140" s="213">
        <f t="shared" si="46"/>
        <v>4.3071235649304116</v>
      </c>
      <c r="V140" s="212">
        <f t="shared" si="47"/>
        <v>110.61712356493041</v>
      </c>
      <c r="W140" s="214">
        <f t="shared" si="48"/>
        <v>0</v>
      </c>
      <c r="X140" s="214">
        <f t="shared" si="49"/>
        <v>0</v>
      </c>
      <c r="Y140" s="215">
        <f t="shared" si="39"/>
        <v>0</v>
      </c>
      <c r="AA140" s="216">
        <f t="shared" si="50"/>
        <v>0</v>
      </c>
      <c r="AB140" s="217">
        <f t="shared" si="40"/>
        <v>4.0514754632023475E-2</v>
      </c>
    </row>
    <row r="141" spans="1:28">
      <c r="A141" s="264" t="s">
        <v>123</v>
      </c>
      <c r="B141" s="265"/>
      <c r="C141" s="263">
        <f>+B141*1</f>
        <v>0</v>
      </c>
      <c r="D141" s="160">
        <v>8</v>
      </c>
      <c r="E141" s="167">
        <f>C141*D141</f>
        <v>0</v>
      </c>
      <c r="F141" s="220">
        <f>B141</f>
        <v>0</v>
      </c>
      <c r="G141" s="160">
        <v>52</v>
      </c>
      <c r="I141" s="266">
        <v>137.69999999999999</v>
      </c>
      <c r="J141" s="164">
        <f>+C141*I141</f>
        <v>0</v>
      </c>
      <c r="K141" s="164">
        <f t="shared" si="36"/>
        <v>0</v>
      </c>
      <c r="L141" s="210">
        <f>+D141*L$16</f>
        <v>1160</v>
      </c>
      <c r="M141" s="161">
        <f t="shared" si="42"/>
        <v>781.44682464732432</v>
      </c>
      <c r="N141" s="236">
        <f>ROUND((C141*L141*12)/2000,2)</f>
        <v>0</v>
      </c>
      <c r="O141" s="211">
        <f t="shared" si="44"/>
        <v>0</v>
      </c>
      <c r="Q141" s="187">
        <f>M141*$R$12</f>
        <v>5.6342316057072095</v>
      </c>
      <c r="R141" s="212"/>
      <c r="S141" s="212">
        <f>Q141*$U$11</f>
        <v>0.10859981420000646</v>
      </c>
      <c r="T141" s="213">
        <f>+Q141+S141</f>
        <v>5.7428314199072164</v>
      </c>
      <c r="V141" s="212">
        <f>I141+T141</f>
        <v>143.44283141990721</v>
      </c>
      <c r="W141" s="214">
        <f>C141*V141</f>
        <v>0</v>
      </c>
      <c r="X141" s="214">
        <f>W141-J141</f>
        <v>0</v>
      </c>
      <c r="Y141" s="215">
        <f t="shared" si="39"/>
        <v>0</v>
      </c>
      <c r="AA141" s="216">
        <f>O141*$R$11</f>
        <v>0</v>
      </c>
      <c r="AB141" s="217">
        <f>IF(I141=0,"",V141/I141-1)</f>
        <v>4.1705384313051708E-2</v>
      </c>
    </row>
    <row r="142" spans="1:28">
      <c r="A142" s="264" t="s">
        <v>124</v>
      </c>
      <c r="B142" s="265">
        <v>9</v>
      </c>
      <c r="C142" s="263">
        <f>B142*4.3333</f>
        <v>38.999700000000004</v>
      </c>
      <c r="D142" s="160">
        <v>8</v>
      </c>
      <c r="E142" s="167">
        <f>C142*D142</f>
        <v>311.99760000000003</v>
      </c>
      <c r="F142" s="220">
        <f>B142</f>
        <v>9</v>
      </c>
      <c r="G142" s="160">
        <v>52</v>
      </c>
      <c r="I142" s="266">
        <v>135.06</v>
      </c>
      <c r="J142" s="164">
        <f>+C142*I142</f>
        <v>5267.2994820000004</v>
      </c>
      <c r="K142" s="164">
        <f t="shared" si="36"/>
        <v>63207.593784000004</v>
      </c>
      <c r="L142" s="210">
        <f>+D142*L$16</f>
        <v>1160</v>
      </c>
      <c r="M142" s="161">
        <f t="shared" si="42"/>
        <v>781.44682464732432</v>
      </c>
      <c r="N142" s="236">
        <f>ROUND((C142*L142*12)/2000,2)</f>
        <v>271.44</v>
      </c>
      <c r="O142" s="211">
        <f t="shared" si="44"/>
        <v>182.85855696747387</v>
      </c>
      <c r="Q142" s="187">
        <f>M142*$R$12</f>
        <v>5.6342316057072095</v>
      </c>
      <c r="R142" s="212"/>
      <c r="S142" s="212">
        <f>Q142*$U$11</f>
        <v>0.10859981420000646</v>
      </c>
      <c r="T142" s="213">
        <f>+Q142+S142</f>
        <v>5.7428314199072164</v>
      </c>
      <c r="V142" s="212">
        <f>I142+T142</f>
        <v>140.80283141990722</v>
      </c>
      <c r="W142" s="214">
        <f>C142*V142</f>
        <v>5491.2681845269562</v>
      </c>
      <c r="X142" s="214">
        <f>W142-J142</f>
        <v>223.96870252695589</v>
      </c>
      <c r="Y142" s="215">
        <f t="shared" si="39"/>
        <v>2687.6244303234707</v>
      </c>
      <c r="AA142" s="216">
        <f>O142*$R$11</f>
        <v>2636.8203914709734</v>
      </c>
      <c r="AB142" s="217">
        <f>IF(I142=0,"",V142/I142-1)</f>
        <v>4.252059395755392E-2</v>
      </c>
    </row>
    <row r="143" spans="1:28">
      <c r="A143" s="264" t="s">
        <v>125</v>
      </c>
      <c r="B143" s="265"/>
      <c r="C143" s="263">
        <f>B143*4.3333*2</f>
        <v>0</v>
      </c>
      <c r="D143" s="160">
        <v>8</v>
      </c>
      <c r="E143" s="167">
        <f>C143*D143</f>
        <v>0</v>
      </c>
      <c r="F143" s="220">
        <f>B143</f>
        <v>0</v>
      </c>
      <c r="G143" s="160">
        <v>52</v>
      </c>
      <c r="I143" s="266">
        <v>135.06</v>
      </c>
      <c r="J143" s="164">
        <f>+C143*I143</f>
        <v>0</v>
      </c>
      <c r="K143" s="164">
        <f t="shared" si="36"/>
        <v>0</v>
      </c>
      <c r="L143" s="210">
        <f>+D143*L$16</f>
        <v>1160</v>
      </c>
      <c r="M143" s="161">
        <f t="shared" si="42"/>
        <v>781.44682464732432</v>
      </c>
      <c r="N143" s="236">
        <f>ROUND((C143*L143*12)/2000,2)</f>
        <v>0</v>
      </c>
      <c r="O143" s="211">
        <f t="shared" si="44"/>
        <v>0</v>
      </c>
      <c r="Q143" s="187">
        <f>M143*$R$12</f>
        <v>5.6342316057072095</v>
      </c>
      <c r="R143" s="212"/>
      <c r="S143" s="212">
        <f>Q143*$U$11</f>
        <v>0.10859981420000646</v>
      </c>
      <c r="T143" s="213">
        <f>+Q143+S143</f>
        <v>5.7428314199072164</v>
      </c>
      <c r="V143" s="212">
        <f>I143+T143</f>
        <v>140.80283141990722</v>
      </c>
      <c r="W143" s="214">
        <f>C143*V143</f>
        <v>0</v>
      </c>
      <c r="X143" s="214">
        <f>W143-J143</f>
        <v>0</v>
      </c>
      <c r="Y143" s="215">
        <f t="shared" si="39"/>
        <v>0</v>
      </c>
      <c r="AA143" s="216">
        <f>O143*$R$11</f>
        <v>0</v>
      </c>
      <c r="AB143" s="217">
        <f>IF(I143=0,"",V143/I143-1)</f>
        <v>4.252059395755392E-2</v>
      </c>
    </row>
    <row r="144" spans="1:28">
      <c r="A144" s="264" t="s">
        <v>241</v>
      </c>
      <c r="B144" s="265"/>
      <c r="C144" s="263">
        <f>B144*4.3333*3</f>
        <v>0</v>
      </c>
      <c r="D144" s="160">
        <v>8</v>
      </c>
      <c r="E144" s="167">
        <f>C144*D144</f>
        <v>0</v>
      </c>
      <c r="F144" s="220">
        <f>B144</f>
        <v>0</v>
      </c>
      <c r="G144" s="160">
        <v>52</v>
      </c>
      <c r="I144" s="266">
        <v>135.06</v>
      </c>
      <c r="J144" s="164">
        <f>+C144*I144</f>
        <v>0</v>
      </c>
      <c r="K144" s="164">
        <f t="shared" si="36"/>
        <v>0</v>
      </c>
      <c r="L144" s="210">
        <f>+D144*L$16</f>
        <v>1160</v>
      </c>
      <c r="M144" s="161">
        <f t="shared" si="42"/>
        <v>781.44682464732432</v>
      </c>
      <c r="N144" s="236">
        <f>ROUND((C144*L144*12)/2000,2)</f>
        <v>0</v>
      </c>
      <c r="O144" s="211">
        <f t="shared" si="44"/>
        <v>0</v>
      </c>
      <c r="Q144" s="187">
        <f>M144*$R$12</f>
        <v>5.6342316057072095</v>
      </c>
      <c r="R144" s="212"/>
      <c r="S144" s="212">
        <f>Q144*$U$11</f>
        <v>0.10859981420000646</v>
      </c>
      <c r="T144" s="213">
        <f>+Q144+S144</f>
        <v>5.7428314199072164</v>
      </c>
      <c r="V144" s="212">
        <f>I144+T144</f>
        <v>140.80283141990722</v>
      </c>
      <c r="W144" s="214">
        <f>C144*V144</f>
        <v>0</v>
      </c>
      <c r="X144" s="214">
        <f>W144-J144</f>
        <v>0</v>
      </c>
      <c r="Y144" s="215">
        <f t="shared" si="39"/>
        <v>0</v>
      </c>
      <c r="AA144" s="216">
        <f>O144*$R$11</f>
        <v>0</v>
      </c>
      <c r="AB144" s="217">
        <f>IF(I144=0,"",V144/I144-1)</f>
        <v>4.252059395755392E-2</v>
      </c>
    </row>
    <row r="145" spans="1:28">
      <c r="A145" s="264" t="s">
        <v>242</v>
      </c>
      <c r="B145" s="265"/>
      <c r="C145" s="263">
        <f>B145*4.3333*4</f>
        <v>0</v>
      </c>
      <c r="D145" s="160">
        <v>8</v>
      </c>
      <c r="E145" s="167">
        <f t="shared" si="34"/>
        <v>0</v>
      </c>
      <c r="F145" s="220">
        <f t="shared" si="41"/>
        <v>0</v>
      </c>
      <c r="G145" s="160">
        <v>52</v>
      </c>
      <c r="I145" s="266">
        <v>135.06</v>
      </c>
      <c r="J145" s="164">
        <f t="shared" si="35"/>
        <v>0</v>
      </c>
      <c r="K145" s="164">
        <f t="shared" si="36"/>
        <v>0</v>
      </c>
      <c r="L145" s="210">
        <f t="shared" si="37"/>
        <v>1160</v>
      </c>
      <c r="M145" s="161">
        <f t="shared" si="42"/>
        <v>781.44682464732432</v>
      </c>
      <c r="N145" s="236">
        <f t="shared" si="43"/>
        <v>0</v>
      </c>
      <c r="O145" s="211">
        <f t="shared" si="44"/>
        <v>0</v>
      </c>
      <c r="Q145" s="187">
        <f t="shared" si="38"/>
        <v>5.6342316057072095</v>
      </c>
      <c r="R145" s="212"/>
      <c r="S145" s="212">
        <f t="shared" si="45"/>
        <v>0.10859981420000646</v>
      </c>
      <c r="T145" s="213">
        <f t="shared" si="46"/>
        <v>5.7428314199072164</v>
      </c>
      <c r="V145" s="212">
        <f t="shared" si="47"/>
        <v>140.80283141990722</v>
      </c>
      <c r="W145" s="214">
        <f t="shared" si="48"/>
        <v>0</v>
      </c>
      <c r="X145" s="214">
        <f t="shared" si="49"/>
        <v>0</v>
      </c>
      <c r="Y145" s="215">
        <f t="shared" si="39"/>
        <v>0</v>
      </c>
      <c r="AA145" s="216">
        <f t="shared" si="50"/>
        <v>0</v>
      </c>
      <c r="AB145" s="217">
        <f t="shared" si="40"/>
        <v>4.252059395755392E-2</v>
      </c>
    </row>
    <row r="146" spans="1:28">
      <c r="A146" s="158" t="s">
        <v>32</v>
      </c>
      <c r="B146" s="247"/>
      <c r="C146" s="267">
        <f>B146</f>
        <v>0</v>
      </c>
      <c r="D146" s="160">
        <v>1</v>
      </c>
      <c r="E146" s="166">
        <f t="shared" si="34"/>
        <v>0</v>
      </c>
      <c r="F146" s="234">
        <f t="shared" si="41"/>
        <v>0</v>
      </c>
      <c r="G146" s="160">
        <v>12</v>
      </c>
      <c r="I146" s="157">
        <v>13.8</v>
      </c>
      <c r="J146" s="164">
        <f>F146*I146</f>
        <v>0</v>
      </c>
      <c r="K146" s="164">
        <f t="shared" si="36"/>
        <v>0</v>
      </c>
      <c r="L146" s="210">
        <f>+D146*L$15</f>
        <v>21</v>
      </c>
      <c r="M146" s="161">
        <f t="shared" si="42"/>
        <v>14.146882170339492</v>
      </c>
      <c r="N146" s="236">
        <f t="shared" si="43"/>
        <v>0</v>
      </c>
      <c r="O146" s="211">
        <f t="shared" si="44"/>
        <v>0</v>
      </c>
      <c r="Q146" s="187">
        <f t="shared" si="38"/>
        <v>0.10199902044814775</v>
      </c>
      <c r="R146" s="212"/>
      <c r="S146" s="212">
        <f t="shared" si="45"/>
        <v>1.966031119138048E-3</v>
      </c>
      <c r="T146" s="213">
        <f t="shared" si="46"/>
        <v>0.1039650515672858</v>
      </c>
      <c r="V146" s="212">
        <f t="shared" si="47"/>
        <v>13.903965051567287</v>
      </c>
      <c r="W146" s="214">
        <f>C146*V146</f>
        <v>0</v>
      </c>
      <c r="X146" s="214">
        <f>W146-J146</f>
        <v>0</v>
      </c>
      <c r="Y146" s="215">
        <f>X146*12</f>
        <v>0</v>
      </c>
      <c r="AA146" s="216">
        <f>O146*$R$11</f>
        <v>0</v>
      </c>
      <c r="AB146" s="162">
        <f t="shared" si="40"/>
        <v>7.5336993889336679E-3</v>
      </c>
    </row>
    <row r="147" spans="1:28" ht="12">
      <c r="A147" s="232" t="s">
        <v>244</v>
      </c>
      <c r="B147" s="220"/>
      <c r="C147" s="233">
        <f t="shared" ref="C147:C156" si="51">B147</f>
        <v>0</v>
      </c>
      <c r="E147" s="167">
        <f t="shared" si="34"/>
        <v>0</v>
      </c>
      <c r="F147" s="220">
        <f t="shared" si="41"/>
        <v>0</v>
      </c>
      <c r="G147" s="160">
        <v>12</v>
      </c>
      <c r="I147" s="248"/>
      <c r="J147" s="164">
        <f t="shared" ref="J147:J155" si="52">+C147*I147</f>
        <v>0</v>
      </c>
      <c r="K147" s="164">
        <f t="shared" si="36"/>
        <v>0</v>
      </c>
      <c r="L147" s="210">
        <f t="shared" ref="L147:L155" si="53">+D147*L$16</f>
        <v>0</v>
      </c>
      <c r="M147" s="161">
        <f t="shared" si="42"/>
        <v>0</v>
      </c>
      <c r="N147" s="236">
        <f t="shared" si="43"/>
        <v>0</v>
      </c>
      <c r="O147" s="211">
        <f t="shared" si="44"/>
        <v>0</v>
      </c>
      <c r="AA147" s="179"/>
    </row>
    <row r="148" spans="1:28" ht="12">
      <c r="A148" s="232" t="s">
        <v>245</v>
      </c>
      <c r="B148" s="220"/>
      <c r="C148" s="233">
        <f t="shared" si="51"/>
        <v>0</v>
      </c>
      <c r="E148" s="167">
        <f t="shared" si="34"/>
        <v>0</v>
      </c>
      <c r="F148" s="220">
        <f t="shared" si="41"/>
        <v>0</v>
      </c>
      <c r="G148" s="160">
        <v>12</v>
      </c>
      <c r="I148" s="248"/>
      <c r="J148" s="164">
        <f t="shared" si="52"/>
        <v>0</v>
      </c>
      <c r="K148" s="164">
        <f t="shared" si="36"/>
        <v>0</v>
      </c>
      <c r="L148" s="210">
        <f t="shared" si="53"/>
        <v>0</v>
      </c>
      <c r="M148" s="161">
        <f t="shared" si="42"/>
        <v>0</v>
      </c>
      <c r="N148" s="236">
        <f t="shared" si="43"/>
        <v>0</v>
      </c>
      <c r="O148" s="211">
        <f t="shared" si="44"/>
        <v>0</v>
      </c>
      <c r="AA148" s="179"/>
    </row>
    <row r="149" spans="1:28" ht="12">
      <c r="A149" s="232" t="s">
        <v>246</v>
      </c>
      <c r="B149" s="220"/>
      <c r="C149" s="233">
        <f t="shared" si="51"/>
        <v>0</v>
      </c>
      <c r="E149" s="167">
        <f t="shared" si="34"/>
        <v>0</v>
      </c>
      <c r="F149" s="220">
        <f t="shared" si="41"/>
        <v>0</v>
      </c>
      <c r="G149" s="160">
        <v>12</v>
      </c>
      <c r="I149" s="248"/>
      <c r="J149" s="164">
        <f t="shared" si="52"/>
        <v>0</v>
      </c>
      <c r="K149" s="164">
        <f t="shared" si="36"/>
        <v>0</v>
      </c>
      <c r="L149" s="210">
        <f t="shared" si="53"/>
        <v>0</v>
      </c>
      <c r="M149" s="161">
        <f t="shared" si="42"/>
        <v>0</v>
      </c>
      <c r="N149" s="236">
        <f t="shared" si="43"/>
        <v>0</v>
      </c>
      <c r="O149" s="211">
        <f t="shared" si="44"/>
        <v>0</v>
      </c>
      <c r="AA149" s="179"/>
    </row>
    <row r="150" spans="1:28" ht="12">
      <c r="A150" s="232" t="s">
        <v>247</v>
      </c>
      <c r="B150" s="220"/>
      <c r="C150" s="233">
        <f t="shared" si="51"/>
        <v>0</v>
      </c>
      <c r="E150" s="167">
        <f t="shared" si="34"/>
        <v>0</v>
      </c>
      <c r="F150" s="220">
        <f t="shared" si="41"/>
        <v>0</v>
      </c>
      <c r="G150" s="160">
        <v>12</v>
      </c>
      <c r="I150" s="248"/>
      <c r="J150" s="164">
        <f t="shared" si="52"/>
        <v>0</v>
      </c>
      <c r="K150" s="164">
        <f t="shared" si="36"/>
        <v>0</v>
      </c>
      <c r="L150" s="210">
        <f t="shared" si="53"/>
        <v>0</v>
      </c>
      <c r="M150" s="161">
        <f t="shared" si="42"/>
        <v>0</v>
      </c>
      <c r="N150" s="236">
        <f t="shared" si="43"/>
        <v>0</v>
      </c>
      <c r="O150" s="211">
        <f t="shared" si="44"/>
        <v>0</v>
      </c>
      <c r="AA150" s="179"/>
    </row>
    <row r="151" spans="1:28" ht="12">
      <c r="A151" s="232" t="s">
        <v>270</v>
      </c>
      <c r="B151" s="220"/>
      <c r="C151" s="233">
        <f t="shared" si="51"/>
        <v>0</v>
      </c>
      <c r="E151" s="167">
        <f t="shared" si="34"/>
        <v>0</v>
      </c>
      <c r="F151" s="220">
        <f t="shared" si="41"/>
        <v>0</v>
      </c>
      <c r="G151" s="160">
        <v>12</v>
      </c>
      <c r="I151" s="248"/>
      <c r="J151" s="164">
        <f t="shared" si="52"/>
        <v>0</v>
      </c>
      <c r="K151" s="164">
        <f t="shared" si="36"/>
        <v>0</v>
      </c>
      <c r="L151" s="210">
        <f t="shared" si="53"/>
        <v>0</v>
      </c>
      <c r="M151" s="161">
        <f t="shared" si="42"/>
        <v>0</v>
      </c>
      <c r="N151" s="236">
        <f t="shared" si="43"/>
        <v>0</v>
      </c>
      <c r="O151" s="211">
        <f t="shared" si="44"/>
        <v>0</v>
      </c>
      <c r="AA151" s="179"/>
    </row>
    <row r="152" spans="1:28" ht="12">
      <c r="A152" s="232" t="s">
        <v>248</v>
      </c>
      <c r="B152" s="220"/>
      <c r="C152" s="233">
        <f t="shared" si="51"/>
        <v>0</v>
      </c>
      <c r="E152" s="167">
        <f t="shared" si="34"/>
        <v>0</v>
      </c>
      <c r="F152" s="220">
        <f t="shared" si="41"/>
        <v>0</v>
      </c>
      <c r="G152" s="160">
        <v>12</v>
      </c>
      <c r="I152" s="248"/>
      <c r="J152" s="164">
        <f t="shared" si="52"/>
        <v>0</v>
      </c>
      <c r="K152" s="164">
        <f t="shared" si="36"/>
        <v>0</v>
      </c>
      <c r="L152" s="210">
        <f t="shared" si="53"/>
        <v>0</v>
      </c>
      <c r="M152" s="161">
        <f t="shared" si="42"/>
        <v>0</v>
      </c>
      <c r="N152" s="236">
        <f t="shared" si="43"/>
        <v>0</v>
      </c>
      <c r="O152" s="211">
        <f t="shared" si="44"/>
        <v>0</v>
      </c>
      <c r="AA152" s="179"/>
    </row>
    <row r="153" spans="1:28" ht="12">
      <c r="A153" s="232" t="s">
        <v>249</v>
      </c>
      <c r="B153" s="220"/>
      <c r="C153" s="233">
        <f t="shared" si="51"/>
        <v>0</v>
      </c>
      <c r="E153" s="167">
        <f t="shared" si="34"/>
        <v>0</v>
      </c>
      <c r="F153" s="220">
        <f t="shared" si="41"/>
        <v>0</v>
      </c>
      <c r="G153" s="160">
        <v>12</v>
      </c>
      <c r="I153" s="248"/>
      <c r="J153" s="164">
        <f t="shared" si="52"/>
        <v>0</v>
      </c>
      <c r="K153" s="164">
        <f t="shared" si="36"/>
        <v>0</v>
      </c>
      <c r="L153" s="210">
        <f t="shared" si="53"/>
        <v>0</v>
      </c>
      <c r="M153" s="161">
        <f t="shared" si="42"/>
        <v>0</v>
      </c>
      <c r="N153" s="236">
        <f t="shared" si="43"/>
        <v>0</v>
      </c>
      <c r="O153" s="211">
        <f t="shared" si="44"/>
        <v>0</v>
      </c>
      <c r="AA153" s="179"/>
    </row>
    <row r="154" spans="1:28" ht="12">
      <c r="A154" s="232" t="s">
        <v>250</v>
      </c>
      <c r="B154" s="220"/>
      <c r="C154" s="233">
        <f t="shared" si="51"/>
        <v>0</v>
      </c>
      <c r="E154" s="167">
        <f t="shared" si="34"/>
        <v>0</v>
      </c>
      <c r="F154" s="220">
        <f t="shared" si="41"/>
        <v>0</v>
      </c>
      <c r="G154" s="160">
        <v>12</v>
      </c>
      <c r="I154" s="248"/>
      <c r="J154" s="164">
        <f t="shared" si="52"/>
        <v>0</v>
      </c>
      <c r="K154" s="164">
        <f t="shared" si="36"/>
        <v>0</v>
      </c>
      <c r="L154" s="210">
        <f t="shared" si="53"/>
        <v>0</v>
      </c>
      <c r="M154" s="161">
        <f t="shared" si="42"/>
        <v>0</v>
      </c>
      <c r="N154" s="236">
        <f t="shared" si="43"/>
        <v>0</v>
      </c>
      <c r="O154" s="211">
        <f t="shared" si="44"/>
        <v>0</v>
      </c>
      <c r="AA154" s="179"/>
    </row>
    <row r="155" spans="1:28" ht="12">
      <c r="A155" s="232" t="s">
        <v>251</v>
      </c>
      <c r="B155" s="240"/>
      <c r="C155" s="233">
        <f t="shared" si="51"/>
        <v>0</v>
      </c>
      <c r="E155" s="167">
        <f t="shared" si="34"/>
        <v>0</v>
      </c>
      <c r="F155" s="220">
        <f t="shared" si="41"/>
        <v>0</v>
      </c>
      <c r="G155" s="160">
        <v>12</v>
      </c>
      <c r="I155" s="248"/>
      <c r="J155" s="164">
        <f t="shared" si="52"/>
        <v>0</v>
      </c>
      <c r="K155" s="164">
        <f t="shared" si="36"/>
        <v>0</v>
      </c>
      <c r="L155" s="210">
        <f t="shared" si="53"/>
        <v>0</v>
      </c>
      <c r="M155" s="161">
        <f t="shared" si="42"/>
        <v>0</v>
      </c>
      <c r="N155" s="236">
        <f t="shared" si="43"/>
        <v>0</v>
      </c>
      <c r="O155" s="211">
        <f t="shared" si="44"/>
        <v>0</v>
      </c>
      <c r="AA155" s="179"/>
    </row>
    <row r="156" spans="1:28" ht="12">
      <c r="A156" s="232" t="s">
        <v>252</v>
      </c>
      <c r="B156" s="240"/>
      <c r="C156" s="233">
        <f t="shared" si="51"/>
        <v>0</v>
      </c>
      <c r="E156" s="167">
        <f t="shared" si="34"/>
        <v>0</v>
      </c>
      <c r="F156" s="249"/>
      <c r="I156" s="241"/>
      <c r="J156" s="164"/>
      <c r="K156" s="164"/>
      <c r="L156" s="242"/>
      <c r="N156" s="164"/>
      <c r="O156" s="211"/>
      <c r="AA156" s="179"/>
    </row>
    <row r="157" spans="1:28">
      <c r="A157" s="250" t="s">
        <v>253</v>
      </c>
      <c r="B157" s="220"/>
      <c r="C157" s="240"/>
      <c r="F157" s="220"/>
      <c r="I157" s="221"/>
      <c r="J157" s="164"/>
      <c r="K157" s="164"/>
      <c r="L157" s="242"/>
      <c r="M157" s="164"/>
      <c r="N157" s="164"/>
      <c r="O157" s="164"/>
      <c r="AA157" s="179"/>
    </row>
    <row r="158" spans="1:28">
      <c r="A158" s="243" t="s">
        <v>274</v>
      </c>
      <c r="B158" s="220"/>
      <c r="C158" s="240"/>
      <c r="E158" s="168">
        <f>SUM(E104:E157)</f>
        <v>3817.7932988000007</v>
      </c>
      <c r="F158" s="220"/>
      <c r="I158" s="221"/>
      <c r="J158" s="164">
        <f>SUM(J104:J156)</f>
        <v>79077.828371000011</v>
      </c>
      <c r="K158" s="164">
        <f>SUM(K104:K156)</f>
        <v>948933.94045200013</v>
      </c>
      <c r="L158" s="164"/>
      <c r="M158" s="164"/>
      <c r="N158" s="164">
        <f>SUM(N104:N156)</f>
        <v>3321.5</v>
      </c>
      <c r="O158" s="164">
        <f>SUM(O104:O156)</f>
        <v>2237.5651966086966</v>
      </c>
      <c r="W158" s="214">
        <f>SUM(W104:W157)</f>
        <v>81818.446284882491</v>
      </c>
      <c r="X158" s="214">
        <f>SUM(X104:X157)</f>
        <v>2740.6179138824828</v>
      </c>
      <c r="Y158" s="214">
        <f>SUM(Y104:Y157)</f>
        <v>32887.414966589793</v>
      </c>
      <c r="AA158" s="223">
        <f>SUM(AA104:AA157)</f>
        <v>32265.6901350974</v>
      </c>
    </row>
    <row r="159" spans="1:28">
      <c r="A159" s="229"/>
      <c r="B159" s="229"/>
      <c r="C159" s="229"/>
      <c r="D159" s="229"/>
      <c r="E159" s="229"/>
      <c r="F159" s="229"/>
      <c r="G159" s="229"/>
      <c r="H159" s="229"/>
      <c r="I159" s="229"/>
      <c r="J159" s="229"/>
      <c r="K159" s="229"/>
      <c r="L159" s="229"/>
      <c r="M159" s="251"/>
      <c r="N159" s="252"/>
      <c r="O159" s="229"/>
      <c r="AA159" s="179"/>
    </row>
    <row r="160" spans="1:28">
      <c r="A160" s="162"/>
      <c r="B160" s="162"/>
      <c r="C160" s="162"/>
      <c r="D160" s="162"/>
      <c r="E160" s="162"/>
      <c r="F160" s="162"/>
      <c r="G160" s="162"/>
      <c r="H160" s="162"/>
      <c r="I160" s="162"/>
      <c r="J160" s="162"/>
      <c r="K160" s="162"/>
      <c r="L160" s="162"/>
      <c r="M160" s="162"/>
      <c r="N160" s="162"/>
      <c r="O160" s="162"/>
      <c r="P160" s="162"/>
      <c r="Q160" s="162"/>
      <c r="R160" s="162"/>
      <c r="S160" s="162"/>
      <c r="T160" s="162"/>
      <c r="U160" s="162"/>
      <c r="V160" s="162"/>
      <c r="W160" s="162"/>
      <c r="X160" s="162"/>
      <c r="Y160" s="162"/>
      <c r="Z160" s="162"/>
      <c r="AA160" s="179"/>
    </row>
    <row r="161" spans="1:27">
      <c r="M161" s="160"/>
      <c r="AA161" s="179"/>
    </row>
    <row r="162" spans="1:27" ht="12" thickBot="1">
      <c r="M162" s="160"/>
      <c r="AA162" s="179"/>
    </row>
    <row r="163" spans="1:27" ht="12" thickBot="1">
      <c r="A163" s="253" t="s">
        <v>198</v>
      </c>
      <c r="B163" s="254"/>
      <c r="C163" s="254"/>
      <c r="D163" s="254"/>
      <c r="E163" s="255">
        <f>+E101+E158</f>
        <v>23329.898043000001</v>
      </c>
      <c r="F163" s="254"/>
      <c r="G163" s="254"/>
      <c r="H163" s="254"/>
      <c r="I163" s="254"/>
      <c r="J163" s="256">
        <f>+J158+J101</f>
        <v>409667.06947000005</v>
      </c>
      <c r="K163" s="256">
        <f>+K158+K101</f>
        <v>4916004.8336399999</v>
      </c>
      <c r="L163" s="254"/>
      <c r="M163" s="256">
        <f>+M157+M101</f>
        <v>0</v>
      </c>
      <c r="N163" s="256">
        <f>+N158+N101</f>
        <v>20297.030000000002</v>
      </c>
      <c r="O163" s="256">
        <f>+O158+O101</f>
        <v>13673.318657992657</v>
      </c>
      <c r="P163" s="256"/>
      <c r="Q163" s="256"/>
      <c r="R163" s="256"/>
      <c r="S163" s="256"/>
      <c r="T163" s="256"/>
      <c r="U163" s="256"/>
      <c r="V163" s="256"/>
      <c r="W163" s="257">
        <f>W39+W101+W158</f>
        <v>835396.8908313571</v>
      </c>
      <c r="X163" s="257">
        <f>X39+X101+X158</f>
        <v>30764.842194690456</v>
      </c>
      <c r="Y163" s="257">
        <f>Y39+Y101+Y158</f>
        <v>369178.10633628548</v>
      </c>
      <c r="Z163" s="257"/>
      <c r="AA163" s="258">
        <f>AA39+AA101+AA158</f>
        <v>362323.44612594059</v>
      </c>
    </row>
    <row r="164" spans="1:27">
      <c r="A164" s="230"/>
      <c r="O164" s="211"/>
    </row>
    <row r="165" spans="1:27">
      <c r="A165" s="230"/>
      <c r="O165" s="211"/>
    </row>
    <row r="258" spans="1:27">
      <c r="A258" s="162"/>
      <c r="B258" s="162"/>
      <c r="C258" s="162"/>
      <c r="D258" s="162"/>
      <c r="E258" s="162"/>
      <c r="F258" s="162"/>
      <c r="G258" s="162"/>
      <c r="H258" s="162"/>
      <c r="I258" s="162"/>
      <c r="J258" s="162"/>
      <c r="K258" s="162"/>
      <c r="L258" s="162"/>
      <c r="N258" s="162"/>
      <c r="O258" s="162"/>
      <c r="P258" s="162"/>
      <c r="Q258" s="162"/>
      <c r="R258" s="162"/>
      <c r="S258" s="162"/>
      <c r="T258" s="162"/>
      <c r="U258" s="162"/>
      <c r="V258" s="162"/>
      <c r="W258" s="162"/>
      <c r="X258" s="162"/>
      <c r="Y258" s="162"/>
      <c r="Z258" s="162"/>
      <c r="AA258" s="162"/>
    </row>
    <row r="259" spans="1:27">
      <c r="A259" s="162"/>
      <c r="B259" s="162"/>
      <c r="C259" s="162"/>
      <c r="D259" s="162"/>
      <c r="E259" s="162"/>
      <c r="F259" s="162"/>
      <c r="G259" s="162"/>
      <c r="H259" s="162"/>
      <c r="I259" s="162"/>
      <c r="J259" s="162"/>
      <c r="K259" s="162"/>
      <c r="L259" s="162"/>
      <c r="N259" s="162"/>
      <c r="O259" s="162"/>
      <c r="P259" s="162"/>
      <c r="Q259" s="162"/>
      <c r="R259" s="162"/>
      <c r="S259" s="162"/>
      <c r="T259" s="162"/>
      <c r="U259" s="162"/>
      <c r="V259" s="162"/>
      <c r="W259" s="162"/>
      <c r="X259" s="162"/>
      <c r="Y259" s="162"/>
      <c r="Z259" s="162"/>
      <c r="AA259" s="162"/>
    </row>
    <row r="260" spans="1:27">
      <c r="A260" s="162"/>
      <c r="B260" s="162"/>
      <c r="C260" s="162"/>
      <c r="D260" s="162"/>
      <c r="E260" s="162"/>
      <c r="F260" s="162"/>
      <c r="G260" s="162"/>
      <c r="H260" s="162"/>
      <c r="I260" s="162"/>
      <c r="J260" s="162"/>
      <c r="K260" s="162"/>
      <c r="L260" s="162"/>
      <c r="N260" s="162"/>
      <c r="O260" s="162"/>
      <c r="P260" s="162"/>
      <c r="Q260" s="162"/>
      <c r="R260" s="162"/>
      <c r="S260" s="162"/>
      <c r="T260" s="162"/>
      <c r="U260" s="162"/>
      <c r="V260" s="162"/>
      <c r="W260" s="162"/>
      <c r="X260" s="162"/>
      <c r="Y260" s="162"/>
      <c r="Z260" s="162"/>
      <c r="AA260" s="162"/>
    </row>
    <row r="261" spans="1:27">
      <c r="A261" s="162"/>
      <c r="B261" s="162"/>
      <c r="C261" s="162"/>
      <c r="D261" s="162"/>
      <c r="E261" s="162"/>
      <c r="F261" s="162"/>
      <c r="G261" s="162"/>
      <c r="H261" s="162"/>
      <c r="I261" s="162"/>
      <c r="J261" s="162"/>
      <c r="K261" s="162"/>
      <c r="L261" s="162"/>
      <c r="N261" s="162"/>
      <c r="O261" s="162"/>
      <c r="P261" s="162"/>
      <c r="Q261" s="162"/>
      <c r="R261" s="162"/>
      <c r="S261" s="162"/>
      <c r="T261" s="162"/>
      <c r="U261" s="162"/>
      <c r="V261" s="162"/>
      <c r="W261" s="162"/>
      <c r="X261" s="162"/>
      <c r="Y261" s="162"/>
      <c r="Z261" s="162"/>
      <c r="AA261" s="162"/>
    </row>
    <row r="262" spans="1:27">
      <c r="A262" s="162"/>
      <c r="B262" s="162"/>
      <c r="C262" s="162"/>
      <c r="D262" s="162"/>
      <c r="E262" s="162"/>
      <c r="F262" s="162"/>
      <c r="G262" s="162"/>
      <c r="H262" s="162"/>
      <c r="I262" s="162"/>
      <c r="J262" s="162"/>
      <c r="K262" s="162"/>
      <c r="L262" s="162"/>
      <c r="N262" s="162"/>
      <c r="O262" s="162"/>
      <c r="P262" s="162"/>
      <c r="Q262" s="162"/>
      <c r="R262" s="162"/>
      <c r="S262" s="162"/>
      <c r="T262" s="162"/>
      <c r="U262" s="162"/>
      <c r="V262" s="162"/>
      <c r="W262" s="162"/>
      <c r="X262" s="162"/>
      <c r="Y262" s="162"/>
      <c r="Z262" s="162"/>
      <c r="AA262" s="162"/>
    </row>
    <row r="263" spans="1:27">
      <c r="A263" s="162"/>
      <c r="B263" s="162"/>
      <c r="C263" s="162"/>
      <c r="D263" s="162"/>
      <c r="E263" s="162"/>
      <c r="F263" s="162"/>
      <c r="G263" s="162"/>
      <c r="H263" s="162"/>
      <c r="I263" s="162"/>
      <c r="J263" s="162"/>
      <c r="K263" s="162"/>
      <c r="L263" s="162"/>
      <c r="N263" s="162"/>
      <c r="O263" s="162"/>
      <c r="P263" s="162"/>
      <c r="Q263" s="162"/>
      <c r="R263" s="162"/>
      <c r="S263" s="162"/>
      <c r="T263" s="162"/>
      <c r="U263" s="162"/>
      <c r="V263" s="162"/>
      <c r="W263" s="162"/>
      <c r="X263" s="162"/>
      <c r="Y263" s="162"/>
      <c r="Z263" s="162"/>
      <c r="AA263" s="162"/>
    </row>
    <row r="264" spans="1:27">
      <c r="A264" s="162"/>
      <c r="B264" s="162"/>
      <c r="C264" s="162"/>
      <c r="D264" s="162"/>
      <c r="E264" s="162"/>
      <c r="F264" s="162"/>
      <c r="G264" s="162"/>
      <c r="H264" s="162"/>
      <c r="I264" s="162"/>
      <c r="J264" s="162"/>
      <c r="K264" s="162"/>
      <c r="L264" s="162"/>
      <c r="N264" s="162"/>
      <c r="O264" s="162"/>
      <c r="P264" s="162"/>
      <c r="Q264" s="162"/>
      <c r="R264" s="162"/>
      <c r="S264" s="162"/>
      <c r="T264" s="162"/>
      <c r="U264" s="162"/>
      <c r="V264" s="162"/>
      <c r="W264" s="162"/>
      <c r="X264" s="162"/>
      <c r="Y264" s="162"/>
      <c r="Z264" s="162"/>
      <c r="AA264" s="162"/>
    </row>
    <row r="265" spans="1:27">
      <c r="A265" s="162"/>
      <c r="B265" s="162"/>
      <c r="C265" s="162"/>
      <c r="D265" s="162"/>
      <c r="E265" s="162"/>
      <c r="F265" s="162"/>
      <c r="G265" s="162"/>
      <c r="H265" s="162"/>
      <c r="I265" s="162"/>
      <c r="J265" s="162"/>
      <c r="K265" s="162"/>
      <c r="L265" s="162"/>
      <c r="N265" s="162"/>
      <c r="O265" s="162"/>
      <c r="P265" s="162"/>
      <c r="Q265" s="162"/>
      <c r="R265" s="162"/>
      <c r="S265" s="162"/>
      <c r="T265" s="162"/>
      <c r="U265" s="162"/>
      <c r="V265" s="162"/>
      <c r="W265" s="162"/>
      <c r="X265" s="162"/>
      <c r="Y265" s="162"/>
      <c r="Z265" s="162"/>
      <c r="AA265" s="162"/>
    </row>
    <row r="266" spans="1:27">
      <c r="A266" s="162"/>
      <c r="B266" s="162"/>
      <c r="C266" s="162"/>
      <c r="D266" s="162"/>
      <c r="E266" s="162"/>
      <c r="F266" s="162"/>
      <c r="G266" s="162"/>
      <c r="H266" s="162"/>
      <c r="I266" s="162"/>
      <c r="J266" s="162"/>
      <c r="K266" s="162"/>
      <c r="L266" s="162"/>
      <c r="N266" s="162"/>
      <c r="O266" s="162"/>
      <c r="P266" s="162"/>
      <c r="Q266" s="162"/>
      <c r="R266" s="162"/>
      <c r="S266" s="162"/>
      <c r="T266" s="162"/>
      <c r="U266" s="162"/>
      <c r="V266" s="162"/>
      <c r="W266" s="162"/>
      <c r="X266" s="162"/>
      <c r="Y266" s="162"/>
      <c r="Z266" s="162"/>
      <c r="AA266" s="162"/>
    </row>
    <row r="267" spans="1:27">
      <c r="A267" s="162"/>
      <c r="B267" s="162"/>
      <c r="C267" s="162"/>
      <c r="D267" s="162"/>
      <c r="E267" s="162"/>
      <c r="F267" s="162"/>
      <c r="G267" s="162"/>
      <c r="H267" s="162"/>
      <c r="I267" s="162"/>
      <c r="J267" s="162"/>
      <c r="K267" s="162"/>
      <c r="L267" s="162"/>
      <c r="N267" s="162"/>
      <c r="O267" s="162"/>
      <c r="P267" s="162"/>
      <c r="Q267" s="162"/>
      <c r="R267" s="162"/>
      <c r="S267" s="162"/>
      <c r="T267" s="162"/>
      <c r="U267" s="162"/>
      <c r="V267" s="162"/>
      <c r="W267" s="162"/>
      <c r="X267" s="162"/>
      <c r="Y267" s="162"/>
      <c r="Z267" s="162"/>
      <c r="AA267" s="162"/>
    </row>
    <row r="268" spans="1:27">
      <c r="A268" s="162"/>
      <c r="B268" s="162"/>
      <c r="C268" s="162"/>
      <c r="D268" s="162"/>
      <c r="E268" s="162"/>
      <c r="F268" s="162"/>
      <c r="G268" s="162"/>
      <c r="H268" s="162"/>
      <c r="I268" s="162"/>
      <c r="J268" s="162"/>
      <c r="K268" s="162"/>
      <c r="L268" s="162"/>
      <c r="N268" s="162"/>
      <c r="O268" s="162"/>
      <c r="P268" s="162"/>
      <c r="Q268" s="162"/>
      <c r="R268" s="162"/>
      <c r="S268" s="162"/>
      <c r="T268" s="162"/>
      <c r="U268" s="162"/>
      <c r="V268" s="162"/>
      <c r="W268" s="162"/>
      <c r="X268" s="162"/>
      <c r="Y268" s="162"/>
      <c r="Z268" s="162"/>
      <c r="AA268" s="162"/>
    </row>
    <row r="269" spans="1:27">
      <c r="A269" s="162"/>
      <c r="B269" s="162"/>
      <c r="C269" s="162"/>
      <c r="D269" s="162"/>
      <c r="E269" s="162"/>
      <c r="F269" s="162"/>
      <c r="G269" s="162"/>
      <c r="H269" s="162"/>
      <c r="I269" s="162"/>
      <c r="J269" s="162"/>
      <c r="K269" s="162"/>
      <c r="L269" s="162"/>
      <c r="N269" s="162"/>
      <c r="O269" s="162"/>
      <c r="P269" s="162"/>
      <c r="Q269" s="162"/>
      <c r="R269" s="162"/>
      <c r="S269" s="162"/>
      <c r="T269" s="162"/>
      <c r="U269" s="162"/>
      <c r="V269" s="162"/>
      <c r="W269" s="162"/>
      <c r="X269" s="162"/>
      <c r="Y269" s="162"/>
      <c r="Z269" s="162"/>
      <c r="AA269" s="162"/>
    </row>
    <row r="270" spans="1:27">
      <c r="A270" s="162"/>
      <c r="B270" s="162"/>
      <c r="C270" s="162"/>
      <c r="D270" s="162"/>
      <c r="E270" s="162"/>
      <c r="F270" s="162"/>
      <c r="G270" s="162"/>
      <c r="H270" s="162"/>
      <c r="I270" s="162"/>
      <c r="J270" s="162"/>
      <c r="K270" s="162"/>
      <c r="L270" s="162"/>
      <c r="N270" s="162"/>
      <c r="O270" s="162"/>
      <c r="P270" s="162"/>
      <c r="Q270" s="162"/>
      <c r="R270" s="162"/>
      <c r="S270" s="162"/>
      <c r="T270" s="162"/>
      <c r="U270" s="162"/>
      <c r="V270" s="162"/>
      <c r="W270" s="162"/>
      <c r="X270" s="162"/>
      <c r="Y270" s="162"/>
      <c r="Z270" s="162"/>
      <c r="AA270" s="162"/>
    </row>
    <row r="271" spans="1:27">
      <c r="A271" s="162"/>
      <c r="B271" s="162"/>
      <c r="C271" s="162"/>
      <c r="D271" s="162"/>
      <c r="E271" s="162"/>
      <c r="F271" s="162"/>
      <c r="G271" s="162"/>
      <c r="H271" s="162"/>
      <c r="I271" s="162"/>
      <c r="J271" s="162"/>
      <c r="K271" s="162"/>
      <c r="L271" s="162"/>
      <c r="N271" s="162"/>
      <c r="O271" s="162"/>
      <c r="P271" s="162"/>
      <c r="Q271" s="162"/>
      <c r="R271" s="162"/>
      <c r="S271" s="162"/>
      <c r="T271" s="162"/>
      <c r="U271" s="162"/>
      <c r="V271" s="162"/>
      <c r="W271" s="162"/>
      <c r="X271" s="162"/>
      <c r="Y271" s="162"/>
      <c r="Z271" s="162"/>
      <c r="AA271" s="162"/>
    </row>
    <row r="272" spans="1:27">
      <c r="A272" s="162"/>
      <c r="B272" s="162"/>
      <c r="C272" s="162"/>
      <c r="D272" s="162"/>
      <c r="E272" s="162"/>
      <c r="F272" s="162"/>
      <c r="G272" s="162"/>
      <c r="H272" s="162"/>
      <c r="I272" s="162"/>
      <c r="J272" s="162"/>
      <c r="K272" s="162"/>
      <c r="L272" s="162"/>
      <c r="N272" s="162"/>
      <c r="O272" s="162"/>
      <c r="P272" s="162"/>
      <c r="Q272" s="162"/>
      <c r="R272" s="162"/>
      <c r="S272" s="162"/>
      <c r="T272" s="162"/>
      <c r="U272" s="162"/>
      <c r="V272" s="162"/>
      <c r="W272" s="162"/>
      <c r="X272" s="162"/>
      <c r="Y272" s="162"/>
      <c r="Z272" s="162"/>
      <c r="AA272" s="162"/>
    </row>
    <row r="273" spans="1:27">
      <c r="A273" s="162"/>
      <c r="B273" s="162"/>
      <c r="C273" s="162"/>
      <c r="D273" s="162"/>
      <c r="E273" s="162"/>
      <c r="F273" s="162"/>
      <c r="G273" s="162"/>
      <c r="H273" s="162"/>
      <c r="I273" s="162"/>
      <c r="J273" s="162"/>
      <c r="K273" s="162"/>
      <c r="L273" s="162"/>
      <c r="N273" s="162"/>
      <c r="O273" s="162"/>
      <c r="P273" s="162"/>
      <c r="Q273" s="162"/>
      <c r="R273" s="162"/>
      <c r="S273" s="162"/>
      <c r="T273" s="162"/>
      <c r="U273" s="162"/>
      <c r="V273" s="162"/>
      <c r="W273" s="162"/>
      <c r="X273" s="162"/>
      <c r="Y273" s="162"/>
      <c r="Z273" s="162"/>
      <c r="AA273" s="162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2016-11-15T08:00:00+00:00</OpenedDate>
    <Date1 xmlns="dc463f71-b30c-4ab2-9473-d307f9d35888">2016-12-14T08:00:00+00:00</Date1>
    <IsDocumentOrder xmlns="dc463f71-b30c-4ab2-9473-d307f9d35888" xsi:nil="true"/>
    <IsHighlyConfidential xmlns="dc463f71-b30c-4ab2-9473-d307f9d35888">false</IsHighlyConfidential>
    <CaseCompanyNames xmlns="dc463f71-b30c-4ab2-9473-d307f9d35888">FIORITO ENTERPRISES INC &amp; RABANCO COMPANIES</CaseCompanyNames>
    <DocketNumber xmlns="dc463f71-b30c-4ab2-9473-d307f9d35888">161217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D878DAEC782544C9ABB5DA3A66AD010" ma:contentTypeVersion="104" ma:contentTypeDescription="" ma:contentTypeScope="" ma:versionID="14b9110f41c38a2740920c44fec0763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6F0C93-61B5-4438-91CE-5188A17A7982}"/>
</file>

<file path=customXml/itemProps3.xml><?xml version="1.0" encoding="utf-8"?>
<ds:datastoreItem xmlns:ds="http://schemas.openxmlformats.org/officeDocument/2006/customXml" ds:itemID="{B67946F6-253B-40F3-ADF9-DBD760147FC0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7429f450-94b4-4416-870d-2c1407281566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9891768-1DBD-4369-AEE6-03FBE88683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References</vt:lpstr>
      <vt:lpstr>Staff Calcs </vt:lpstr>
      <vt:lpstr>Tariff Changes</vt:lpstr>
      <vt:lpstr>Company Price Out Rates Compare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Daniel, Jessica (UTC)</cp:lastModifiedBy>
  <cp:lastPrinted>2016-11-17T20:43:04Z</cp:lastPrinted>
  <dcterms:created xsi:type="dcterms:W3CDTF">2013-10-29T22:33:54Z</dcterms:created>
  <dcterms:modified xsi:type="dcterms:W3CDTF">2016-12-13T00:45:21Z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0x0101006E56B4D1795A2E4DB2F0B01679ED314A00AD878DAEC782544C9ABB5DA3A66AD010</vt:lpwstr>
  </property>
  <property fmtid="{D5CDD505-2E9C-101B-9397-08002B2CF9AE}" pid="3" name="_docset_NoMedatataSyncRequired">
    <vt:lpwstr>False</vt:lpwstr>
  </property>
</Properties>
</file>