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05" yWindow="-15" windowWidth="19050" windowHeight="1188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8" i="5"/>
  <c r="G17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<sst xmlns="http://schemas.openxmlformats.org/spreadsheetml/2006/main" count="631" uniqueCount="272">
  <si>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</si>
  <si>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</si>
  <si>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</si>
  <si>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</si>
  <si>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</si>
  <si>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</si>
  <si>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</si>
  <si>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</si>
  <si>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</si>
  <si>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</si>
  <si>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</si>
  <si>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</si>
  <si>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</si>
  <si>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</si>
  <si>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</si>
  <si>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</si>
  <si>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</si>
  <si>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</si>
  <si>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</si>
  <si>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</si>
  <si>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</si>
  <si>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</si>
  <si>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</si>
  <si>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</si>
  <si>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</si>
  <si>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</si>
  <si>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</si>
  <si>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</si>
  <si>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</si>
  <si>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</si>
  <si>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</si>
  <si>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</si>
  <si>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</si>
  <si>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</si>
  <si>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</si>
  <si>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</si>
  <si>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</si>
  <si>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</si>
  <si>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</si>
  <si>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</si>
  <si>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</si>
  <si>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</si>
  <si>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</si>
  <si>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</si>
  <si>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</si>
  <si>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</si>
  <si>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</si>
  <si>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</si>
  <si>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</si>
  <si>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</si>
  <si>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</si>
  <si>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</si>
  <si>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</si>
  <si>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</si>
  <si>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</si>
  <si>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</si>
  <si>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</si>
  <si>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</si>
  <si>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</si>
  <si>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</si>
  <si>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</si>
  <si>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</si>
  <si>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</si>
  <si>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</si>
  <si>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</si>
  <si>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</si>
  <si>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</si>
  <si>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</si>
  <si>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</si>
  <si>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</si>
  <si>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</si>
  <si>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</si>
  <si>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</si>
  <si>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</si>
  <si>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</si>
  <si>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</si>
  <si>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</si>
  <si>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</si>
  <si>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</si>
  <si>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</si>
  <si>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</si>
  <si>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</si>
  <si>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</si>
  <si>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</si>
  <si>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</si>
  <si>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</si>
  <si>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</si>
  <si>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</si>
  <si>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</si>
  <si>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</si>
  <si>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</si>
  <si>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</si>
  <si>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</si>
  <si>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</si>
  <si>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</si>
  <si>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</si>
  <si>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</si>
  <si>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</si>
  <si>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</si>
  <si>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</si>
  <si>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</si>
  <si>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</si>
  <si>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</si>
  <si>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</si>
  <si>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</si>
  <si>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</si>
  <si>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</si>
  <si>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</si>
  <si>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</si>
  <si>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</si>
  <si>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</si>
  <si>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</si>
  <si>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</si>
  <si>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</si>
  <si>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</si>
  <si>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</si>
  <si>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</si>
  <si>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</si>
  <si>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</si>
  <si>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</si>
  <si>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</si>
  <si>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</si>
  <si>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</si>
  <si>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</si>
  <si>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</si>
  <si>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</si>
  <si>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</si>
  <si>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</si>
  <si>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</si>
  <si>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</si>
  <si>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</si>
  <si>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</si>
  <si>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</si>
  <si>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</si>
  <si>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</si>
  <si>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</si>
  <si>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</si>
  <si>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</si>
  <si>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</si>
  <si>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</si>
  <si>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</si>
  <si>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</si>
  <si>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</si>
  <si>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</si>
  <si>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</si>
  <si>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</si>
  <si>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</si>
  <si>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</si>
  <si>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</si>
  <si>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</si>
  <si>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</si>
  <si>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</si>
  <si>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</si>
  <si>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</si>
  <si>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</si>
  <si>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</si>
  <si>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</si>
  <si>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</si>
  <si>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</si>
  <si>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</si>
  <si>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</si>
  <si>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</si>
  <si>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</si>
  <si>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</si>
  <si>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</si>
  <si>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</si>
  <si>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</si>
  <si>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</si>
  <si>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</si>
  <si>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</si>
  <si>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</si>
  <si>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</si>
  <si>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</si>
  <si>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</si>
  <si>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</si>
  <si>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</si>
  <si>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</si>
  <si>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</si>
  <si>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</si>
  <si>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</si>
  <si>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</si>
  <si>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</si>
  <si>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</si>
  <si>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</si>
  <si>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</si>
  <si>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</si>
  <si>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</si>
  <si>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</si>
  <si>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</si>
  <si>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</si>
  <si>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</si>
  <si>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</si>
  <si>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</si>
  <si>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</si>
  <si>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</si>
  <si>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</si>
  <si>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</si>
  <si>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</si>
  <si>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</si>
  <si>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</si>
  <si>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</si>
  <si>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</si>
  <si>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</si>
  <si>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</si>
  <si>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</si>
  <si>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</si>
  <si>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</si>
  <si>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</si>
  <si>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</si>
  <si>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</si>
  <si>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</si>
  <si>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</si>
  <si>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</si>
  <si>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</si>
  <si>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</si>
  <si>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</si>
  <si>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</si>
  <si>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</si>
  <si>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</si>
  <si>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</si>
  <si>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</si>
  <si>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</si>
  <si>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</si>
  <si>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</si>
  <si>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</si>
  <si>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</si>
  <si>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</si>
  <si>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</si>
  <si>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</si>
  <si>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</si>
  <si>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</si>
  <si>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</si>
  <si>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</si>
  <si>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</si>
  <si>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</si>
  <si>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</si>
  <si>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</si>
  <si>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</si>
  <si>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</si>
  <si>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</si>
  <si>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</si>
  <si>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</si>
  <si>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</si>
  <si>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</si>
  <si>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</si>
  <si>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</si>
  <si>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</si>
  <si>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</si>
  <si>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</si>
  <si>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</si>
  <si>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</si>
  <si>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</si>
  <si>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</si>
  <si>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</si>
  <si>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</si>
  <si>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</si>
  <si>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</si>
  <si>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</si>
  <si>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</si>
  <si>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</si>
  <si>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</si>
  <si>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</si>
  <si>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</si>
  <si>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</si>
  <si>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</si>
  <si>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</si>
  <si>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</si>
  <si>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</si>
  <si>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McDaniel Telephone Co</t>
  </si>
  <si>
    <t>In 2015, the portion of the CAF attributable to the intrastate jurisdiction is reported on</t>
  </si>
  <si>
    <t>Line 2a.  In 2014, the total CAF revenue was reported on Line 2b.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</si>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</sst>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18.7109375" customWidth="1"/>
  </cols>
  <sheetData>
    <row r="1" spans="1:5" x14ac:dyDescent="0.25">
      <c r="A1" s="48" t="s">
        <v>271</v>
      </c>
    </row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&amp;LEXHIBIT 4&amp;R7/29/2016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McDaniel Telephone Co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331543.28000000003</v>
      </c>
      <c r="E9" s="56">
        <v>345112.06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242646.23</v>
      </c>
      <c r="E11" s="53">
        <v>353825.48000000004</v>
      </c>
    </row>
    <row r="12" spans="1:5" x14ac:dyDescent="0.25">
      <c r="A12" s="11" t="s">
        <v>207</v>
      </c>
      <c r="B12" s="18" t="s">
        <v>239</v>
      </c>
      <c r="C12" s="11"/>
      <c r="D12" s="53">
        <v>506982.69999999995</v>
      </c>
      <c r="E12" s="53">
        <v>301003.56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1273.8</v>
      </c>
      <c r="E14" s="53">
        <v>1273.8</v>
      </c>
    </row>
    <row r="15" spans="1:5" x14ac:dyDescent="0.25">
      <c r="A15" s="11" t="s">
        <v>209</v>
      </c>
      <c r="B15" s="18" t="s">
        <v>161</v>
      </c>
      <c r="C15" s="11"/>
      <c r="D15" s="53">
        <v>199340.61</v>
      </c>
      <c r="E15" s="53">
        <v>228161.61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402321</v>
      </c>
      <c r="E16" s="53">
        <v>502965</v>
      </c>
    </row>
    <row r="17" spans="1:5" x14ac:dyDescent="0.25">
      <c r="A17" s="11">
        <v>5</v>
      </c>
      <c r="B17" s="18" t="s">
        <v>228</v>
      </c>
      <c r="C17" s="11"/>
      <c r="D17" s="53">
        <v>117030.61</v>
      </c>
      <c r="E17" s="53">
        <v>197297.71</v>
      </c>
    </row>
    <row r="18" spans="1:5" x14ac:dyDescent="0.25">
      <c r="A18" s="11">
        <v>6</v>
      </c>
      <c r="B18" s="18" t="s">
        <v>184</v>
      </c>
      <c r="C18" s="12"/>
      <c r="D18" s="54">
        <v>0</v>
      </c>
      <c r="E18" s="54">
        <v>0</v>
      </c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1801138.2300000002</v>
      </c>
      <c r="E19" s="36">
        <f>E9+E11+E12+E14+E15+E16+E17+E18</f>
        <v>1929639.2200000002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1801138.23</v>
      </c>
      <c r="E20" s="38">
        <f>IncomeStmtSummary!D10</f>
        <v>1929639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0.22000000020489097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ht="14.45" x14ac:dyDescent="0.3">
      <c r="A25" s="66"/>
      <c r="B25" s="66" t="s">
        <v>269</v>
      </c>
      <c r="C25" s="66"/>
      <c r="D25" s="66"/>
      <c r="E25" s="66"/>
    </row>
    <row r="26" spans="1:5" ht="14.45" x14ac:dyDescent="0.3">
      <c r="A26" s="66"/>
      <c r="B26" s="66" t="s">
        <v>270</v>
      </c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&amp;LEXHIBIT 4&amp;CPage &amp;P of &amp;N&amp;R7/29/2016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McDaniel Telephone Co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&amp;LEXHIBIT 4&amp;CPage &amp;P of &amp;N&amp;R7/29/2016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McDaniel Telephone Co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3315690.1099999994</v>
      </c>
      <c r="D10" s="85">
        <f>C10</f>
        <v>3315690.1099999994</v>
      </c>
    </row>
    <row r="11" spans="1:4" x14ac:dyDescent="0.25">
      <c r="A11" s="76">
        <v>2</v>
      </c>
      <c r="B11" s="81" t="s">
        <v>196</v>
      </c>
      <c r="C11" s="101">
        <f>'RateBase '!E15</f>
        <v>2769949</v>
      </c>
      <c r="D11" s="101">
        <f>C11</f>
        <v>2769949</v>
      </c>
    </row>
    <row r="12" spans="1:4" x14ac:dyDescent="0.25">
      <c r="A12" s="76">
        <v>3</v>
      </c>
      <c r="B12" s="96" t="s">
        <v>197</v>
      </c>
      <c r="C12" s="83">
        <f>(C10+C11)/2</f>
        <v>3042819.5549999997</v>
      </c>
      <c r="D12" s="83">
        <f>(D10+D11)/2</f>
        <v>3042819.5549999997</v>
      </c>
    </row>
    <row r="13" spans="1:4" x14ac:dyDescent="0.25">
      <c r="A13" s="76">
        <v>4</v>
      </c>
      <c r="B13" s="81" t="s">
        <v>198</v>
      </c>
      <c r="C13" s="59">
        <f>IncomeStmtSummary!D29</f>
        <v>135424</v>
      </c>
      <c r="D13" s="59">
        <f>C13</f>
        <v>135424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135424</v>
      </c>
      <c r="D15" s="83">
        <f>D13+D14</f>
        <v>135424</v>
      </c>
    </row>
    <row r="16" spans="1:4" x14ac:dyDescent="0.25">
      <c r="A16" s="76">
        <v>7</v>
      </c>
      <c r="B16" s="96" t="s">
        <v>199</v>
      </c>
      <c r="C16" s="84">
        <f>C15/C12</f>
        <v>4.4506089681680128E-2</v>
      </c>
      <c r="D16" s="84">
        <f>D15/D12</f>
        <v>4.4506089681680128E-2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5024184.7300000004</v>
      </c>
      <c r="D19" s="80">
        <f>C19</f>
        <v>5024184.7300000004</v>
      </c>
    </row>
    <row r="20" spans="1:7" x14ac:dyDescent="0.25">
      <c r="A20" s="76">
        <v>9</v>
      </c>
      <c r="B20" s="81" t="s">
        <v>204</v>
      </c>
      <c r="C20" s="86">
        <v>4413477</v>
      </c>
      <c r="D20" s="86">
        <f>C20</f>
        <v>4413477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4718830.8650000002</v>
      </c>
      <c r="D21" s="83">
        <f t="shared" si="0"/>
        <v>4718830.8650000002</v>
      </c>
    </row>
    <row r="22" spans="1:7" x14ac:dyDescent="0.25">
      <c r="A22" s="76">
        <v>11</v>
      </c>
      <c r="B22" s="81" t="s">
        <v>205</v>
      </c>
      <c r="C22" s="53">
        <v>699372</v>
      </c>
      <c r="D22" s="53">
        <f>C22</f>
        <v>699372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699372</v>
      </c>
      <c r="D24" s="83">
        <f>D22+D23</f>
        <v>699372</v>
      </c>
    </row>
    <row r="25" spans="1:7" x14ac:dyDescent="0.25">
      <c r="A25" s="93">
        <v>14</v>
      </c>
      <c r="B25" s="99" t="s">
        <v>201</v>
      </c>
      <c r="C25" s="87">
        <f>C24/C21</f>
        <v>0.14820874492182079</v>
      </c>
      <c r="D25" s="87">
        <f>D24/D21</f>
        <v>0.14820874492182079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&amp;LEXHIBIT 4&amp;CPage &amp;P of &amp;N&amp;R7/29/2016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1349938.27</v>
      </c>
      <c r="C10" s="55"/>
      <c r="D10" s="59">
        <f>SUM(B10:C10)</f>
        <v>1349938.27</v>
      </c>
      <c r="E10" s="18"/>
      <c r="F10" s="18" t="s">
        <v>78</v>
      </c>
      <c r="G10" s="53">
        <v>322811.33</v>
      </c>
      <c r="H10" s="55"/>
      <c r="I10" s="59">
        <f>SUM(G10:H10)</f>
        <v>322811.33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47732.11</v>
      </c>
      <c r="H12" s="55"/>
      <c r="I12" s="59">
        <f t="shared" si="0"/>
        <v>47732.11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87585.18</v>
      </c>
      <c r="C14" s="55"/>
      <c r="D14" s="59">
        <f t="shared" ref="D14:D15" si="1">SUM(B14:C14)</f>
        <v>87585.18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x14ac:dyDescent="0.25">
      <c r="A17" s="18" t="s">
        <v>44</v>
      </c>
      <c r="B17" s="53">
        <v>168651.5</v>
      </c>
      <c r="C17" s="55"/>
      <c r="D17" s="59">
        <f>SUM(B17:C17)</f>
        <v>168651.5</v>
      </c>
      <c r="E17" s="19"/>
      <c r="F17" s="18" t="s">
        <v>87</v>
      </c>
      <c r="G17" s="53">
        <v>58234</v>
      </c>
      <c r="H17" s="55"/>
      <c r="I17" s="59">
        <f t="shared" si="0"/>
        <v>58234</v>
      </c>
    </row>
    <row r="18" spans="1:9" x14ac:dyDescent="0.25">
      <c r="A18" s="18" t="s">
        <v>47</v>
      </c>
      <c r="B18" s="53">
        <v>370235.14</v>
      </c>
      <c r="C18" s="55"/>
      <c r="D18" s="59">
        <f t="shared" ref="D18:D24" si="2">SUM(B18:C18)</f>
        <v>370235.14</v>
      </c>
      <c r="E18" s="18"/>
      <c r="F18" s="18" t="s">
        <v>88</v>
      </c>
      <c r="G18" s="53">
        <v>22672.19</v>
      </c>
      <c r="H18" s="55"/>
      <c r="I18" s="59">
        <f t="shared" si="0"/>
        <v>22672.19</v>
      </c>
    </row>
    <row r="19" spans="1:9" x14ac:dyDescent="0.25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25110.240000000002</v>
      </c>
      <c r="H19" s="120"/>
      <c r="I19" s="60">
        <f t="shared" si="0"/>
        <v>25110.240000000002</v>
      </c>
    </row>
    <row r="20" spans="1:9" x14ac:dyDescent="0.25">
      <c r="A20" s="18" t="s">
        <v>48</v>
      </c>
      <c r="B20" s="53">
        <v>135.28</v>
      </c>
      <c r="C20" s="55"/>
      <c r="D20" s="59">
        <f t="shared" si="2"/>
        <v>135.28</v>
      </c>
      <c r="E20" s="18"/>
      <c r="F20" s="18" t="s">
        <v>120</v>
      </c>
      <c r="G20" s="59">
        <f>SUM(G10:G19)</f>
        <v>476559.87</v>
      </c>
      <c r="H20" s="59">
        <f>SUM(H10:H19)</f>
        <v>0</v>
      </c>
      <c r="I20" s="59">
        <f t="shared" ref="I20" si="3">SUM(I10:I19)</f>
        <v>476559.87</v>
      </c>
    </row>
    <row r="21" spans="1:9" x14ac:dyDescent="0.25">
      <c r="A21" s="18" t="s">
        <v>49</v>
      </c>
      <c r="B21" s="53">
        <v>37824.9</v>
      </c>
      <c r="C21" s="55">
        <v>0</v>
      </c>
      <c r="D21" s="59">
        <f t="shared" si="2"/>
        <v>37824.9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x14ac:dyDescent="0.25">
      <c r="A23" s="18" t="s">
        <v>51</v>
      </c>
      <c r="B23" s="53">
        <v>6455.4</v>
      </c>
      <c r="C23" s="55"/>
      <c r="D23" s="59">
        <f t="shared" si="2"/>
        <v>6455.4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2020825.6699999997</v>
      </c>
      <c r="C25" s="59">
        <f>C10+C11+C13+C14+C15+C17+C18+C19+C20+C21+C22+C23+C24</f>
        <v>0</v>
      </c>
      <c r="D25" s="59">
        <f t="shared" ref="D25" si="5">D10+D11+D13+D14+D15+D17+D18+D19+D20+D21+D22+D23+D24</f>
        <v>2020825.6699999997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29201.23</v>
      </c>
      <c r="C34" s="70">
        <f>-1*(C25+C29+C30+C32+C33+C35+C36+C37+C46)</f>
        <v>39402</v>
      </c>
      <c r="D34" s="59">
        <f t="shared" si="7"/>
        <v>68603.23</v>
      </c>
      <c r="E34" s="18"/>
      <c r="F34" s="18" t="s">
        <v>103</v>
      </c>
      <c r="G34" s="53">
        <v>-33314</v>
      </c>
      <c r="H34" s="55"/>
      <c r="I34" s="59">
        <f>SUM(G34:H34)</f>
        <v>-33314</v>
      </c>
    </row>
    <row r="35" spans="1:9" x14ac:dyDescent="0.25">
      <c r="A35" s="18" t="s">
        <v>62</v>
      </c>
      <c r="B35" s="53">
        <v>4333.33</v>
      </c>
      <c r="C35" s="55"/>
      <c r="D35" s="59">
        <f t="shared" si="7"/>
        <v>4333.33</v>
      </c>
      <c r="E35" s="18"/>
      <c r="F35" s="18" t="s">
        <v>147</v>
      </c>
      <c r="G35" s="53">
        <v>957789.3</v>
      </c>
      <c r="H35" s="121">
        <v>0</v>
      </c>
      <c r="I35" s="59">
        <f t="shared" ref="I35:I36" si="8">SUM(G35:H35)</f>
        <v>957789.3</v>
      </c>
    </row>
    <row r="36" spans="1:9" x14ac:dyDescent="0.25">
      <c r="A36" s="18" t="s">
        <v>63</v>
      </c>
      <c r="B36" s="53">
        <v>-2.59</v>
      </c>
      <c r="C36" s="55"/>
      <c r="D36" s="59">
        <f t="shared" si="7"/>
        <v>-2.59</v>
      </c>
      <c r="E36" s="18"/>
      <c r="F36" s="18" t="s">
        <v>104</v>
      </c>
      <c r="G36" s="54">
        <v>0</v>
      </c>
      <c r="H36" s="120"/>
      <c r="I36" s="60">
        <f t="shared" si="8"/>
        <v>0</v>
      </c>
    </row>
    <row r="37" spans="1:9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924475.3</v>
      </c>
      <c r="H37" s="59">
        <f t="shared" ref="H37:I37" si="9">SUM(H34:H36)</f>
        <v>0</v>
      </c>
      <c r="I37" s="59">
        <f t="shared" si="9"/>
        <v>924475.3</v>
      </c>
    </row>
    <row r="38" spans="1:9" x14ac:dyDescent="0.25">
      <c r="A38" s="18" t="s">
        <v>65</v>
      </c>
      <c r="B38" s="59">
        <f>B29+B30+B32+B33+B34+B35+B36+B37</f>
        <v>33531.97</v>
      </c>
      <c r="C38" s="59">
        <f>C29+C30+C32+C33+C34+C35+C36+C37</f>
        <v>39402</v>
      </c>
      <c r="D38" s="59">
        <f t="shared" ref="D38" si="10">D29+D30+D32+D33+D34+D35+D36+D37</f>
        <v>72933.97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59">
        <f>SUM(G39:H39)</f>
        <v>26200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15075679.17</v>
      </c>
      <c r="C41" s="53">
        <v>-64887</v>
      </c>
      <c r="D41" s="59">
        <f>SUM(B41:C41)</f>
        <v>15010792.17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 x14ac:dyDescent="0.25">
      <c r="A43" s="18" t="s">
        <v>69</v>
      </c>
      <c r="B43" s="53">
        <v>110630.73</v>
      </c>
      <c r="C43" s="53"/>
      <c r="D43" s="59">
        <f t="shared" si="12"/>
        <v>110630.73</v>
      </c>
      <c r="E43" s="18"/>
      <c r="F43" s="18" t="s">
        <v>111</v>
      </c>
      <c r="G43" s="53">
        <v>31146.7</v>
      </c>
      <c r="H43" s="23"/>
      <c r="I43" s="59">
        <f t="shared" si="11"/>
        <v>31146.7</v>
      </c>
    </row>
    <row r="44" spans="1:9" x14ac:dyDescent="0.25">
      <c r="A44" s="18" t="s">
        <v>70</v>
      </c>
      <c r="B44" s="53">
        <v>25762.32</v>
      </c>
      <c r="C44" s="53"/>
      <c r="D44" s="59">
        <f t="shared" si="12"/>
        <v>25762.32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 x14ac:dyDescent="0.25">
      <c r="A45" s="18" t="s">
        <v>121</v>
      </c>
      <c r="B45" s="54">
        <v>-10841209.960000001</v>
      </c>
      <c r="C45" s="54">
        <v>25485</v>
      </c>
      <c r="D45" s="60">
        <f t="shared" si="12"/>
        <v>-10815724.960000001</v>
      </c>
      <c r="E45" s="18"/>
      <c r="F45" s="18" t="s">
        <v>172</v>
      </c>
      <c r="G45" s="54">
        <v>4966838.03</v>
      </c>
      <c r="H45" s="102">
        <f>-1*(H20+H32+H37)</f>
        <v>0</v>
      </c>
      <c r="I45" s="60">
        <f t="shared" si="11"/>
        <v>4966838.03</v>
      </c>
    </row>
    <row r="46" spans="1:9" x14ac:dyDescent="0.25">
      <c r="A46" s="18" t="s">
        <v>71</v>
      </c>
      <c r="B46" s="59">
        <f>B41+B42+B43+B44+B45</f>
        <v>4370862.26</v>
      </c>
      <c r="C46" s="59">
        <f t="shared" ref="C46:D46" si="13">C41+C42+C43+C44+C45</f>
        <v>-39402</v>
      </c>
      <c r="D46" s="59">
        <f t="shared" si="13"/>
        <v>4331460.26</v>
      </c>
      <c r="E46" s="18"/>
      <c r="F46" s="18" t="s">
        <v>114</v>
      </c>
      <c r="G46" s="59">
        <f>SUM(G39:G45)</f>
        <v>5024184.7300000004</v>
      </c>
      <c r="H46" s="62">
        <f t="shared" ref="H46:I46" si="14">SUM(H39:H45)</f>
        <v>0</v>
      </c>
      <c r="I46" s="59">
        <f t="shared" si="14"/>
        <v>5024184.7300000004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6425219.8999999994</v>
      </c>
      <c r="C48" s="61">
        <f t="shared" ref="C48:D48" si="15">C25+C38+C46</f>
        <v>0</v>
      </c>
      <c r="D48" s="61">
        <f t="shared" si="15"/>
        <v>6425219.8999999994</v>
      </c>
      <c r="E48" s="18"/>
      <c r="F48" s="22" t="s">
        <v>115</v>
      </c>
      <c r="G48" s="61">
        <f>G20+G32+G37+G46</f>
        <v>6425219.9000000004</v>
      </c>
      <c r="H48" s="61">
        <f t="shared" ref="H48:I48" si="16">H20+H32+H37+H46</f>
        <v>0</v>
      </c>
      <c r="I48" s="61">
        <f t="shared" si="16"/>
        <v>6425219.9000000004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&amp;LEXHIBIT 4&amp;CPage &amp;P of &amp;N&amp;R7/29/2016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McDaniel Telephone Co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1434594</v>
      </c>
      <c r="C10" s="55"/>
      <c r="D10" s="59">
        <f>SUM(B10:C10)</f>
        <v>1434594</v>
      </c>
      <c r="E10" s="18"/>
      <c r="F10" s="18" t="s">
        <v>78</v>
      </c>
      <c r="G10" s="53">
        <v>454475</v>
      </c>
      <c r="H10" s="55"/>
      <c r="I10" s="59">
        <f>SUM(G10:H10)</f>
        <v>454475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49358</v>
      </c>
      <c r="H12" s="55"/>
      <c r="I12" s="59">
        <f t="shared" si="0"/>
        <v>49358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464257</v>
      </c>
      <c r="C14" s="55"/>
      <c r="D14" s="59">
        <f t="shared" ref="D14:D15" si="1">SUM(B14:C14)</f>
        <v>464257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x14ac:dyDescent="0.25">
      <c r="A17" s="18" t="s">
        <v>44</v>
      </c>
      <c r="B17" s="53">
        <v>166348</v>
      </c>
      <c r="C17" s="55"/>
      <c r="D17" s="59">
        <f>SUM(B17:C17)</f>
        <v>166348</v>
      </c>
      <c r="E17" s="19"/>
      <c r="F17" s="18" t="s">
        <v>87</v>
      </c>
      <c r="G17" s="53">
        <v>115350</v>
      </c>
      <c r="H17" s="55"/>
      <c r="I17" s="59">
        <f t="shared" si="0"/>
        <v>115350</v>
      </c>
    </row>
    <row r="18" spans="1:9" x14ac:dyDescent="0.25">
      <c r="A18" s="18" t="s">
        <v>47</v>
      </c>
      <c r="B18" s="53">
        <v>153059</v>
      </c>
      <c r="C18" s="55"/>
      <c r="D18" s="59">
        <f t="shared" ref="D18:D24" si="2">SUM(B18:C18)</f>
        <v>153059</v>
      </c>
      <c r="E18" s="18"/>
      <c r="F18" s="18" t="s">
        <v>88</v>
      </c>
      <c r="G18" s="53">
        <v>24276</v>
      </c>
      <c r="H18" s="55"/>
      <c r="I18" s="59">
        <f t="shared" si="0"/>
        <v>24276</v>
      </c>
    </row>
    <row r="19" spans="1:9" x14ac:dyDescent="0.25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22235</v>
      </c>
      <c r="H19" s="120"/>
      <c r="I19" s="60">
        <f t="shared" si="0"/>
        <v>22235</v>
      </c>
    </row>
    <row r="20" spans="1:9" x14ac:dyDescent="0.25">
      <c r="A20" s="18" t="s">
        <v>48</v>
      </c>
      <c r="B20" s="53">
        <v>94</v>
      </c>
      <c r="C20" s="55"/>
      <c r="D20" s="59">
        <f t="shared" si="2"/>
        <v>94</v>
      </c>
      <c r="E20" s="18"/>
      <c r="F20" s="18" t="s">
        <v>120</v>
      </c>
      <c r="G20" s="59">
        <f>SUM(G10:G19)</f>
        <v>665694</v>
      </c>
      <c r="H20" s="59">
        <f>SUM(H10:H19)</f>
        <v>0</v>
      </c>
      <c r="I20" s="59">
        <f t="shared" ref="I20" si="3">SUM(I10:I19)</f>
        <v>665694</v>
      </c>
    </row>
    <row r="21" spans="1:9" x14ac:dyDescent="0.25">
      <c r="A21" s="18" t="s">
        <v>49</v>
      </c>
      <c r="B21" s="53">
        <v>32535</v>
      </c>
      <c r="C21" s="55">
        <v>0</v>
      </c>
      <c r="D21" s="59">
        <f t="shared" si="2"/>
        <v>32535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x14ac:dyDescent="0.25">
      <c r="A23" s="18" t="s">
        <v>51</v>
      </c>
      <c r="B23" s="53">
        <v>6464</v>
      </c>
      <c r="C23" s="55"/>
      <c r="D23" s="59">
        <f t="shared" si="2"/>
        <v>6464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2257351</v>
      </c>
      <c r="C25" s="59">
        <f>C10+C11+C13+C14+C15+C17+C18+C19+C20+C21+C22+C23+C24</f>
        <v>0</v>
      </c>
      <c r="D25" s="59">
        <f t="shared" ref="D25" si="5">D10+D11+D13+D14+D15+D17+D18+D19+D20+D21+D22+D23+D24</f>
        <v>2257351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9659</v>
      </c>
      <c r="C34" s="70">
        <f>-1*(C25+C29+C30+C32+C33+C35+C36+C37+C46)</f>
        <v>30066</v>
      </c>
      <c r="D34" s="59">
        <f t="shared" si="7"/>
        <v>39725</v>
      </c>
      <c r="E34" s="18"/>
      <c r="F34" s="18" t="s">
        <v>103</v>
      </c>
      <c r="G34" s="53">
        <v>9582</v>
      </c>
      <c r="H34" s="55"/>
      <c r="I34" s="59">
        <f>SUM(G34:H34)</f>
        <v>9582</v>
      </c>
    </row>
    <row r="35" spans="1:11" x14ac:dyDescent="0.25">
      <c r="A35" s="18" t="s">
        <v>62</v>
      </c>
      <c r="B35" s="53">
        <v>20590</v>
      </c>
      <c r="C35" s="55"/>
      <c r="D35" s="59">
        <f t="shared" si="7"/>
        <v>20590</v>
      </c>
      <c r="E35" s="18"/>
      <c r="F35" s="18" t="s">
        <v>147</v>
      </c>
      <c r="G35" s="53">
        <v>778508</v>
      </c>
      <c r="H35" s="121"/>
      <c r="I35" s="59">
        <f t="shared" ref="I35:I36" si="8">SUM(G35:H35)</f>
        <v>778508</v>
      </c>
    </row>
    <row r="36" spans="1:11" x14ac:dyDescent="0.25">
      <c r="A36" s="18" t="s">
        <v>63</v>
      </c>
      <c r="B36" s="53">
        <v>0</v>
      </c>
      <c r="C36" s="55"/>
      <c r="D36" s="59">
        <f t="shared" si="7"/>
        <v>0</v>
      </c>
      <c r="E36" s="18"/>
      <c r="F36" s="18" t="s">
        <v>104</v>
      </c>
      <c r="G36" s="54">
        <v>0</v>
      </c>
      <c r="H36" s="120"/>
      <c r="I36" s="60">
        <f t="shared" si="8"/>
        <v>0</v>
      </c>
    </row>
    <row r="37" spans="1:11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788090</v>
      </c>
      <c r="H37" s="59">
        <f t="shared" ref="H37:I37" si="9">SUM(H34:H36)</f>
        <v>0</v>
      </c>
      <c r="I37" s="59">
        <f t="shared" si="9"/>
        <v>788090</v>
      </c>
    </row>
    <row r="38" spans="1:11" x14ac:dyDescent="0.25">
      <c r="A38" s="18" t="s">
        <v>65</v>
      </c>
      <c r="B38" s="59">
        <f>B29+B30+B32+B33+B34+B35+B36+B37</f>
        <v>30249</v>
      </c>
      <c r="C38" s="59">
        <f>C29+C30+C32+C33+C34+C35+C36+C37</f>
        <v>30066</v>
      </c>
      <c r="D38" s="59">
        <f t="shared" ref="D38" si="10">D29+D30+D32+D33+D34+D35+D36+D37</f>
        <v>60315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59">
        <f>SUM(G39:H39)</f>
        <v>26200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15201118</v>
      </c>
      <c r="C41" s="53">
        <v>-45274</v>
      </c>
      <c r="D41" s="59">
        <f>SUM(B41:C41)</f>
        <v>15155844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11" x14ac:dyDescent="0.25">
      <c r="A43" s="18" t="s">
        <v>69</v>
      </c>
      <c r="B43" s="53">
        <v>6405</v>
      </c>
      <c r="C43" s="53"/>
      <c r="D43" s="59">
        <f t="shared" si="12"/>
        <v>6405</v>
      </c>
      <c r="E43" s="18"/>
      <c r="F43" s="18" t="s">
        <v>111</v>
      </c>
      <c r="G43" s="53">
        <v>66</v>
      </c>
      <c r="H43" s="23"/>
      <c r="I43" s="59">
        <f t="shared" si="11"/>
        <v>66</v>
      </c>
      <c r="K43" s="66"/>
    </row>
    <row r="44" spans="1:11" x14ac:dyDescent="0.25">
      <c r="A44" s="18" t="s">
        <v>70</v>
      </c>
      <c r="B44" s="53">
        <v>30012</v>
      </c>
      <c r="C44" s="53"/>
      <c r="D44" s="59">
        <f t="shared" si="12"/>
        <v>30012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11" x14ac:dyDescent="0.25">
      <c r="A45" s="18" t="s">
        <v>121</v>
      </c>
      <c r="B45" s="54">
        <v>-11657874</v>
      </c>
      <c r="C45" s="54">
        <v>15208</v>
      </c>
      <c r="D45" s="60">
        <f t="shared" si="12"/>
        <v>-11642666</v>
      </c>
      <c r="E45" s="18"/>
      <c r="F45" s="18" t="s">
        <v>172</v>
      </c>
      <c r="G45" s="54">
        <v>4387211</v>
      </c>
      <c r="H45" s="102">
        <f>-1*(H20+H32+H37)</f>
        <v>0</v>
      </c>
      <c r="I45" s="60">
        <f t="shared" si="11"/>
        <v>4387211</v>
      </c>
    </row>
    <row r="46" spans="1:11" x14ac:dyDescent="0.25">
      <c r="A46" s="18" t="s">
        <v>71</v>
      </c>
      <c r="B46" s="59">
        <f>B41+B42+B43+B44+B45</f>
        <v>3579661</v>
      </c>
      <c r="C46" s="59">
        <f t="shared" ref="C46:D46" si="13">C41+C42+C43+C44+C45</f>
        <v>-30066</v>
      </c>
      <c r="D46" s="59">
        <f t="shared" si="13"/>
        <v>3549595</v>
      </c>
      <c r="E46" s="18"/>
      <c r="F46" s="18" t="s">
        <v>114</v>
      </c>
      <c r="G46" s="59">
        <f>SUM(G39:G45)</f>
        <v>4413477</v>
      </c>
      <c r="H46" s="62">
        <f t="shared" ref="H46:I46" si="14">SUM(H39:H45)</f>
        <v>0</v>
      </c>
      <c r="I46" s="59">
        <f t="shared" si="14"/>
        <v>4413477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5867261</v>
      </c>
      <c r="C48" s="61">
        <f t="shared" ref="C48:D48" si="15">C25+C38+C46</f>
        <v>0</v>
      </c>
      <c r="D48" s="61">
        <f t="shared" si="15"/>
        <v>5867261</v>
      </c>
      <c r="E48" s="18"/>
      <c r="F48" s="22" t="s">
        <v>115</v>
      </c>
      <c r="G48" s="61">
        <f>G20+G32+G37+G46</f>
        <v>5867261</v>
      </c>
      <c r="H48" s="61">
        <f t="shared" ref="H48:I48" si="16">H20+H32+H37+H46</f>
        <v>0</v>
      </c>
      <c r="I48" s="61">
        <f t="shared" si="16"/>
        <v>5867261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McDaniel Telephone Co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&amp;LEXHIBIT 4&amp;CPage &amp;P of &amp;N&amp;R7/29/2016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McDaniel Telephone Co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1349938.27</v>
      </c>
      <c r="C10" s="33">
        <f>'CurrentYearBalanceSheet '!D10</f>
        <v>1434594</v>
      </c>
      <c r="D10" s="18"/>
      <c r="E10" s="18" t="s">
        <v>78</v>
      </c>
      <c r="F10" s="33">
        <f>PriorYearBalanceSheet!I10</f>
        <v>322811.33</v>
      </c>
      <c r="G10" s="33">
        <f>'CurrentYearBalanceSheet '!I10</f>
        <v>454475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47732.11</v>
      </c>
      <c r="G12" s="33">
        <f>'CurrentYearBalanceSheet '!I12</f>
        <v>49358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87585.18</v>
      </c>
      <c r="C14" s="33">
        <f>'CurrentYearBalanceSheet '!D14</f>
        <v>464257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168651.5</v>
      </c>
      <c r="C17" s="33">
        <f>'CurrentYearBalanceSheet '!D17</f>
        <v>166348</v>
      </c>
      <c r="D17" s="18"/>
      <c r="E17" s="18" t="s">
        <v>87</v>
      </c>
      <c r="F17" s="33">
        <f>PriorYearBalanceSheet!I17</f>
        <v>58234</v>
      </c>
      <c r="G17" s="33">
        <f>'CurrentYearBalanceSheet '!I17</f>
        <v>115350</v>
      </c>
    </row>
    <row r="18" spans="1:7" x14ac:dyDescent="0.25">
      <c r="A18" s="18" t="s">
        <v>47</v>
      </c>
      <c r="B18" s="33">
        <f>PriorYearBalanceSheet!D18</f>
        <v>370235.14</v>
      </c>
      <c r="C18" s="33">
        <f>'CurrentYearBalanceSheet '!D18</f>
        <v>153059</v>
      </c>
      <c r="D18" s="18"/>
      <c r="E18" s="18" t="s">
        <v>88</v>
      </c>
      <c r="F18" s="33">
        <f>PriorYearBalanceSheet!I18</f>
        <v>22672.19</v>
      </c>
      <c r="G18" s="33">
        <f>'CurrentYearBalanceSheet '!I18</f>
        <v>24276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25110.240000000002</v>
      </c>
      <c r="G19" s="33">
        <f>'CurrentYearBalanceSheet '!I19</f>
        <v>22235</v>
      </c>
    </row>
    <row r="20" spans="1:7" x14ac:dyDescent="0.25">
      <c r="A20" s="18" t="s">
        <v>48</v>
      </c>
      <c r="B20" s="33">
        <f>PriorYearBalanceSheet!D20</f>
        <v>135.28</v>
      </c>
      <c r="C20" s="33">
        <f>'CurrentYearBalanceSheet '!D20</f>
        <v>94</v>
      </c>
      <c r="D20" s="18"/>
      <c r="E20" s="18" t="s">
        <v>90</v>
      </c>
      <c r="F20" s="37">
        <f>SUM(F10:F19)</f>
        <v>476559.87</v>
      </c>
      <c r="G20" s="36">
        <f>SUM(G10:G19)</f>
        <v>665694</v>
      </c>
    </row>
    <row r="21" spans="1:7" x14ac:dyDescent="0.25">
      <c r="A21" s="18" t="s">
        <v>49</v>
      </c>
      <c r="B21" s="33">
        <f>PriorYearBalanceSheet!D21</f>
        <v>37824.9</v>
      </c>
      <c r="C21" s="33">
        <f>'CurrentYearBalanceSheet '!D21</f>
        <v>32535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6455.4</v>
      </c>
      <c r="C23" s="33">
        <f>'CurrentYearBalanceSheet '!D23</f>
        <v>6464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2020825.6699999997</v>
      </c>
      <c r="C25" s="33">
        <f>C10+C11+C13+C14+C15+C17+C18+C19+C20+C21+C22+C23+C24</f>
        <v>2257351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68603.23</v>
      </c>
      <c r="C34" s="33">
        <f>'CurrentYearBalanceSheet '!D34</f>
        <v>39725</v>
      </c>
      <c r="D34" s="18"/>
      <c r="E34" s="18" t="s">
        <v>103</v>
      </c>
      <c r="F34" s="33">
        <f>PriorYearBalanceSheet!I34</f>
        <v>-33314</v>
      </c>
      <c r="G34" s="33">
        <f>'CurrentYearBalanceSheet '!I34</f>
        <v>9582</v>
      </c>
    </row>
    <row r="35" spans="1:7" x14ac:dyDescent="0.25">
      <c r="A35" s="18" t="s">
        <v>62</v>
      </c>
      <c r="B35" s="33">
        <f>PriorYearBalanceSheet!D35</f>
        <v>4333.33</v>
      </c>
      <c r="C35" s="33">
        <f>'CurrentYearBalanceSheet '!D35</f>
        <v>20590</v>
      </c>
      <c r="D35" s="18"/>
      <c r="E35" s="18" t="s">
        <v>212</v>
      </c>
      <c r="F35" s="33">
        <f>PriorYearBalanceSheet!I35</f>
        <v>957789.3</v>
      </c>
      <c r="G35" s="33">
        <f>'CurrentYearBalanceSheet '!I35</f>
        <v>778508</v>
      </c>
    </row>
    <row r="36" spans="1:7" x14ac:dyDescent="0.25">
      <c r="A36" s="18" t="s">
        <v>63</v>
      </c>
      <c r="B36" s="33">
        <f>PriorYearBalanceSheet!D36</f>
        <v>-2.59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924475.3</v>
      </c>
      <c r="G37" s="33">
        <f>SUM(G34:G36)</f>
        <v>788090</v>
      </c>
    </row>
    <row r="38" spans="1:7" x14ac:dyDescent="0.25">
      <c r="A38" s="18" t="s">
        <v>65</v>
      </c>
      <c r="B38" s="33">
        <f>B29+B30+B32+B33+B34+B35+B36+B37</f>
        <v>72933.97</v>
      </c>
      <c r="C38" s="33">
        <f>C29+C30+C32+C33+C34+C35+C36+C37</f>
        <v>60315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26200</v>
      </c>
      <c r="G39" s="33">
        <f>'CurrentYearBalanceSheet '!I39</f>
        <v>26200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15010792.17</v>
      </c>
      <c r="C41" s="33">
        <f>'CurrentYearBalanceSheet '!D41</f>
        <v>15155844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110630.73</v>
      </c>
      <c r="C43" s="33">
        <f>'CurrentYearBalanceSheet '!D43</f>
        <v>6405</v>
      </c>
      <c r="D43" s="18"/>
      <c r="E43" s="18" t="s">
        <v>111</v>
      </c>
      <c r="F43" s="33">
        <f>PriorYearBalanceSheet!I43</f>
        <v>31146.7</v>
      </c>
      <c r="G43" s="33">
        <f>'CurrentYearBalanceSheet '!I43</f>
        <v>66</v>
      </c>
    </row>
    <row r="44" spans="1:7" x14ac:dyDescent="0.25">
      <c r="A44" s="18" t="s">
        <v>70</v>
      </c>
      <c r="B44" s="33">
        <f>PriorYearBalanceSheet!D44</f>
        <v>25762.32</v>
      </c>
      <c r="C44" s="33">
        <f>'CurrentYearBalanceSheet '!D44</f>
        <v>30012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-10815724.960000001</v>
      </c>
      <c r="C45" s="34">
        <f>'CurrentYearBalanceSheet '!D45</f>
        <v>-11642666</v>
      </c>
      <c r="D45" s="18"/>
      <c r="E45" s="18" t="s">
        <v>113</v>
      </c>
      <c r="F45" s="34">
        <f>PriorYearBalanceSheet!I45</f>
        <v>4966838.03</v>
      </c>
      <c r="G45" s="34">
        <f>'CurrentYearBalanceSheet '!I45</f>
        <v>4387211</v>
      </c>
    </row>
    <row r="46" spans="1:7" x14ac:dyDescent="0.25">
      <c r="A46" s="18" t="s">
        <v>71</v>
      </c>
      <c r="B46" s="33">
        <f>SUM(B41:B45)</f>
        <v>4331460.26</v>
      </c>
      <c r="C46" s="33">
        <f>SUM(C41:C45)</f>
        <v>3549595</v>
      </c>
      <c r="D46" s="18"/>
      <c r="E46" s="18" t="s">
        <v>114</v>
      </c>
      <c r="F46" s="33">
        <f>SUM(F39:F45)</f>
        <v>5024184.7300000004</v>
      </c>
      <c r="G46" s="33">
        <f>SUM(G39:G45)</f>
        <v>4413477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6425219.8999999994</v>
      </c>
      <c r="C48" s="35">
        <f>C25+C38+C46</f>
        <v>5867261</v>
      </c>
      <c r="D48" s="18"/>
      <c r="E48" s="22" t="s">
        <v>115</v>
      </c>
      <c r="F48" s="35">
        <f>F20+F32+F37+F46</f>
        <v>6425219.9000000004</v>
      </c>
      <c r="G48" s="35">
        <f>G20+G32+G37+G46</f>
        <v>5867261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and Current Year Balance Sheet</oddHeader>
    <oddFooter>&amp;LEXHIBIT 4&amp;CPage &amp;P of &amp;N&amp;R7/29/2016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McDaniel Telephone Co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15010792.17</v>
      </c>
      <c r="E10" s="59">
        <f>'BalanceSheet(Summary)'!C41</f>
        <v>15155844</v>
      </c>
      <c r="F10" s="59">
        <f>(D10+E10)/2</f>
        <v>15083318.085000001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-10815724.960000001</v>
      </c>
      <c r="E12" s="59">
        <f>'BalanceSheet(Summary)'!C45</f>
        <v>-11642666</v>
      </c>
      <c r="F12" s="59">
        <f t="shared" ref="F12:F15" si="0">(D12+E12)/2</f>
        <v>-11229195.48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37824.9</v>
      </c>
      <c r="E13" s="59">
        <f>'BalanceSheet(Summary)'!C21</f>
        <v>32535</v>
      </c>
      <c r="F13" s="59">
        <f t="shared" si="0"/>
        <v>35179.949999999997</v>
      </c>
    </row>
    <row r="14" spans="1:6" x14ac:dyDescent="0.25">
      <c r="A14" s="11">
        <v>5</v>
      </c>
      <c r="B14" s="18" t="s">
        <v>130</v>
      </c>
      <c r="C14" s="20"/>
      <c r="D14" s="53">
        <v>-917202</v>
      </c>
      <c r="E14" s="53">
        <v>-775764</v>
      </c>
      <c r="F14" s="59">
        <f t="shared" si="0"/>
        <v>-846483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3315690.1099999994</v>
      </c>
      <c r="E15" s="63">
        <f>SUM(E10:E14)</f>
        <v>2769949</v>
      </c>
      <c r="F15" s="64">
        <f t="shared" si="0"/>
        <v>3042819.5549999997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&amp;LEXHIBIT 4&amp;CPage &amp;P of &amp;N&amp;R7/29/2016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McDaniel Telephone Co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2974</v>
      </c>
      <c r="D10" s="53">
        <v>2969</v>
      </c>
      <c r="E10" s="33">
        <f>D10-C10</f>
        <v>-5</v>
      </c>
      <c r="F10" s="39">
        <f>E10/C10</f>
        <v>-1.6812373907195697E-3</v>
      </c>
    </row>
    <row r="11" spans="1:6" x14ac:dyDescent="0.25">
      <c r="A11" s="11">
        <v>2</v>
      </c>
      <c r="B11" s="20" t="s">
        <v>138</v>
      </c>
      <c r="C11" s="53">
        <v>487</v>
      </c>
      <c r="D11" s="53">
        <v>485</v>
      </c>
      <c r="E11" s="33">
        <f>D11-C11</f>
        <v>-2</v>
      </c>
      <c r="F11" s="39">
        <f t="shared" ref="F11:F12" si="0">E11/C11</f>
        <v>-4.1067761806981521E-3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3461</v>
      </c>
      <c r="D12" s="35">
        <f t="shared" ref="D12:E12" si="1">SUM(D10:D11)</f>
        <v>3454</v>
      </c>
      <c r="E12" s="35">
        <f t="shared" si="1"/>
        <v>-7</v>
      </c>
      <c r="F12" s="40">
        <f t="shared" si="0"/>
        <v>-2.0225368390638545E-3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&amp;LEXHIBIT 4&amp;CPage &amp;P of &amp;N&amp;R7/29/2016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McDaniel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899696.56</v>
      </c>
      <c r="D9" s="53"/>
      <c r="E9" s="59">
        <f>SUM(C9:D9)</f>
        <v>899696.56</v>
      </c>
    </row>
    <row r="10" spans="1:6" x14ac:dyDescent="0.25">
      <c r="A10" s="11">
        <v>2</v>
      </c>
      <c r="B10" s="15" t="s">
        <v>2</v>
      </c>
      <c r="C10" s="53">
        <v>1801138.23</v>
      </c>
      <c r="D10" s="53"/>
      <c r="E10" s="59">
        <f t="shared" ref="E10:E14" si="0">SUM(C10:D10)</f>
        <v>1801138.23</v>
      </c>
    </row>
    <row r="11" spans="1:6" x14ac:dyDescent="0.25">
      <c r="A11" s="11">
        <v>3</v>
      </c>
      <c r="B11" s="15" t="s">
        <v>3</v>
      </c>
      <c r="C11" s="53">
        <v>300.86</v>
      </c>
      <c r="D11" s="53">
        <v>0</v>
      </c>
      <c r="E11" s="59">
        <f t="shared" si="0"/>
        <v>300.86</v>
      </c>
    </row>
    <row r="12" spans="1:6" x14ac:dyDescent="0.25">
      <c r="A12" s="11">
        <v>4</v>
      </c>
      <c r="B12" s="15" t="s">
        <v>4</v>
      </c>
      <c r="C12" s="53">
        <v>94590.18</v>
      </c>
      <c r="D12" s="53">
        <v>0</v>
      </c>
      <c r="E12" s="59">
        <f t="shared" si="0"/>
        <v>94590.18</v>
      </c>
    </row>
    <row r="13" spans="1:6" x14ac:dyDescent="0.25">
      <c r="A13" s="11">
        <v>5</v>
      </c>
      <c r="B13" s="15" t="s">
        <v>5</v>
      </c>
      <c r="C13" s="53">
        <v>44626.67</v>
      </c>
      <c r="D13" s="53">
        <v>0</v>
      </c>
      <c r="E13" s="59">
        <f t="shared" si="0"/>
        <v>44626.67</v>
      </c>
    </row>
    <row r="14" spans="1:6" x14ac:dyDescent="0.25">
      <c r="A14" s="11">
        <v>6</v>
      </c>
      <c r="B14" s="15" t="s">
        <v>152</v>
      </c>
      <c r="C14" s="53">
        <v>-4062.58</v>
      </c>
      <c r="D14" s="53">
        <v>0</v>
      </c>
      <c r="E14" s="59">
        <f t="shared" si="0"/>
        <v>-4062.58</v>
      </c>
    </row>
    <row r="15" spans="1:6" x14ac:dyDescent="0.25">
      <c r="A15" s="11">
        <v>7</v>
      </c>
      <c r="B15" s="95" t="s">
        <v>151</v>
      </c>
      <c r="C15" s="104">
        <f>SUM(C9:C14)</f>
        <v>2836289.92</v>
      </c>
      <c r="D15" s="104">
        <f t="shared" ref="D15:E15" si="1">SUM(D9:D14)</f>
        <v>0</v>
      </c>
      <c r="E15" s="104">
        <f t="shared" si="1"/>
        <v>2836289.92</v>
      </c>
      <c r="F15" s="1"/>
    </row>
    <row r="16" spans="1:6" x14ac:dyDescent="0.25">
      <c r="A16" s="11">
        <v>8</v>
      </c>
      <c r="B16" s="15" t="s">
        <v>6</v>
      </c>
      <c r="C16" s="53">
        <v>568584.68999999994</v>
      </c>
      <c r="D16" s="53">
        <v>-37925</v>
      </c>
      <c r="E16" s="42">
        <f>SUM(C16:D16)</f>
        <v>530659.68999999994</v>
      </c>
    </row>
    <row r="17" spans="1:6" x14ac:dyDescent="0.25">
      <c r="A17" s="11">
        <v>9</v>
      </c>
      <c r="B17" s="15" t="s">
        <v>40</v>
      </c>
      <c r="C17" s="53">
        <v>382860.38</v>
      </c>
      <c r="D17" s="53">
        <v>-22248</v>
      </c>
      <c r="E17" s="42">
        <f t="shared" ref="E17:E21" si="2">SUM(C17:D17)</f>
        <v>360612.38</v>
      </c>
    </row>
    <row r="18" spans="1:6" x14ac:dyDescent="0.25">
      <c r="A18" s="11">
        <v>10</v>
      </c>
      <c r="B18" s="15" t="s">
        <v>7</v>
      </c>
      <c r="C18" s="53">
        <v>862716.49</v>
      </c>
      <c r="D18" s="53">
        <v>-61410</v>
      </c>
      <c r="E18" s="42">
        <f t="shared" si="2"/>
        <v>801306.49</v>
      </c>
    </row>
    <row r="19" spans="1:6" x14ac:dyDescent="0.25">
      <c r="A19" s="11">
        <v>11</v>
      </c>
      <c r="B19" s="15" t="s">
        <v>8</v>
      </c>
      <c r="C19" s="53">
        <v>60102.92</v>
      </c>
      <c r="D19" s="53">
        <v>-8076</v>
      </c>
      <c r="E19" s="42">
        <f t="shared" si="2"/>
        <v>52026.92</v>
      </c>
    </row>
    <row r="20" spans="1:6" x14ac:dyDescent="0.25">
      <c r="A20" s="11">
        <v>12</v>
      </c>
      <c r="B20" s="15" t="s">
        <v>9</v>
      </c>
      <c r="C20" s="53">
        <v>313287.08</v>
      </c>
      <c r="D20" s="53">
        <v>-20776</v>
      </c>
      <c r="E20" s="42">
        <f t="shared" si="2"/>
        <v>292511.08</v>
      </c>
    </row>
    <row r="21" spans="1:6" x14ac:dyDescent="0.25">
      <c r="A21" s="11">
        <v>13</v>
      </c>
      <c r="B21" s="15" t="s">
        <v>10</v>
      </c>
      <c r="C21" s="53">
        <v>608962.69999999995</v>
      </c>
      <c r="D21" s="53">
        <v>-38365</v>
      </c>
      <c r="E21" s="42">
        <f t="shared" si="2"/>
        <v>570597.69999999995</v>
      </c>
    </row>
    <row r="22" spans="1:6" x14ac:dyDescent="0.25">
      <c r="A22" s="11">
        <v>14</v>
      </c>
      <c r="B22" s="90" t="s">
        <v>150</v>
      </c>
      <c r="C22" s="104">
        <f>C16+C17+C18+C19+C20+C21</f>
        <v>2796514.26</v>
      </c>
      <c r="D22" s="104">
        <f>D16+D17+D18+D19+D20+D21</f>
        <v>-188800</v>
      </c>
      <c r="E22" s="105">
        <f>E16+E17+E18+E19+E20+E21</f>
        <v>2607714.2599999998</v>
      </c>
      <c r="F22" s="1"/>
    </row>
    <row r="23" spans="1:6" x14ac:dyDescent="0.25">
      <c r="A23" s="11">
        <v>15</v>
      </c>
      <c r="B23" s="15" t="s">
        <v>14</v>
      </c>
      <c r="C23" s="59">
        <f>C15-C22</f>
        <v>39775.660000000149</v>
      </c>
      <c r="D23" s="59">
        <f>D15-D22</f>
        <v>188800</v>
      </c>
      <c r="E23" s="59">
        <f>E15-E22</f>
        <v>228575.66000000015</v>
      </c>
    </row>
    <row r="24" spans="1:6" x14ac:dyDescent="0.25">
      <c r="A24" s="11">
        <v>16</v>
      </c>
      <c r="B24" s="15" t="s">
        <v>153</v>
      </c>
      <c r="C24" s="53">
        <v>0</v>
      </c>
      <c r="D24" s="55">
        <v>52940</v>
      </c>
      <c r="E24" s="59">
        <f>SUM(C24:D24)</f>
        <v>52940</v>
      </c>
    </row>
    <row r="25" spans="1:6" x14ac:dyDescent="0.25">
      <c r="A25" s="11">
        <v>17</v>
      </c>
      <c r="B25" s="15" t="s">
        <v>11</v>
      </c>
      <c r="C25" s="53">
        <v>0</v>
      </c>
      <c r="D25" s="121">
        <v>0</v>
      </c>
      <c r="E25" s="59">
        <f t="shared" ref="E25:E27" si="3">SUM(C25:D25)</f>
        <v>0</v>
      </c>
    </row>
    <row r="26" spans="1:6" x14ac:dyDescent="0.25">
      <c r="A26" s="11">
        <v>18</v>
      </c>
      <c r="B26" s="15" t="s">
        <v>229</v>
      </c>
      <c r="C26" s="53">
        <v>-21372.549999999996</v>
      </c>
      <c r="D26" s="55">
        <v>87109.4</v>
      </c>
      <c r="E26" s="59">
        <f t="shared" si="3"/>
        <v>65736.850000000006</v>
      </c>
    </row>
    <row r="27" spans="1:6" x14ac:dyDescent="0.25">
      <c r="A27" s="11">
        <v>19</v>
      </c>
      <c r="B27" s="15" t="s">
        <v>13</v>
      </c>
      <c r="C27" s="53">
        <v>100847.88</v>
      </c>
      <c r="D27" s="121">
        <v>-7144</v>
      </c>
      <c r="E27" s="59">
        <f t="shared" si="3"/>
        <v>93703.88</v>
      </c>
    </row>
    <row r="28" spans="1:6" x14ac:dyDescent="0.25">
      <c r="A28" s="11">
        <v>20</v>
      </c>
      <c r="B28" s="95" t="s">
        <v>12</v>
      </c>
      <c r="C28" s="83">
        <f>SUM(C25:C27)</f>
        <v>79475.330000000016</v>
      </c>
      <c r="D28" s="83">
        <f t="shared" ref="D28:E28" si="4">SUM(D25:D27)</f>
        <v>79965.399999999994</v>
      </c>
      <c r="E28" s="106">
        <f t="shared" si="4"/>
        <v>159440.73000000001</v>
      </c>
    </row>
    <row r="29" spans="1:6" x14ac:dyDescent="0.25">
      <c r="A29" s="11">
        <v>21</v>
      </c>
      <c r="B29" s="95" t="s">
        <v>23</v>
      </c>
      <c r="C29" s="83">
        <f>C23+C24-C28</f>
        <v>-39699.669999999867</v>
      </c>
      <c r="D29" s="83">
        <f>D23+D24-D28</f>
        <v>161774.6</v>
      </c>
      <c r="E29" s="106">
        <f>E23+E24-E28</f>
        <v>122074.93000000014</v>
      </c>
    </row>
    <row r="30" spans="1:6" x14ac:dyDescent="0.25">
      <c r="A30" s="11">
        <v>22</v>
      </c>
      <c r="B30" s="15" t="s">
        <v>15</v>
      </c>
      <c r="C30" s="53">
        <v>0</v>
      </c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>
        <v>0</v>
      </c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0</v>
      </c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>
        <v>0</v>
      </c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4226.1000000000004</v>
      </c>
      <c r="D35" s="55"/>
      <c r="E35" s="33">
        <f>SUM(C35:D35)</f>
        <v>4226.1000000000004</v>
      </c>
    </row>
    <row r="36" spans="1:10" x14ac:dyDescent="0.25">
      <c r="A36" s="11">
        <v>28</v>
      </c>
      <c r="B36" s="15" t="s">
        <v>20</v>
      </c>
      <c r="C36" s="53">
        <v>0</v>
      </c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661356.55999999994</v>
      </c>
      <c r="D38" s="70">
        <f>-1*(D29-D34)</f>
        <v>-161774.6</v>
      </c>
      <c r="E38" s="33">
        <f t="shared" si="7"/>
        <v>499581.95999999996</v>
      </c>
    </row>
    <row r="39" spans="1:10" x14ac:dyDescent="0.25">
      <c r="A39" s="11">
        <v>31</v>
      </c>
      <c r="B39" s="95" t="s">
        <v>22</v>
      </c>
      <c r="C39" s="83">
        <f>C29-C34+C35+C36+C37+C38</f>
        <v>625882.99000000011</v>
      </c>
      <c r="D39" s="83">
        <f t="shared" ref="D39:E39" si="8">D29-D34+D35+D36+D37+D38</f>
        <v>0</v>
      </c>
      <c r="E39" s="83">
        <f t="shared" si="8"/>
        <v>625882.99000000011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10064955.039999999</v>
      </c>
      <c r="D41" s="55"/>
      <c r="E41" s="59">
        <f t="shared" ref="E41:E46" si="9">SUM(C41:D41)</f>
        <v>10064955.039999999</v>
      </c>
    </row>
    <row r="42" spans="1:10" x14ac:dyDescent="0.25">
      <c r="A42" s="11">
        <v>34</v>
      </c>
      <c r="B42" s="15" t="s">
        <v>26</v>
      </c>
      <c r="C42" s="53">
        <v>0</v>
      </c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>
        <v>5724000</v>
      </c>
      <c r="D43" s="55"/>
      <c r="E43" s="59">
        <f t="shared" si="9"/>
        <v>5724000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4966838.0299999993</v>
      </c>
      <c r="D47" s="107">
        <f t="shared" ref="D47:E47" si="10">(D39+D41+D42)-(D43+D44+D45+D46)</f>
        <v>0</v>
      </c>
      <c r="E47" s="106">
        <f t="shared" si="10"/>
        <v>4966838.0299999993</v>
      </c>
    </row>
    <row r="48" spans="1:10" x14ac:dyDescent="0.25">
      <c r="A48" s="11">
        <v>40</v>
      </c>
      <c r="B48" s="15" t="s">
        <v>32</v>
      </c>
      <c r="C48" s="53">
        <v>0</v>
      </c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0.68863558912905487</v>
      </c>
      <c r="D53" s="110" t="e">
        <f>((D22+D28-D18-D19)/D15)</f>
        <v>#DIV/0!</v>
      </c>
      <c r="E53" s="110">
        <f>((E22+E28-E18-E19)/E15)</f>
        <v>0.67476232472031628</v>
      </c>
    </row>
    <row r="54" spans="1:7" x14ac:dyDescent="0.25">
      <c r="A54" s="11">
        <v>46</v>
      </c>
      <c r="B54" s="15" t="s">
        <v>37</v>
      </c>
      <c r="C54" s="110">
        <f>((C22+C28+C34)/C15)</f>
        <v>1.0139970423051816</v>
      </c>
      <c r="D54" s="110" t="e">
        <f>((D22+D28+D34)/D15)</f>
        <v>#DIV/0!</v>
      </c>
      <c r="E54" s="110">
        <f>((E22+E28+E34)/E15)</f>
        <v>0.97562487194538983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&amp;LEXHIBIT 4&amp;CPage &amp;P of &amp;N&amp;R7/29/2016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McDaniel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901130</v>
      </c>
      <c r="D9" s="53"/>
      <c r="E9" s="33">
        <f>SUM(C9:D9)</f>
        <v>901130</v>
      </c>
    </row>
    <row r="10" spans="1:6" x14ac:dyDescent="0.25">
      <c r="A10" s="11">
        <v>2</v>
      </c>
      <c r="B10" s="18" t="s">
        <v>2</v>
      </c>
      <c r="C10" s="53">
        <v>1929639</v>
      </c>
      <c r="D10" s="53"/>
      <c r="E10" s="33">
        <f t="shared" ref="E10:E14" si="0">SUM(C10:D10)</f>
        <v>1929639</v>
      </c>
    </row>
    <row r="11" spans="1:6" x14ac:dyDescent="0.25">
      <c r="A11" s="11">
        <v>3</v>
      </c>
      <c r="B11" s="18" t="s">
        <v>3</v>
      </c>
      <c r="C11" s="53">
        <v>32</v>
      </c>
      <c r="D11" s="53">
        <v>0</v>
      </c>
      <c r="E11" s="33">
        <f t="shared" si="0"/>
        <v>32</v>
      </c>
    </row>
    <row r="12" spans="1:6" x14ac:dyDescent="0.25">
      <c r="A12" s="11">
        <v>4</v>
      </c>
      <c r="B12" s="18" t="s">
        <v>4</v>
      </c>
      <c r="C12" s="53">
        <v>88368</v>
      </c>
      <c r="D12" s="53">
        <v>0</v>
      </c>
      <c r="E12" s="33">
        <f t="shared" si="0"/>
        <v>88368</v>
      </c>
    </row>
    <row r="13" spans="1:6" x14ac:dyDescent="0.25">
      <c r="A13" s="11">
        <v>5</v>
      </c>
      <c r="B13" s="18" t="s">
        <v>5</v>
      </c>
      <c r="C13" s="53">
        <v>42458</v>
      </c>
      <c r="D13" s="53">
        <v>0</v>
      </c>
      <c r="E13" s="33">
        <f t="shared" si="0"/>
        <v>42458</v>
      </c>
    </row>
    <row r="14" spans="1:6" x14ac:dyDescent="0.25">
      <c r="A14" s="11">
        <v>6</v>
      </c>
      <c r="B14" s="18" t="s">
        <v>152</v>
      </c>
      <c r="C14" s="53">
        <v>-8109</v>
      </c>
      <c r="D14" s="53">
        <v>0</v>
      </c>
      <c r="E14" s="33">
        <f t="shared" si="0"/>
        <v>-8109</v>
      </c>
    </row>
    <row r="15" spans="1:6" x14ac:dyDescent="0.25">
      <c r="A15" s="11">
        <v>7</v>
      </c>
      <c r="B15" s="90" t="s">
        <v>151</v>
      </c>
      <c r="C15" s="41">
        <f>SUM(C9:C14)</f>
        <v>2953518</v>
      </c>
      <c r="D15" s="41">
        <f t="shared" ref="D15:E15" si="1">SUM(D9:D14)</f>
        <v>0</v>
      </c>
      <c r="E15" s="41">
        <f t="shared" si="1"/>
        <v>2953518</v>
      </c>
      <c r="F15" s="1"/>
    </row>
    <row r="16" spans="1:6" x14ac:dyDescent="0.25">
      <c r="A16" s="11">
        <v>8</v>
      </c>
      <c r="B16" s="18" t="s">
        <v>6</v>
      </c>
      <c r="C16" s="53">
        <v>574092</v>
      </c>
      <c r="D16" s="53">
        <v>-42837</v>
      </c>
      <c r="E16" s="42">
        <f>SUM(C16:D16)</f>
        <v>531255</v>
      </c>
    </row>
    <row r="17" spans="1:6" x14ac:dyDescent="0.25">
      <c r="A17" s="11">
        <v>9</v>
      </c>
      <c r="B17" s="18" t="s">
        <v>40</v>
      </c>
      <c r="C17" s="53">
        <v>400046</v>
      </c>
      <c r="D17" s="53">
        <v>-24256</v>
      </c>
      <c r="E17" s="42">
        <f t="shared" ref="E17:E21" si="2">SUM(C17:D17)</f>
        <v>375790</v>
      </c>
    </row>
    <row r="18" spans="1:6" x14ac:dyDescent="0.25">
      <c r="A18" s="11">
        <v>10</v>
      </c>
      <c r="B18" s="18" t="s">
        <v>7</v>
      </c>
      <c r="C18" s="53">
        <v>888291</v>
      </c>
      <c r="D18" s="53">
        <v>-71119</v>
      </c>
      <c r="E18" s="42">
        <f t="shared" si="2"/>
        <v>817172</v>
      </c>
    </row>
    <row r="19" spans="1:6" x14ac:dyDescent="0.25">
      <c r="A19" s="11">
        <v>11</v>
      </c>
      <c r="B19" s="18" t="s">
        <v>8</v>
      </c>
      <c r="C19" s="53">
        <v>63619</v>
      </c>
      <c r="D19" s="53">
        <v>-9840</v>
      </c>
      <c r="E19" s="42">
        <f t="shared" si="2"/>
        <v>53779</v>
      </c>
    </row>
    <row r="20" spans="1:6" x14ac:dyDescent="0.25">
      <c r="A20" s="11">
        <v>12</v>
      </c>
      <c r="B20" s="18" t="s">
        <v>9</v>
      </c>
      <c r="C20" s="53">
        <v>317033</v>
      </c>
      <c r="D20" s="53">
        <v>-20308</v>
      </c>
      <c r="E20" s="42">
        <f t="shared" si="2"/>
        <v>296725</v>
      </c>
    </row>
    <row r="21" spans="1:6" x14ac:dyDescent="0.25">
      <c r="A21" s="11">
        <v>13</v>
      </c>
      <c r="B21" s="18" t="s">
        <v>10</v>
      </c>
      <c r="C21" s="53">
        <v>657943</v>
      </c>
      <c r="D21" s="53">
        <v>-39991</v>
      </c>
      <c r="E21" s="42">
        <f t="shared" si="2"/>
        <v>617952</v>
      </c>
    </row>
    <row r="22" spans="1:6" x14ac:dyDescent="0.25">
      <c r="A22" s="11">
        <v>14</v>
      </c>
      <c r="B22" s="90" t="s">
        <v>150</v>
      </c>
      <c r="C22" s="41">
        <f>C16+C17+C18+C19+C20+C21</f>
        <v>2901024</v>
      </c>
      <c r="D22" s="41">
        <f>D16+D17+D18+D19+D20+D21</f>
        <v>-208351</v>
      </c>
      <c r="E22" s="43">
        <f>E16+E17+E18+E19+E20+E21</f>
        <v>2692673</v>
      </c>
      <c r="F22" s="1"/>
    </row>
    <row r="23" spans="1:6" x14ac:dyDescent="0.25">
      <c r="A23" s="11">
        <v>15</v>
      </c>
      <c r="B23" s="18" t="s">
        <v>14</v>
      </c>
      <c r="C23" s="33">
        <f>C15-C22</f>
        <v>52494</v>
      </c>
      <c r="D23" s="33">
        <f>D15-D22</f>
        <v>208351</v>
      </c>
      <c r="E23" s="33">
        <f>E15-E22</f>
        <v>260845</v>
      </c>
    </row>
    <row r="24" spans="1:6" x14ac:dyDescent="0.25">
      <c r="A24" s="11">
        <v>16</v>
      </c>
      <c r="B24" s="18" t="s">
        <v>153</v>
      </c>
      <c r="C24" s="53">
        <v>0</v>
      </c>
      <c r="D24" s="55">
        <v>53631</v>
      </c>
      <c r="E24" s="33">
        <f>SUM(C24:D24)</f>
        <v>53631</v>
      </c>
    </row>
    <row r="25" spans="1:6" x14ac:dyDescent="0.25">
      <c r="A25" s="11">
        <v>17</v>
      </c>
      <c r="B25" s="18" t="s">
        <v>11</v>
      </c>
      <c r="C25" s="53">
        <v>0</v>
      </c>
      <c r="D25" s="121">
        <v>0</v>
      </c>
      <c r="E25" s="33">
        <f t="shared" ref="E25:E27" si="3">SUM(C25:D25)</f>
        <v>0</v>
      </c>
    </row>
    <row r="26" spans="1:6" x14ac:dyDescent="0.25">
      <c r="A26" s="11">
        <v>18</v>
      </c>
      <c r="B26" s="18" t="s">
        <v>229</v>
      </c>
      <c r="C26" s="53">
        <v>-21288</v>
      </c>
      <c r="D26" s="55">
        <v>94429</v>
      </c>
      <c r="E26" s="33">
        <f t="shared" si="3"/>
        <v>73141</v>
      </c>
    </row>
    <row r="27" spans="1:6" x14ac:dyDescent="0.25">
      <c r="A27" s="11">
        <v>19</v>
      </c>
      <c r="B27" s="18" t="s">
        <v>13</v>
      </c>
      <c r="C27" s="53">
        <v>113727</v>
      </c>
      <c r="D27" s="121">
        <v>-7816</v>
      </c>
      <c r="E27" s="33">
        <f t="shared" si="3"/>
        <v>105911</v>
      </c>
    </row>
    <row r="28" spans="1:6" x14ac:dyDescent="0.25">
      <c r="A28" s="11">
        <v>20</v>
      </c>
      <c r="B28" s="90" t="s">
        <v>12</v>
      </c>
      <c r="C28" s="38">
        <f>SUM(C25:C27)</f>
        <v>92439</v>
      </c>
      <c r="D28" s="38">
        <f t="shared" ref="D28:E28" si="4">SUM(D25:D27)</f>
        <v>86613</v>
      </c>
      <c r="E28" s="44">
        <f t="shared" si="4"/>
        <v>179052</v>
      </c>
    </row>
    <row r="29" spans="1:6" x14ac:dyDescent="0.25">
      <c r="A29" s="11">
        <v>21</v>
      </c>
      <c r="B29" s="90" t="s">
        <v>23</v>
      </c>
      <c r="C29" s="38">
        <f>C23+C24-C28</f>
        <v>-39945</v>
      </c>
      <c r="D29" s="38">
        <f>D23+D24-D28</f>
        <v>175369</v>
      </c>
      <c r="E29" s="44">
        <f>E23+E24-E28</f>
        <v>135424</v>
      </c>
    </row>
    <row r="30" spans="1:6" x14ac:dyDescent="0.25">
      <c r="A30" s="11">
        <v>22</v>
      </c>
      <c r="B30" s="18" t="s">
        <v>15</v>
      </c>
      <c r="C30" s="53">
        <v>0</v>
      </c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>
        <v>0</v>
      </c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0</v>
      </c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>
        <v>0</v>
      </c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v>483</v>
      </c>
      <c r="D35" s="55"/>
      <c r="E35" s="33">
        <f>SUM(C35:D35)</f>
        <v>483</v>
      </c>
    </row>
    <row r="36" spans="1:5" x14ac:dyDescent="0.25">
      <c r="A36" s="11">
        <v>28</v>
      </c>
      <c r="B36" s="18" t="s">
        <v>20</v>
      </c>
      <c r="C36" s="53">
        <v>0</v>
      </c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>
        <v>0</v>
      </c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738834</v>
      </c>
      <c r="D38" s="70">
        <f>-1*(D29-D34)</f>
        <v>-175369</v>
      </c>
      <c r="E38" s="33">
        <f t="shared" si="7"/>
        <v>563465</v>
      </c>
    </row>
    <row r="39" spans="1:5" x14ac:dyDescent="0.25">
      <c r="A39" s="11">
        <v>31</v>
      </c>
      <c r="B39" s="90" t="s">
        <v>22</v>
      </c>
      <c r="C39" s="38">
        <f>C29-C34+C35+C36+C37+C38</f>
        <v>699372</v>
      </c>
      <c r="D39" s="38">
        <f t="shared" ref="D39:E39" si="8">D29-D34+D35+D36+D37+D38</f>
        <v>0</v>
      </c>
      <c r="E39" s="38">
        <f t="shared" si="8"/>
        <v>699372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4966838</v>
      </c>
      <c r="D41" s="55"/>
      <c r="E41" s="33">
        <f t="shared" ref="E41:E46" si="9">SUM(C41:D41)</f>
        <v>4966838</v>
      </c>
    </row>
    <row r="42" spans="1:5" x14ac:dyDescent="0.25">
      <c r="A42" s="11">
        <v>34</v>
      </c>
      <c r="B42" s="18" t="s">
        <v>26</v>
      </c>
      <c r="C42" s="53">
        <v>1</v>
      </c>
      <c r="D42" s="55"/>
      <c r="E42" s="33">
        <f t="shared" si="9"/>
        <v>1</v>
      </c>
    </row>
    <row r="43" spans="1:5" x14ac:dyDescent="0.25">
      <c r="A43" s="11">
        <v>35</v>
      </c>
      <c r="B43" s="18" t="s">
        <v>27</v>
      </c>
      <c r="C43" s="53">
        <v>1279000</v>
      </c>
      <c r="D43" s="55"/>
      <c r="E43" s="33">
        <f t="shared" si="9"/>
        <v>1279000</v>
      </c>
    </row>
    <row r="44" spans="1:5" x14ac:dyDescent="0.25">
      <c r="A44" s="11">
        <v>36</v>
      </c>
      <c r="B44" s="18" t="s">
        <v>28</v>
      </c>
      <c r="C44" s="53">
        <v>0</v>
      </c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0</v>
      </c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>
        <v>0</v>
      </c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4387211</v>
      </c>
      <c r="D47" s="65">
        <f t="shared" ref="D47:E47" si="10">(D39+D41+D42)-(D43+D44+D45+D46)</f>
        <v>0</v>
      </c>
      <c r="E47" s="44">
        <f t="shared" si="10"/>
        <v>4387211</v>
      </c>
    </row>
    <row r="48" spans="1:5" x14ac:dyDescent="0.25">
      <c r="A48" s="11">
        <v>40</v>
      </c>
      <c r="B48" s="18" t="s">
        <v>32</v>
      </c>
      <c r="C48" s="53">
        <v>0</v>
      </c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>
        <v>0</v>
      </c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>
        <v>0</v>
      </c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0.69122754626855165</v>
      </c>
      <c r="D53" s="47" t="e">
        <f>((D22+D28-D18-D19)/D15)</f>
        <v>#DIV/0!</v>
      </c>
      <c r="E53" s="47">
        <f>((E22+E28-E18-E19)/E15)</f>
        <v>0.6774206217805343</v>
      </c>
    </row>
    <row r="54" spans="1:7" x14ac:dyDescent="0.25">
      <c r="A54" s="11">
        <v>46</v>
      </c>
      <c r="B54" s="18" t="s">
        <v>37</v>
      </c>
      <c r="C54" s="47">
        <f>((C22+C28+C34)/C15)</f>
        <v>1.0135245493679064</v>
      </c>
      <c r="D54" s="47" t="e">
        <f>((D22+D28+D34)/D15)</f>
        <v>#DIV/0!</v>
      </c>
      <c r="E54" s="47">
        <f>((E22+E28+E34)/E15)</f>
        <v>0.97230658489299882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&amp;LEXHIBIT 4&amp;CPage &amp;P of &amp;N&amp;R7/29/2016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McDaniel Telephone Co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899696.56</v>
      </c>
      <c r="D9" s="42">
        <f>'CurrentYearIncomeStmt '!E9</f>
        <v>901130</v>
      </c>
    </row>
    <row r="10" spans="1:5" x14ac:dyDescent="0.25">
      <c r="A10" s="11">
        <v>2</v>
      </c>
      <c r="B10" s="18" t="s">
        <v>2</v>
      </c>
      <c r="C10" s="33">
        <f>PriorYearIncomeStmt!E10</f>
        <v>1801138.23</v>
      </c>
      <c r="D10" s="42">
        <f>'CurrentYearIncomeStmt '!E10</f>
        <v>1929639</v>
      </c>
    </row>
    <row r="11" spans="1:5" x14ac:dyDescent="0.25">
      <c r="A11" s="11">
        <v>3</v>
      </c>
      <c r="B11" s="18" t="s">
        <v>3</v>
      </c>
      <c r="C11" s="33">
        <f>PriorYearIncomeStmt!E11</f>
        <v>300.86</v>
      </c>
      <c r="D11" s="42">
        <f>'CurrentYearIncomeStmt '!E11</f>
        <v>32</v>
      </c>
    </row>
    <row r="12" spans="1:5" x14ac:dyDescent="0.25">
      <c r="A12" s="11">
        <v>4</v>
      </c>
      <c r="B12" s="18" t="s">
        <v>4</v>
      </c>
      <c r="C12" s="33">
        <f>PriorYearIncomeStmt!E12</f>
        <v>94590.18</v>
      </c>
      <c r="D12" s="42">
        <f>'CurrentYearIncomeStmt '!E12</f>
        <v>88368</v>
      </c>
    </row>
    <row r="13" spans="1:5" x14ac:dyDescent="0.25">
      <c r="A13" s="11">
        <v>5</v>
      </c>
      <c r="B13" s="18" t="s">
        <v>5</v>
      </c>
      <c r="C13" s="33">
        <f>PriorYearIncomeStmt!E13</f>
        <v>44626.67</v>
      </c>
      <c r="D13" s="42">
        <f>'CurrentYearIncomeStmt '!E13</f>
        <v>42458</v>
      </c>
    </row>
    <row r="14" spans="1:5" x14ac:dyDescent="0.25">
      <c r="A14" s="11">
        <v>6</v>
      </c>
      <c r="B14" s="18" t="s">
        <v>152</v>
      </c>
      <c r="C14" s="33">
        <f>PriorYearIncomeStmt!E14</f>
        <v>-4062.58</v>
      </c>
      <c r="D14" s="42">
        <f>'CurrentYearIncomeStmt '!E14</f>
        <v>-8109</v>
      </c>
    </row>
    <row r="15" spans="1:5" x14ac:dyDescent="0.25">
      <c r="A15" s="11">
        <v>7</v>
      </c>
      <c r="B15" s="90" t="s">
        <v>151</v>
      </c>
      <c r="C15" s="41">
        <f>SUM(C9:C14)</f>
        <v>2836289.92</v>
      </c>
      <c r="D15" s="43">
        <f t="shared" ref="D15" si="0">SUM(D9:D14)</f>
        <v>2953518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530659.68999999994</v>
      </c>
      <c r="D16" s="42">
        <f>'CurrentYearIncomeStmt '!E16</f>
        <v>531255</v>
      </c>
    </row>
    <row r="17" spans="1:5" x14ac:dyDescent="0.25">
      <c r="A17" s="11">
        <v>9</v>
      </c>
      <c r="B17" s="18" t="s">
        <v>40</v>
      </c>
      <c r="C17" s="33">
        <f>PriorYearIncomeStmt!E17</f>
        <v>360612.38</v>
      </c>
      <c r="D17" s="42">
        <f>'CurrentYearIncomeStmt '!E17</f>
        <v>375790</v>
      </c>
    </row>
    <row r="18" spans="1:5" x14ac:dyDescent="0.25">
      <c r="A18" s="11">
        <v>10</v>
      </c>
      <c r="B18" s="18" t="s">
        <v>7</v>
      </c>
      <c r="C18" s="33">
        <f>PriorYearIncomeStmt!E18</f>
        <v>801306.49</v>
      </c>
      <c r="D18" s="42">
        <f>'CurrentYearIncomeStmt '!E18</f>
        <v>817172</v>
      </c>
    </row>
    <row r="19" spans="1:5" x14ac:dyDescent="0.25">
      <c r="A19" s="11">
        <v>11</v>
      </c>
      <c r="B19" s="18" t="s">
        <v>8</v>
      </c>
      <c r="C19" s="33">
        <f>PriorYearIncomeStmt!E19</f>
        <v>52026.92</v>
      </c>
      <c r="D19" s="42">
        <f>'CurrentYearIncomeStmt '!E19</f>
        <v>53779</v>
      </c>
    </row>
    <row r="20" spans="1:5" x14ac:dyDescent="0.25">
      <c r="A20" s="11">
        <v>12</v>
      </c>
      <c r="B20" s="18" t="s">
        <v>9</v>
      </c>
      <c r="C20" s="33">
        <f>PriorYearIncomeStmt!E20</f>
        <v>292511.08</v>
      </c>
      <c r="D20" s="42">
        <f>'CurrentYearIncomeStmt '!E20</f>
        <v>296725</v>
      </c>
    </row>
    <row r="21" spans="1:5" x14ac:dyDescent="0.25">
      <c r="A21" s="11">
        <v>13</v>
      </c>
      <c r="B21" s="18" t="s">
        <v>10</v>
      </c>
      <c r="C21" s="33">
        <f>PriorYearIncomeStmt!E21</f>
        <v>570597.69999999995</v>
      </c>
      <c r="D21" s="42">
        <f>'CurrentYearIncomeStmt '!E21</f>
        <v>617952</v>
      </c>
    </row>
    <row r="22" spans="1:5" x14ac:dyDescent="0.25">
      <c r="A22" s="11">
        <v>14</v>
      </c>
      <c r="B22" s="90" t="s">
        <v>150</v>
      </c>
      <c r="C22" s="41">
        <f>C16+C17+C18+C19+C20+C21</f>
        <v>2607714.2599999998</v>
      </c>
      <c r="D22" s="43">
        <f>D16+D17+D18+D19+D20+D21</f>
        <v>2692673</v>
      </c>
      <c r="E22" s="1"/>
    </row>
    <row r="23" spans="1:5" x14ac:dyDescent="0.25">
      <c r="A23" s="11">
        <v>15</v>
      </c>
      <c r="B23" s="18" t="s">
        <v>14</v>
      </c>
      <c r="C23" s="33">
        <f>C15-C22</f>
        <v>228575.66000000015</v>
      </c>
      <c r="D23" s="42">
        <f>D15-D22</f>
        <v>260845</v>
      </c>
    </row>
    <row r="24" spans="1:5" x14ac:dyDescent="0.25">
      <c r="A24" s="11">
        <v>16</v>
      </c>
      <c r="B24" s="18" t="s">
        <v>153</v>
      </c>
      <c r="C24" s="33">
        <f>PriorYearIncomeStmt!E24</f>
        <v>52940</v>
      </c>
      <c r="D24" s="42">
        <f>'CurrentYearIncomeStmt '!E24</f>
        <v>53631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214</v>
      </c>
      <c r="C26" s="33">
        <f>PriorYearIncomeStmt!E26</f>
        <v>65736.850000000006</v>
      </c>
      <c r="D26" s="42">
        <f>'CurrentYearIncomeStmt '!E26</f>
        <v>73141</v>
      </c>
    </row>
    <row r="27" spans="1:5" x14ac:dyDescent="0.25">
      <c r="A27" s="11">
        <v>19</v>
      </c>
      <c r="B27" s="18" t="s">
        <v>13</v>
      </c>
      <c r="C27" s="33">
        <f>PriorYearIncomeStmt!E27</f>
        <v>93703.88</v>
      </c>
      <c r="D27" s="42">
        <f>'CurrentYearIncomeStmt '!E27</f>
        <v>105911</v>
      </c>
    </row>
    <row r="28" spans="1:5" x14ac:dyDescent="0.25">
      <c r="A28" s="11">
        <v>20</v>
      </c>
      <c r="B28" s="90" t="s">
        <v>12</v>
      </c>
      <c r="C28" s="38">
        <f>SUM(C25:C27)</f>
        <v>159440.73000000001</v>
      </c>
      <c r="D28" s="44">
        <f t="shared" ref="D28" si="1">SUM(D25:D27)</f>
        <v>179052</v>
      </c>
    </row>
    <row r="29" spans="1:5" x14ac:dyDescent="0.25">
      <c r="A29" s="11">
        <v>21</v>
      </c>
      <c r="B29" s="90" t="s">
        <v>23</v>
      </c>
      <c r="C29" s="38">
        <f>C23+C24-C28</f>
        <v>122074.93000000014</v>
      </c>
      <c r="D29" s="44">
        <f>D23+D24-D28</f>
        <v>135424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4226.1000000000004</v>
      </c>
      <c r="D35" s="42">
        <f>'CurrentYearIncomeStmt '!E35</f>
        <v>483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499581.95999999996</v>
      </c>
      <c r="D38" s="42">
        <f>'CurrentYearIncomeStmt '!E38</f>
        <v>563465</v>
      </c>
    </row>
    <row r="39" spans="1:4" x14ac:dyDescent="0.25">
      <c r="A39" s="11">
        <v>31</v>
      </c>
      <c r="B39" s="90" t="s">
        <v>22</v>
      </c>
      <c r="C39" s="38">
        <f>C29-C34+C35+C36+C37+C38</f>
        <v>625882.99000000011</v>
      </c>
      <c r="D39" s="44">
        <f t="shared" ref="D39" si="3">D29-D34+D35+D36+D37+D38</f>
        <v>699372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10064955.039999999</v>
      </c>
      <c r="D41" s="42">
        <f>'CurrentYearIncomeStmt '!E41</f>
        <v>4966838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1</v>
      </c>
    </row>
    <row r="43" spans="1:4" x14ac:dyDescent="0.25">
      <c r="A43" s="11">
        <v>35</v>
      </c>
      <c r="B43" s="18" t="s">
        <v>27</v>
      </c>
      <c r="C43" s="33">
        <f>PriorYearIncomeStmt!E43</f>
        <v>5724000</v>
      </c>
      <c r="D43" s="42">
        <f>'CurrentYearIncomeStmt '!E43</f>
        <v>1279000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4966838.0299999993</v>
      </c>
      <c r="D47" s="44">
        <f t="shared" ref="D47" si="4">(D39+D41+D42)-(D43+D44+D45+D46)</f>
        <v>4387211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0.67476232472031628</v>
      </c>
      <c r="D53" s="50">
        <f>((D22+D28-D18-D19)/D15)</f>
        <v>0.6774206217805343</v>
      </c>
    </row>
    <row r="54" spans="1:8" x14ac:dyDescent="0.25">
      <c r="A54" s="11">
        <v>46</v>
      </c>
      <c r="B54" s="18" t="s">
        <v>37</v>
      </c>
      <c r="C54" s="50">
        <f>((C22+C28+C34)/C15)</f>
        <v>0.97562487194538983</v>
      </c>
      <c r="D54" s="50">
        <f>((D22+D28+D34)/D15)</f>
        <v>0.97230658489299882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&amp;LEXHIBIT 4&amp;CPage &amp;P of &amp;N&amp;R7/29/2016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D988C864D464AA150F9BBB104D61F" ma:contentTypeVersion="96" ma:contentTypeDescription="" ma:contentTypeScope="" ma:versionID="7a8f701cdc8ee2cd4fe2c43284af7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DocketNumber xmlns="dc463f71-b30c-4ab2-9473-d307f9d35888">160957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FC7BAD-057F-425A-89F6-187024D9F5B6}"/>
</file>

<file path=customXml/itemProps2.xml><?xml version="1.0" encoding="utf-8"?>
<ds:datastoreItem xmlns:ds="http://schemas.openxmlformats.org/officeDocument/2006/customXml" ds:itemID="{9305F84D-2DEF-41FE-BD19-E5ECCD7A57F0}"/>
</file>

<file path=customXml/itemProps3.xml><?xml version="1.0" encoding="utf-8"?>
<ds:datastoreItem xmlns:ds="http://schemas.openxmlformats.org/officeDocument/2006/customXml" ds:itemID="{1082F29B-4081-489B-8A7A-EF54DDA424B8}"/>
</file>

<file path=customXml/itemProps4.xml><?xml version="1.0" encoding="utf-8"?>
<ds:datastoreItem xmlns:ds="http://schemas.openxmlformats.org/officeDocument/2006/customXml" ds:itemID="{5CBD2B6E-630E-45EB-BEAF-1B91F904FB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2016-07-28T20:44:33Z</cp:lastPrinted>
  <dcterms:created xsi:type="dcterms:W3CDTF">2014-05-21T17:51:51Z</dcterms:created>
  <dcterms:modified xsi:type="dcterms:W3CDTF">2016-07-28T20:44:57Z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0x0101006E56B4D1795A2E4DB2F0B01679ED314A00BADD988C864D464AA150F9BBB104D61F</vt:lpwstr>
  </property>
  <property fmtid="{D5CDD505-2E9C-101B-9397-08002B2CF9AE}" pid="3" name="_docset_NoMedatataSyncRequired">
    <vt:lpwstr>False</vt:lpwstr>
  </property>
</Properties>
</file>