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8800" windowHeight="11775"/>
  </bookViews>
  <sheets>
    <sheet name="Rate Adjustment Summary" sheetId="1" r:id="rId1"/>
    <sheet name="4172 Tonnage" sheetId="2" r:id="rId2"/>
    <sheet name="Wage Summary" sheetId="5" r:id="rId3"/>
    <sheet name="Wage Details" sheetId="4" r:id="rId4"/>
    <sheet name="MRF Tonnage" sheetId="6" r:id="rId5"/>
  </sheets>
  <externalReferences>
    <externalReference r:id="rId6"/>
  </externalReferences>
  <definedNames>
    <definedName name="_xlnm.Print_Area" localSheetId="1">'4172 Tonnage'!$A$1:$R$167</definedName>
    <definedName name="_xlnm.Print_Area" localSheetId="3">'Wage Details'!$A$1:$N$58</definedName>
  </definedNames>
  <calcPr calcId="145621"/>
</workbook>
</file>

<file path=xl/calcChain.xml><?xml version="1.0" encoding="utf-8"?>
<calcChain xmlns="http://schemas.openxmlformats.org/spreadsheetml/2006/main">
  <c r="H37" i="1" l="1"/>
  <c r="H36" i="1"/>
  <c r="B24" i="1" l="1"/>
  <c r="M11" i="5" l="1"/>
  <c r="M7" i="5"/>
  <c r="D5" i="1" l="1"/>
  <c r="G14" i="1" s="1"/>
  <c r="C38" i="5"/>
  <c r="I21" i="5"/>
  <c r="G8" i="5"/>
  <c r="G7" i="5"/>
  <c r="B5" i="1" l="1"/>
  <c r="F14" i="1" s="1"/>
  <c r="M13" i="5" l="1"/>
  <c r="M12" i="5"/>
  <c r="G11" i="5"/>
  <c r="M9" i="5"/>
  <c r="M8" i="5"/>
  <c r="R25" i="4"/>
  <c r="P25" i="4"/>
  <c r="R21" i="4"/>
  <c r="P21" i="4"/>
  <c r="C15" i="5" l="1"/>
  <c r="C21" i="5"/>
  <c r="E21" i="5" s="1"/>
  <c r="E14" i="1"/>
  <c r="E15" i="5"/>
  <c r="C32" i="5"/>
  <c r="E7" i="5"/>
  <c r="G37" i="5" l="1"/>
  <c r="G31" i="5"/>
  <c r="G12" i="5"/>
  <c r="G9" i="5"/>
  <c r="H22" i="1" l="1"/>
  <c r="N134" i="2"/>
  <c r="H123" i="2"/>
  <c r="H154" i="2" s="1"/>
  <c r="Q110" i="2"/>
  <c r="P110" i="2"/>
  <c r="O110" i="2"/>
  <c r="N110" i="2"/>
  <c r="M110" i="2"/>
  <c r="L110" i="2"/>
  <c r="K110" i="2"/>
  <c r="J110" i="2"/>
  <c r="I110" i="2"/>
  <c r="H110" i="2"/>
  <c r="G110" i="2"/>
  <c r="F110" i="2"/>
  <c r="F103" i="2"/>
  <c r="R98" i="2"/>
  <c r="R97" i="2"/>
  <c r="Q94" i="2"/>
  <c r="P94" i="2"/>
  <c r="O94" i="2"/>
  <c r="N94" i="2"/>
  <c r="M94" i="2"/>
  <c r="L94" i="2"/>
  <c r="K94" i="2"/>
  <c r="J94" i="2"/>
  <c r="I94" i="2"/>
  <c r="H94" i="2"/>
  <c r="G94" i="2"/>
  <c r="F94" i="2"/>
  <c r="Q93" i="2"/>
  <c r="Q134" i="2" s="1"/>
  <c r="P93" i="2"/>
  <c r="O93" i="2"/>
  <c r="N93" i="2"/>
  <c r="M93" i="2"/>
  <c r="M134" i="2" s="1"/>
  <c r="L93" i="2"/>
  <c r="K93" i="2"/>
  <c r="J93" i="2"/>
  <c r="J134" i="2" s="1"/>
  <c r="I93" i="2"/>
  <c r="I134" i="2" s="1"/>
  <c r="H93" i="2"/>
  <c r="G93" i="2"/>
  <c r="F93" i="2"/>
  <c r="F90" i="2"/>
  <c r="F89" i="2"/>
  <c r="R84" i="2"/>
  <c r="Q83" i="2"/>
  <c r="P83" i="2"/>
  <c r="O83" i="2"/>
  <c r="N83" i="2"/>
  <c r="M83" i="2"/>
  <c r="L83" i="2"/>
  <c r="K83" i="2"/>
  <c r="J83" i="2"/>
  <c r="I83" i="2"/>
  <c r="H83" i="2"/>
  <c r="G83" i="2"/>
  <c r="F83" i="2"/>
  <c r="R82" i="2"/>
  <c r="F81" i="2"/>
  <c r="H80" i="2"/>
  <c r="G80" i="2"/>
  <c r="Q71" i="2"/>
  <c r="Q72" i="2" s="1"/>
  <c r="I71" i="2"/>
  <c r="I72" i="2" s="1"/>
  <c r="P67" i="2"/>
  <c r="H67" i="2"/>
  <c r="M66" i="2"/>
  <c r="M65" i="2"/>
  <c r="J65" i="2"/>
  <c r="L61" i="2"/>
  <c r="Q60" i="2"/>
  <c r="L60" i="2"/>
  <c r="I60" i="2"/>
  <c r="K55" i="2"/>
  <c r="P54" i="2"/>
  <c r="K54" i="2"/>
  <c r="G54" i="2"/>
  <c r="Q51" i="2"/>
  <c r="M51" i="2"/>
  <c r="I51" i="2"/>
  <c r="P51" i="2"/>
  <c r="O49" i="2"/>
  <c r="O147" i="2" s="1"/>
  <c r="L51" i="2"/>
  <c r="K49" i="2"/>
  <c r="K147" i="2" s="1"/>
  <c r="H51" i="2"/>
  <c r="G49" i="2"/>
  <c r="G147" i="2" s="1"/>
  <c r="Q49" i="2"/>
  <c r="Q147" i="2" s="1"/>
  <c r="P49" i="2"/>
  <c r="P147" i="2" s="1"/>
  <c r="M49" i="2"/>
  <c r="M147" i="2" s="1"/>
  <c r="L49" i="2"/>
  <c r="L147" i="2" s="1"/>
  <c r="I49" i="2"/>
  <c r="I147" i="2" s="1"/>
  <c r="H49" i="2"/>
  <c r="H147" i="2" s="1"/>
  <c r="O71" i="2"/>
  <c r="O72" i="2" s="1"/>
  <c r="F146" i="2"/>
  <c r="Q45" i="2"/>
  <c r="Q46" i="2" s="1"/>
  <c r="M45" i="2"/>
  <c r="M46" i="2" s="1"/>
  <c r="I45" i="2"/>
  <c r="I46" i="2" s="1"/>
  <c r="Q55" i="2"/>
  <c r="P55" i="2"/>
  <c r="O43" i="2"/>
  <c r="O140" i="2" s="1"/>
  <c r="M55" i="2"/>
  <c r="L55" i="2"/>
  <c r="K43" i="2"/>
  <c r="K140" i="2" s="1"/>
  <c r="I55" i="2"/>
  <c r="H55" i="2"/>
  <c r="G43" i="2"/>
  <c r="G140" i="2" s="1"/>
  <c r="Q43" i="2"/>
  <c r="Q140" i="2" s="1"/>
  <c r="P43" i="2"/>
  <c r="P140" i="2" s="1"/>
  <c r="M43" i="2"/>
  <c r="M140" i="2" s="1"/>
  <c r="L43" i="2"/>
  <c r="L140" i="2" s="1"/>
  <c r="I43" i="2"/>
  <c r="I140" i="2" s="1"/>
  <c r="H43" i="2"/>
  <c r="H140" i="2" s="1"/>
  <c r="P139" i="2"/>
  <c r="O139" i="2"/>
  <c r="L139" i="2"/>
  <c r="K139" i="2"/>
  <c r="H139" i="2"/>
  <c r="G67" i="2"/>
  <c r="O41" i="2"/>
  <c r="K41" i="2"/>
  <c r="G41" i="2"/>
  <c r="Q39" i="2"/>
  <c r="M39" i="2"/>
  <c r="I39" i="2"/>
  <c r="I135" i="2" s="1"/>
  <c r="O39" i="2"/>
  <c r="O135" i="2" s="1"/>
  <c r="N39" i="2"/>
  <c r="N135" i="2" s="1"/>
  <c r="K39" i="2"/>
  <c r="K135" i="2" s="1"/>
  <c r="J39" i="2"/>
  <c r="J135" i="2" s="1"/>
  <c r="G39" i="2"/>
  <c r="G135" i="2" s="1"/>
  <c r="F39" i="2"/>
  <c r="F135" i="2" s="1"/>
  <c r="N66" i="2"/>
  <c r="J66" i="2"/>
  <c r="P45" i="2"/>
  <c r="P46" i="2" s="1"/>
  <c r="O35" i="2"/>
  <c r="L45" i="2"/>
  <c r="L46" i="2" s="1"/>
  <c r="K35" i="2"/>
  <c r="H45" i="2"/>
  <c r="H46" i="2" s="1"/>
  <c r="G35" i="2"/>
  <c r="Q35" i="2"/>
  <c r="P35" i="2"/>
  <c r="M35" i="2"/>
  <c r="L35" i="2"/>
  <c r="I35" i="2"/>
  <c r="H35" i="2"/>
  <c r="Q65" i="2"/>
  <c r="L30" i="2"/>
  <c r="L31" i="2" s="1"/>
  <c r="O54" i="2"/>
  <c r="N54" i="2"/>
  <c r="J54" i="2"/>
  <c r="F54" i="2"/>
  <c r="N28" i="2"/>
  <c r="N124" i="2" s="1"/>
  <c r="J28" i="2"/>
  <c r="J124" i="2" s="1"/>
  <c r="F28" i="2"/>
  <c r="F124" i="2" s="1"/>
  <c r="P123" i="2"/>
  <c r="P154" i="2" s="1"/>
  <c r="L123" i="2"/>
  <c r="L154" i="2" s="1"/>
  <c r="H61" i="2"/>
  <c r="Q30" i="2"/>
  <c r="Q31" i="2" s="1"/>
  <c r="P24" i="2"/>
  <c r="O30" i="2"/>
  <c r="O31" i="2" s="1"/>
  <c r="N30" i="2"/>
  <c r="M30" i="2"/>
  <c r="M31" i="2" s="1"/>
  <c r="L24" i="2"/>
  <c r="L53" i="2" s="1"/>
  <c r="K30" i="2"/>
  <c r="K31" i="2" s="1"/>
  <c r="J30" i="2"/>
  <c r="I30" i="2"/>
  <c r="I31" i="2" s="1"/>
  <c r="H24" i="2"/>
  <c r="G30" i="2"/>
  <c r="G31" i="2" s="1"/>
  <c r="F30" i="2"/>
  <c r="Q24" i="2"/>
  <c r="M24" i="2"/>
  <c r="I24" i="2"/>
  <c r="O24" i="2"/>
  <c r="M60" i="2"/>
  <c r="K60" i="2"/>
  <c r="G24" i="2"/>
  <c r="Q17" i="2"/>
  <c r="M17" i="2"/>
  <c r="I17" i="2"/>
  <c r="R16" i="2"/>
  <c r="Q37" i="2"/>
  <c r="M37" i="2"/>
  <c r="I37" i="2"/>
  <c r="R14" i="2"/>
  <c r="P17" i="2"/>
  <c r="O17" i="2"/>
  <c r="N17" i="2"/>
  <c r="L17" i="2"/>
  <c r="K17" i="2"/>
  <c r="J17" i="2"/>
  <c r="H17" i="2"/>
  <c r="G17" i="2"/>
  <c r="F17" i="2"/>
  <c r="G7" i="2"/>
  <c r="H7" i="2" s="1"/>
  <c r="I7" i="2" s="1"/>
  <c r="J7" i="2" s="1"/>
  <c r="K7" i="2" s="1"/>
  <c r="L7" i="2" s="1"/>
  <c r="M7" i="2" s="1"/>
  <c r="N7" i="2" s="1"/>
  <c r="O7" i="2" s="1"/>
  <c r="P7" i="2" s="1"/>
  <c r="Q7" i="2" s="1"/>
  <c r="A3" i="2" s="1"/>
  <c r="A1" i="2"/>
  <c r="M135" i="2" l="1"/>
  <c r="R93" i="2"/>
  <c r="Q135" i="2"/>
  <c r="R83" i="2"/>
  <c r="I53" i="2"/>
  <c r="G123" i="2"/>
  <c r="G154" i="2" s="1"/>
  <c r="G28" i="2"/>
  <c r="G61" i="2"/>
  <c r="K61" i="2"/>
  <c r="K62" i="2" s="1"/>
  <c r="K123" i="2"/>
  <c r="K154" i="2" s="1"/>
  <c r="K28" i="2"/>
  <c r="K124" i="2" s="1"/>
  <c r="O123" i="2"/>
  <c r="O154" i="2" s="1"/>
  <c r="O61" i="2"/>
  <c r="O28" i="2"/>
  <c r="O124" i="2" s="1"/>
  <c r="F37" i="2"/>
  <c r="F35" i="2"/>
  <c r="F45" i="2"/>
  <c r="F46" i="2" s="1"/>
  <c r="J45" i="2"/>
  <c r="J46" i="2" s="1"/>
  <c r="J35" i="2"/>
  <c r="J37" i="2"/>
  <c r="N37" i="2"/>
  <c r="N35" i="2"/>
  <c r="N45" i="2"/>
  <c r="N46" i="2" s="1"/>
  <c r="F164" i="2"/>
  <c r="F165" i="2" s="1"/>
  <c r="J71" i="2"/>
  <c r="J72" i="2" s="1"/>
  <c r="R48" i="2"/>
  <c r="R12" i="2"/>
  <c r="R15" i="2"/>
  <c r="M53" i="2"/>
  <c r="P30" i="2"/>
  <c r="P31" i="2" s="1"/>
  <c r="F129" i="2"/>
  <c r="F65" i="2"/>
  <c r="N65" i="2"/>
  <c r="R34" i="2"/>
  <c r="H54" i="2"/>
  <c r="H39" i="2"/>
  <c r="H135" i="2" s="1"/>
  <c r="H41" i="2"/>
  <c r="L39" i="2"/>
  <c r="L135" i="2" s="1"/>
  <c r="L54" i="2"/>
  <c r="L56" i="2" s="1"/>
  <c r="L18" i="2" s="1"/>
  <c r="L19" i="2" s="1"/>
  <c r="L41" i="2"/>
  <c r="P41" i="2"/>
  <c r="P39" i="2"/>
  <c r="P135" i="2" s="1"/>
  <c r="F43" i="2"/>
  <c r="F55" i="2"/>
  <c r="J55" i="2"/>
  <c r="J43" i="2"/>
  <c r="J140" i="2" s="1"/>
  <c r="N55" i="2"/>
  <c r="N43" i="2"/>
  <c r="N140" i="2" s="1"/>
  <c r="P53" i="2"/>
  <c r="P56" i="2" s="1"/>
  <c r="P18" i="2" s="1"/>
  <c r="P19" i="2" s="1"/>
  <c r="F71" i="2"/>
  <c r="F72" i="2" s="1"/>
  <c r="H90" i="2"/>
  <c r="H81" i="2"/>
  <c r="H122" i="2" s="1"/>
  <c r="I80" i="2"/>
  <c r="H103" i="2"/>
  <c r="H146" i="2" s="1"/>
  <c r="H89" i="2"/>
  <c r="H129" i="2" s="1"/>
  <c r="R13" i="2"/>
  <c r="I121" i="2"/>
  <c r="Q53" i="2"/>
  <c r="I28" i="2"/>
  <c r="I124" i="2" s="1"/>
  <c r="I54" i="2"/>
  <c r="M28" i="2"/>
  <c r="M124" i="2" s="1"/>
  <c r="M54" i="2"/>
  <c r="Q54" i="2"/>
  <c r="Q28" i="2"/>
  <c r="Q124" i="2" s="1"/>
  <c r="H130" i="2"/>
  <c r="H134" i="2"/>
  <c r="H66" i="2"/>
  <c r="L134" i="2"/>
  <c r="L66" i="2"/>
  <c r="P134" i="2"/>
  <c r="P66" i="2"/>
  <c r="F139" i="2"/>
  <c r="F67" i="2"/>
  <c r="J139" i="2"/>
  <c r="J67" i="2"/>
  <c r="J68" i="2" s="1"/>
  <c r="N139" i="2"/>
  <c r="N67" i="2"/>
  <c r="R42" i="2"/>
  <c r="F121" i="2"/>
  <c r="F60" i="2"/>
  <c r="F24" i="2"/>
  <c r="J60" i="2"/>
  <c r="J24" i="2"/>
  <c r="N60" i="2"/>
  <c r="N24" i="2"/>
  <c r="R23" i="2"/>
  <c r="F31" i="2"/>
  <c r="J31" i="2"/>
  <c r="N31" i="2"/>
  <c r="H30" i="2"/>
  <c r="H31" i="2" s="1"/>
  <c r="F41" i="2"/>
  <c r="J41" i="2"/>
  <c r="N41" i="2"/>
  <c r="F51" i="2"/>
  <c r="F49" i="2"/>
  <c r="J49" i="2"/>
  <c r="J147" i="2" s="1"/>
  <c r="J51" i="2"/>
  <c r="N49" i="2"/>
  <c r="N147" i="2" s="1"/>
  <c r="N51" i="2"/>
  <c r="H53" i="2"/>
  <c r="N71" i="2"/>
  <c r="N72" i="2" s="1"/>
  <c r="J159" i="2"/>
  <c r="J136" i="2"/>
  <c r="G65" i="2"/>
  <c r="G68" i="2" s="1"/>
  <c r="O65" i="2"/>
  <c r="I159" i="2"/>
  <c r="I136" i="2"/>
  <c r="Q159" i="2"/>
  <c r="Q136" i="2"/>
  <c r="K141" i="2"/>
  <c r="G71" i="2"/>
  <c r="G72" i="2" s="1"/>
  <c r="K71" i="2"/>
  <c r="K72" i="2" s="1"/>
  <c r="K67" i="2"/>
  <c r="G139" i="2"/>
  <c r="H121" i="2"/>
  <c r="K24" i="2"/>
  <c r="K53" i="2" s="1"/>
  <c r="K56" i="2" s="1"/>
  <c r="K18" i="2" s="1"/>
  <c r="K19" i="2" s="1"/>
  <c r="R25" i="2"/>
  <c r="I123" i="2"/>
  <c r="I154" i="2" s="1"/>
  <c r="I61" i="2"/>
  <c r="I62" i="2" s="1"/>
  <c r="M123" i="2"/>
  <c r="M154" i="2" s="1"/>
  <c r="M61" i="2"/>
  <c r="M62" i="2" s="1"/>
  <c r="Q123" i="2"/>
  <c r="Q154" i="2" s="1"/>
  <c r="Q61" i="2"/>
  <c r="Q62" i="2" s="1"/>
  <c r="H28" i="2"/>
  <c r="H124" i="2" s="1"/>
  <c r="L28" i="2"/>
  <c r="L124" i="2" s="1"/>
  <c r="P28" i="2"/>
  <c r="P124" i="2" s="1"/>
  <c r="H65" i="2"/>
  <c r="L65" i="2"/>
  <c r="P65" i="2"/>
  <c r="P68" i="2" s="1"/>
  <c r="G37" i="2"/>
  <c r="K37" i="2"/>
  <c r="O37" i="2"/>
  <c r="F134" i="2"/>
  <c r="F66" i="2"/>
  <c r="R38" i="2"/>
  <c r="I41" i="2"/>
  <c r="M41" i="2"/>
  <c r="Q41" i="2"/>
  <c r="H160" i="2"/>
  <c r="H141" i="2"/>
  <c r="L160" i="2"/>
  <c r="L141" i="2"/>
  <c r="P160" i="2"/>
  <c r="P141" i="2"/>
  <c r="G45" i="2"/>
  <c r="G46" i="2" s="1"/>
  <c r="K45" i="2"/>
  <c r="K46" i="2" s="1"/>
  <c r="O45" i="2"/>
  <c r="O46" i="2" s="1"/>
  <c r="H71" i="2"/>
  <c r="H72" i="2" s="1"/>
  <c r="L71" i="2"/>
  <c r="L72" i="2" s="1"/>
  <c r="P71" i="2"/>
  <c r="P72" i="2" s="1"/>
  <c r="G51" i="2"/>
  <c r="K51" i="2"/>
  <c r="O51" i="2"/>
  <c r="G55" i="2"/>
  <c r="O55" i="2"/>
  <c r="P61" i="2"/>
  <c r="I66" i="2"/>
  <c r="Q66" i="2"/>
  <c r="L67" i="2"/>
  <c r="R110" i="2"/>
  <c r="G121" i="2"/>
  <c r="G60" i="2"/>
  <c r="G62" i="2" s="1"/>
  <c r="O60" i="2"/>
  <c r="R29" i="2"/>
  <c r="K65" i="2"/>
  <c r="M159" i="2"/>
  <c r="M136" i="2"/>
  <c r="O141" i="2"/>
  <c r="O160" i="2"/>
  <c r="L62" i="2"/>
  <c r="M68" i="2"/>
  <c r="N159" i="2"/>
  <c r="N136" i="2"/>
  <c r="K160" i="2"/>
  <c r="F123" i="2"/>
  <c r="F61" i="2"/>
  <c r="J123" i="2"/>
  <c r="J154" i="2" s="1"/>
  <c r="J61" i="2"/>
  <c r="N61" i="2"/>
  <c r="N123" i="2"/>
  <c r="N154" i="2" s="1"/>
  <c r="R27" i="2"/>
  <c r="R61" i="2" s="1"/>
  <c r="H37" i="2"/>
  <c r="L37" i="2"/>
  <c r="P37" i="2"/>
  <c r="G134" i="2"/>
  <c r="G66" i="2"/>
  <c r="K134" i="2"/>
  <c r="K66" i="2"/>
  <c r="O134" i="2"/>
  <c r="O66" i="2"/>
  <c r="I139" i="2"/>
  <c r="I67" i="2"/>
  <c r="M139" i="2"/>
  <c r="M67" i="2"/>
  <c r="Q139" i="2"/>
  <c r="Q67" i="2"/>
  <c r="G53" i="2"/>
  <c r="O53" i="2"/>
  <c r="H60" i="2"/>
  <c r="H62" i="2" s="1"/>
  <c r="P60" i="2"/>
  <c r="P62" i="2" s="1"/>
  <c r="I65" i="2"/>
  <c r="O67" i="2"/>
  <c r="M71" i="2"/>
  <c r="M72" i="2" s="1"/>
  <c r="G89" i="2"/>
  <c r="G81" i="2"/>
  <c r="G122" i="2" s="1"/>
  <c r="G103" i="2"/>
  <c r="G146" i="2" s="1"/>
  <c r="G90" i="2"/>
  <c r="R94" i="2"/>
  <c r="R104" i="2"/>
  <c r="F62" i="2" l="1"/>
  <c r="P74" i="2"/>
  <c r="M74" i="2"/>
  <c r="G56" i="2"/>
  <c r="G18" i="2" s="1"/>
  <c r="G19" i="2" s="1"/>
  <c r="Q68" i="2"/>
  <c r="Q74" i="2" s="1"/>
  <c r="L68" i="2"/>
  <c r="H56" i="2"/>
  <c r="H18" i="2" s="1"/>
  <c r="H19" i="2" s="1"/>
  <c r="Q56" i="2"/>
  <c r="Q18" i="2" s="1"/>
  <c r="Q19" i="2" s="1"/>
  <c r="R135" i="2"/>
  <c r="H68" i="2"/>
  <c r="H74" i="2" s="1"/>
  <c r="I56" i="2"/>
  <c r="I18" i="2" s="1"/>
  <c r="I19" i="2" s="1"/>
  <c r="R30" i="2"/>
  <c r="R31" i="2" s="1"/>
  <c r="N62" i="2"/>
  <c r="G164" i="2"/>
  <c r="G165" i="2" s="1"/>
  <c r="G148" i="2"/>
  <c r="G115" i="2" s="1"/>
  <c r="H131" i="2"/>
  <c r="H158" i="2"/>
  <c r="J62" i="2"/>
  <c r="J74" i="2" s="1"/>
  <c r="F160" i="2"/>
  <c r="R139" i="2"/>
  <c r="G130" i="2"/>
  <c r="Q160" i="2"/>
  <c r="Q141" i="2"/>
  <c r="K159" i="2"/>
  <c r="K136" i="2"/>
  <c r="L74" i="2"/>
  <c r="R60" i="2"/>
  <c r="R62" i="2" s="1"/>
  <c r="F153" i="2"/>
  <c r="L136" i="2"/>
  <c r="L159" i="2"/>
  <c r="F140" i="2"/>
  <c r="R140" i="2" s="1"/>
  <c r="R43" i="2"/>
  <c r="F68" i="2"/>
  <c r="F74" i="2" s="1"/>
  <c r="O56" i="2"/>
  <c r="O18" i="2" s="1"/>
  <c r="O19" i="2" s="1"/>
  <c r="G153" i="2"/>
  <c r="G155" i="2" s="1"/>
  <c r="F159" i="2"/>
  <c r="F136" i="2"/>
  <c r="R134" i="2"/>
  <c r="G141" i="2"/>
  <c r="G160" i="2"/>
  <c r="O68" i="2"/>
  <c r="R49" i="2"/>
  <c r="R50" i="2" s="1"/>
  <c r="S48" i="2" s="1"/>
  <c r="F147" i="2"/>
  <c r="J53" i="2"/>
  <c r="J56" i="2" s="1"/>
  <c r="J18" i="2" s="1"/>
  <c r="J19" i="2" s="1"/>
  <c r="R24" i="2"/>
  <c r="F122" i="2"/>
  <c r="F125" i="2" s="1"/>
  <c r="F113" i="2" s="1"/>
  <c r="R67" i="2"/>
  <c r="J141" i="2"/>
  <c r="J160" i="2"/>
  <c r="N68" i="2"/>
  <c r="F158" i="2"/>
  <c r="R17" i="2"/>
  <c r="G124" i="2"/>
  <c r="R124" i="2" s="1"/>
  <c r="R28" i="2"/>
  <c r="K68" i="2"/>
  <c r="K74" i="2" s="1"/>
  <c r="R66" i="2"/>
  <c r="N141" i="2"/>
  <c r="N160" i="2"/>
  <c r="R71" i="2"/>
  <c r="R72" i="2" s="1"/>
  <c r="I160" i="2"/>
  <c r="I141" i="2"/>
  <c r="G74" i="2"/>
  <c r="H125" i="2"/>
  <c r="H113" i="2" s="1"/>
  <c r="H153" i="2"/>
  <c r="H155" i="2" s="1"/>
  <c r="G129" i="2"/>
  <c r="R39" i="2"/>
  <c r="S45" i="2"/>
  <c r="R65" i="2"/>
  <c r="R68" i="2" s="1"/>
  <c r="I68" i="2"/>
  <c r="I74" i="2" s="1"/>
  <c r="M160" i="2"/>
  <c r="M141" i="2"/>
  <c r="O136" i="2"/>
  <c r="O159" i="2"/>
  <c r="G136" i="2"/>
  <c r="G159" i="2"/>
  <c r="R123" i="2"/>
  <c r="R154" i="2" s="1"/>
  <c r="F154" i="2"/>
  <c r="O62" i="2"/>
  <c r="H164" i="2"/>
  <c r="H165" i="2" s="1"/>
  <c r="H148" i="2"/>
  <c r="H115" i="2" s="1"/>
  <c r="N53" i="2"/>
  <c r="N56" i="2" s="1"/>
  <c r="N18" i="2" s="1"/>
  <c r="N19" i="2" s="1"/>
  <c r="F53" i="2"/>
  <c r="F56" i="2" s="1"/>
  <c r="F18" i="2" s="1"/>
  <c r="P159" i="2"/>
  <c r="P136" i="2"/>
  <c r="H136" i="2"/>
  <c r="H159" i="2"/>
  <c r="I153" i="2"/>
  <c r="I155" i="2" s="1"/>
  <c r="I103" i="2"/>
  <c r="I89" i="2"/>
  <c r="I129" i="2" s="1"/>
  <c r="I81" i="2"/>
  <c r="I122" i="2" s="1"/>
  <c r="I125" i="2" s="1"/>
  <c r="I113" i="2" s="1"/>
  <c r="J80" i="2"/>
  <c r="I90" i="2"/>
  <c r="I130" i="2" s="1"/>
  <c r="M56" i="2"/>
  <c r="M18" i="2" s="1"/>
  <c r="M19" i="2" s="1"/>
  <c r="F130" i="2"/>
  <c r="F131" i="2" s="1"/>
  <c r="R35" i="2"/>
  <c r="R36" i="2" s="1"/>
  <c r="G125" i="2" l="1"/>
  <c r="G113" i="2" s="1"/>
  <c r="H143" i="2"/>
  <c r="H114" i="2" s="1"/>
  <c r="H116" i="2" s="1"/>
  <c r="H117" i="2" s="1"/>
  <c r="H118" i="2" s="1"/>
  <c r="N74" i="2"/>
  <c r="R74" i="2"/>
  <c r="R53" i="2"/>
  <c r="R37" i="2"/>
  <c r="S34" i="2"/>
  <c r="I131" i="2"/>
  <c r="I143" i="2" s="1"/>
  <c r="I114" i="2" s="1"/>
  <c r="I158" i="2"/>
  <c r="I161" i="2" s="1"/>
  <c r="F19" i="2"/>
  <c r="R18" i="2"/>
  <c r="R19" i="2" s="1"/>
  <c r="R40" i="2"/>
  <c r="F141" i="2"/>
  <c r="F143" i="2" s="1"/>
  <c r="F114" i="2" s="1"/>
  <c r="R159" i="2"/>
  <c r="R136" i="2"/>
  <c r="I146" i="2"/>
  <c r="O74" i="2"/>
  <c r="R51" i="2"/>
  <c r="R147" i="2"/>
  <c r="F148" i="2"/>
  <c r="F115" i="2" s="1"/>
  <c r="F155" i="2"/>
  <c r="S35" i="2"/>
  <c r="J90" i="2"/>
  <c r="J130" i="2" s="1"/>
  <c r="J81" i="2"/>
  <c r="J122" i="2" s="1"/>
  <c r="J103" i="2"/>
  <c r="J146" i="2" s="1"/>
  <c r="K80" i="2"/>
  <c r="J89" i="2"/>
  <c r="J129" i="2" s="1"/>
  <c r="J121" i="2"/>
  <c r="G158" i="2"/>
  <c r="G161" i="2" s="1"/>
  <c r="G167" i="2" s="1"/>
  <c r="G131" i="2"/>
  <c r="G143" i="2" s="1"/>
  <c r="G114" i="2" s="1"/>
  <c r="G116" i="2" s="1"/>
  <c r="G117" i="2" s="1"/>
  <c r="G118" i="2" s="1"/>
  <c r="F161" i="2"/>
  <c r="R44" i="2"/>
  <c r="S43" i="2" s="1"/>
  <c r="S49" i="2"/>
  <c r="R141" i="2"/>
  <c r="R160" i="2"/>
  <c r="H161" i="2"/>
  <c r="H167" i="2" s="1"/>
  <c r="F116" i="2" l="1"/>
  <c r="F117" i="2" s="1"/>
  <c r="F118" i="2" s="1"/>
  <c r="F167" i="2"/>
  <c r="R41" i="2"/>
  <c r="S38" i="2"/>
  <c r="R54" i="2"/>
  <c r="K89" i="2"/>
  <c r="K129" i="2" s="1"/>
  <c r="K81" i="2"/>
  <c r="K122" i="2" s="1"/>
  <c r="L80" i="2"/>
  <c r="K103" i="2"/>
  <c r="K146" i="2" s="1"/>
  <c r="K90" i="2"/>
  <c r="K130" i="2" s="1"/>
  <c r="K121" i="2"/>
  <c r="J153" i="2"/>
  <c r="J155" i="2" s="1"/>
  <c r="J125" i="2"/>
  <c r="J113" i="2" s="1"/>
  <c r="I164" i="2"/>
  <c r="I165" i="2" s="1"/>
  <c r="I167" i="2" s="1"/>
  <c r="I148" i="2"/>
  <c r="I115" i="2" s="1"/>
  <c r="I116" i="2" s="1"/>
  <c r="I117" i="2" s="1"/>
  <c r="I118" i="2" s="1"/>
  <c r="J158" i="2"/>
  <c r="J161" i="2" s="1"/>
  <c r="J131" i="2"/>
  <c r="J143" i="2" s="1"/>
  <c r="J114" i="2" s="1"/>
  <c r="R55" i="2"/>
  <c r="S42" i="2"/>
  <c r="J164" i="2"/>
  <c r="J165" i="2" s="1"/>
  <c r="J148" i="2"/>
  <c r="J115" i="2" s="1"/>
  <c r="S39" i="2"/>
  <c r="R45" i="2"/>
  <c r="R46" i="2" s="1"/>
  <c r="R56" i="2" l="1"/>
  <c r="J116" i="2"/>
  <c r="J117" i="2" s="1"/>
  <c r="J118" i="2" s="1"/>
  <c r="J167" i="2"/>
  <c r="L90" i="2"/>
  <c r="L130" i="2" s="1"/>
  <c r="L103" i="2"/>
  <c r="L146" i="2" s="1"/>
  <c r="L89" i="2"/>
  <c r="M80" i="2"/>
  <c r="L81" i="2"/>
  <c r="L122" i="2" s="1"/>
  <c r="L121" i="2"/>
  <c r="K164" i="2"/>
  <c r="K165" i="2" s="1"/>
  <c r="K148" i="2"/>
  <c r="K115" i="2" s="1"/>
  <c r="K125" i="2"/>
  <c r="K113" i="2" s="1"/>
  <c r="K153" i="2"/>
  <c r="K155" i="2" s="1"/>
  <c r="K158" i="2"/>
  <c r="K161" i="2" s="1"/>
  <c r="K131" i="2"/>
  <c r="K143" i="2" s="1"/>
  <c r="K114" i="2" s="1"/>
  <c r="K167" i="2" l="1"/>
  <c r="K116" i="2"/>
  <c r="K117" i="2" s="1"/>
  <c r="K118" i="2" s="1"/>
  <c r="L125" i="2"/>
  <c r="L113" i="2" s="1"/>
  <c r="L153" i="2"/>
  <c r="L155" i="2" s="1"/>
  <c r="L164" i="2"/>
  <c r="L165" i="2" s="1"/>
  <c r="L148" i="2"/>
  <c r="L115" i="2" s="1"/>
  <c r="L129" i="2"/>
  <c r="M103" i="2"/>
  <c r="M146" i="2" s="1"/>
  <c r="M89" i="2"/>
  <c r="M129" i="2" s="1"/>
  <c r="M81" i="2"/>
  <c r="M122" i="2" s="1"/>
  <c r="M90" i="2"/>
  <c r="M130" i="2" s="1"/>
  <c r="N80" i="2"/>
  <c r="M121" i="2"/>
  <c r="L131" i="2" l="1"/>
  <c r="L143" i="2" s="1"/>
  <c r="L114" i="2" s="1"/>
  <c r="L116" i="2" s="1"/>
  <c r="L117" i="2" s="1"/>
  <c r="L118" i="2" s="1"/>
  <c r="L158" i="2"/>
  <c r="L161" i="2" s="1"/>
  <c r="L167" i="2" s="1"/>
  <c r="M153" i="2"/>
  <c r="M155" i="2" s="1"/>
  <c r="M125" i="2"/>
  <c r="M113" i="2" s="1"/>
  <c r="M131" i="2"/>
  <c r="M143" i="2" s="1"/>
  <c r="M114" i="2" s="1"/>
  <c r="M158" i="2"/>
  <c r="M161" i="2" s="1"/>
  <c r="N90" i="2"/>
  <c r="N130" i="2" s="1"/>
  <c r="N89" i="2"/>
  <c r="N129" i="2" s="1"/>
  <c r="O80" i="2"/>
  <c r="N81" i="2"/>
  <c r="N122" i="2" s="1"/>
  <c r="N103" i="2"/>
  <c r="N146" i="2" s="1"/>
  <c r="N121" i="2"/>
  <c r="M148" i="2"/>
  <c r="M115" i="2" s="1"/>
  <c r="M164" i="2"/>
  <c r="M165" i="2" s="1"/>
  <c r="M116" i="2" l="1"/>
  <c r="M117" i="2" s="1"/>
  <c r="M118" i="2" s="1"/>
  <c r="O89" i="2"/>
  <c r="O129" i="2" s="1"/>
  <c r="O81" i="2"/>
  <c r="O122" i="2" s="1"/>
  <c r="P80" i="2"/>
  <c r="O103" i="2"/>
  <c r="O146" i="2" s="1"/>
  <c r="O90" i="2"/>
  <c r="O130" i="2" s="1"/>
  <c r="O121" i="2"/>
  <c r="M167" i="2"/>
  <c r="N164" i="2"/>
  <c r="N165" i="2" s="1"/>
  <c r="N148" i="2"/>
  <c r="N115" i="2" s="1"/>
  <c r="N153" i="2"/>
  <c r="N155" i="2" s="1"/>
  <c r="N125" i="2"/>
  <c r="N113" i="2" s="1"/>
  <c r="N158" i="2"/>
  <c r="N161" i="2" s="1"/>
  <c r="N131" i="2"/>
  <c r="N143" i="2" s="1"/>
  <c r="N114" i="2" s="1"/>
  <c r="N167" i="2" l="1"/>
  <c r="P90" i="2"/>
  <c r="P130" i="2" s="1"/>
  <c r="P81" i="2"/>
  <c r="P122" i="2" s="1"/>
  <c r="Q80" i="2"/>
  <c r="P103" i="2"/>
  <c r="P146" i="2" s="1"/>
  <c r="P89" i="2"/>
  <c r="P129" i="2" s="1"/>
  <c r="P121" i="2"/>
  <c r="O125" i="2"/>
  <c r="O113" i="2" s="1"/>
  <c r="O153" i="2"/>
  <c r="O155" i="2" s="1"/>
  <c r="O158" i="2"/>
  <c r="O161" i="2" s="1"/>
  <c r="O131" i="2"/>
  <c r="O143" i="2" s="1"/>
  <c r="O114" i="2" s="1"/>
  <c r="N116" i="2"/>
  <c r="N117" i="2" s="1"/>
  <c r="N118" i="2" s="1"/>
  <c r="O164" i="2"/>
  <c r="O165" i="2" s="1"/>
  <c r="O148" i="2"/>
  <c r="O115" i="2" s="1"/>
  <c r="O167" i="2" l="1"/>
  <c r="P164" i="2"/>
  <c r="P165" i="2" s="1"/>
  <c r="P148" i="2"/>
  <c r="P115" i="2" s="1"/>
  <c r="O116" i="2"/>
  <c r="O117" i="2" s="1"/>
  <c r="O118" i="2" s="1"/>
  <c r="Q103" i="2"/>
  <c r="Q89" i="2"/>
  <c r="Q81" i="2"/>
  <c r="Q90" i="2"/>
  <c r="Q121" i="2"/>
  <c r="R80" i="2"/>
  <c r="P125" i="2"/>
  <c r="P113" i="2" s="1"/>
  <c r="P153" i="2"/>
  <c r="P155" i="2" s="1"/>
  <c r="P131" i="2"/>
  <c r="P143" i="2" s="1"/>
  <c r="P114" i="2" s="1"/>
  <c r="P158" i="2"/>
  <c r="P161" i="2" s="1"/>
  <c r="P167" i="2" l="1"/>
  <c r="Q153" i="2"/>
  <c r="Q155" i="2" s="1"/>
  <c r="R121" i="2"/>
  <c r="Q130" i="2"/>
  <c r="R130" i="2" s="1"/>
  <c r="R90" i="2"/>
  <c r="P116" i="2"/>
  <c r="P117" i="2" s="1"/>
  <c r="P118" i="2" s="1"/>
  <c r="Q122" i="2"/>
  <c r="R122" i="2" s="1"/>
  <c r="R81" i="2"/>
  <c r="Q146" i="2"/>
  <c r="R103" i="2"/>
  <c r="Q129" i="2"/>
  <c r="R89" i="2"/>
  <c r="Q131" i="2" l="1"/>
  <c r="Q143" i="2" s="1"/>
  <c r="Q114" i="2" s="1"/>
  <c r="Q158" i="2"/>
  <c r="Q161" i="2" s="1"/>
  <c r="R129" i="2"/>
  <c r="R153" i="2"/>
  <c r="R155" i="2" s="1"/>
  <c r="R125" i="2"/>
  <c r="R113" i="2" s="1"/>
  <c r="Q125" i="2"/>
  <c r="Q113" i="2" s="1"/>
  <c r="Q148" i="2"/>
  <c r="Q115" i="2" s="1"/>
  <c r="Q164" i="2"/>
  <c r="Q165" i="2" s="1"/>
  <c r="R146" i="2"/>
  <c r="Q167" i="2" l="1"/>
  <c r="R158" i="2"/>
  <c r="R161" i="2" s="1"/>
  <c r="R167" i="2" s="1"/>
  <c r="R131" i="2"/>
  <c r="R143" i="2" s="1"/>
  <c r="R114" i="2" s="1"/>
  <c r="Q116" i="2"/>
  <c r="Q117" i="2" s="1"/>
  <c r="Q118" i="2" s="1"/>
  <c r="R164" i="2"/>
  <c r="R165" i="2" s="1"/>
  <c r="R148" i="2"/>
  <c r="R115" i="2" s="1"/>
  <c r="R116" i="2" l="1"/>
  <c r="R117" i="2" s="1"/>
  <c r="R118" i="2" s="1"/>
  <c r="H18" i="1" l="1"/>
  <c r="C10" i="1"/>
  <c r="C5" i="1"/>
  <c r="C6" i="1" s="1"/>
  <c r="B10" i="1"/>
  <c r="F15" i="1" s="1"/>
  <c r="B6" i="1"/>
  <c r="D9" i="1"/>
  <c r="D10" i="1" s="1"/>
  <c r="C9" i="1"/>
  <c r="B9" i="1"/>
  <c r="N28" i="4"/>
  <c r="M28" i="4"/>
  <c r="L28" i="4"/>
  <c r="K28" i="4"/>
  <c r="J28" i="4"/>
  <c r="I28" i="4"/>
  <c r="H28" i="4"/>
  <c r="G28" i="4"/>
  <c r="F28" i="4"/>
  <c r="E28" i="4"/>
  <c r="D28" i="4"/>
  <c r="C28" i="4"/>
  <c r="B28" i="4"/>
  <c r="C11" i="1" l="1"/>
  <c r="B11" i="1"/>
  <c r="D11" i="1" l="1"/>
  <c r="G15" i="1"/>
  <c r="D6" i="1"/>
  <c r="E12" i="5" l="1"/>
  <c r="E16" i="5" s="1"/>
  <c r="G32" i="5" s="1"/>
  <c r="G33" i="5" s="1"/>
  <c r="C12" i="5"/>
  <c r="E11" i="5"/>
  <c r="E13" i="5" s="1"/>
  <c r="C11" i="5"/>
  <c r="C13" i="5" s="1"/>
  <c r="E8" i="5"/>
  <c r="C8" i="5"/>
  <c r="E9" i="5"/>
  <c r="C7" i="5"/>
  <c r="N57" i="4"/>
  <c r="M57" i="4"/>
  <c r="L57" i="4"/>
  <c r="K57" i="4"/>
  <c r="J57" i="4"/>
  <c r="I57" i="4"/>
  <c r="H57" i="4"/>
  <c r="G57" i="4"/>
  <c r="F57" i="4"/>
  <c r="E57" i="4"/>
  <c r="D57" i="4"/>
  <c r="C57" i="4"/>
  <c r="B57" i="4"/>
  <c r="N56" i="4"/>
  <c r="M56" i="4"/>
  <c r="L56" i="4"/>
  <c r="K56" i="4"/>
  <c r="J56" i="4"/>
  <c r="I56" i="4"/>
  <c r="H56" i="4"/>
  <c r="G56" i="4"/>
  <c r="F56" i="4"/>
  <c r="E56" i="4"/>
  <c r="D56" i="4"/>
  <c r="C56" i="4"/>
  <c r="B56" i="4"/>
  <c r="N54" i="4"/>
  <c r="N58" i="4" s="1"/>
  <c r="M54" i="4"/>
  <c r="L54" i="4"/>
  <c r="L58" i="4" s="1"/>
  <c r="K54" i="4"/>
  <c r="J54" i="4"/>
  <c r="J58" i="4" s="1"/>
  <c r="I54" i="4"/>
  <c r="H54" i="4"/>
  <c r="H58" i="4" s="1"/>
  <c r="G54" i="4"/>
  <c r="F54" i="4"/>
  <c r="F58" i="4" s="1"/>
  <c r="E54" i="4"/>
  <c r="D54" i="4"/>
  <c r="D58" i="4" s="1"/>
  <c r="C54" i="4"/>
  <c r="B54" i="4"/>
  <c r="B58" i="4" s="1"/>
  <c r="N50" i="4"/>
  <c r="M50" i="4"/>
  <c r="M58" i="4" s="1"/>
  <c r="L50" i="4"/>
  <c r="K50" i="4"/>
  <c r="K58" i="4" s="1"/>
  <c r="J50" i="4"/>
  <c r="I50" i="4"/>
  <c r="I58" i="4" s="1"/>
  <c r="H50" i="4"/>
  <c r="G50" i="4"/>
  <c r="G58" i="4" s="1"/>
  <c r="F50" i="4"/>
  <c r="E50" i="4"/>
  <c r="E58" i="4" s="1"/>
  <c r="D50" i="4"/>
  <c r="C50" i="4"/>
  <c r="C58" i="4" s="1"/>
  <c r="B50" i="4"/>
  <c r="N43" i="4"/>
  <c r="M43" i="4"/>
  <c r="L43" i="4"/>
  <c r="K43" i="4"/>
  <c r="J43" i="4"/>
  <c r="I43" i="4"/>
  <c r="H43" i="4"/>
  <c r="G43" i="4"/>
  <c r="F43" i="4"/>
  <c r="E43" i="4"/>
  <c r="D43" i="4"/>
  <c r="C43" i="4"/>
  <c r="B43" i="4"/>
  <c r="N42" i="4"/>
  <c r="M42" i="4"/>
  <c r="L42" i="4"/>
  <c r="K42" i="4"/>
  <c r="J42" i="4"/>
  <c r="I42" i="4"/>
  <c r="H42" i="4"/>
  <c r="G42" i="4"/>
  <c r="F42" i="4"/>
  <c r="E42" i="4"/>
  <c r="D42" i="4"/>
  <c r="C42" i="4"/>
  <c r="B42" i="4"/>
  <c r="N40" i="4"/>
  <c r="N44" i="4" s="1"/>
  <c r="M40" i="4"/>
  <c r="L40" i="4"/>
  <c r="L44" i="4" s="1"/>
  <c r="K40" i="4"/>
  <c r="J40" i="4"/>
  <c r="J44" i="4" s="1"/>
  <c r="I40" i="4"/>
  <c r="H40" i="4"/>
  <c r="H44" i="4" s="1"/>
  <c r="G40" i="4"/>
  <c r="F40" i="4"/>
  <c r="F44" i="4" s="1"/>
  <c r="E40" i="4"/>
  <c r="D40" i="4"/>
  <c r="D44" i="4" s="1"/>
  <c r="C40" i="4"/>
  <c r="B40" i="4"/>
  <c r="B44" i="4" s="1"/>
  <c r="N36" i="4"/>
  <c r="M36" i="4"/>
  <c r="L36" i="4"/>
  <c r="K36" i="4"/>
  <c r="K44" i="4" s="1"/>
  <c r="J36" i="4"/>
  <c r="I36" i="4"/>
  <c r="H36" i="4"/>
  <c r="G36" i="4"/>
  <c r="G44" i="4" s="1"/>
  <c r="F36" i="4"/>
  <c r="E36" i="4"/>
  <c r="D36" i="4"/>
  <c r="C36" i="4"/>
  <c r="C44" i="4" s="1"/>
  <c r="B36" i="4"/>
  <c r="N29" i="4"/>
  <c r="M29" i="4"/>
  <c r="L29" i="4"/>
  <c r="K29" i="4"/>
  <c r="J29" i="4"/>
  <c r="I29" i="4"/>
  <c r="H29" i="4"/>
  <c r="G29" i="4"/>
  <c r="F29" i="4"/>
  <c r="E29" i="4"/>
  <c r="D29" i="4"/>
  <c r="C29" i="4"/>
  <c r="B29" i="4"/>
  <c r="N26" i="4"/>
  <c r="M26" i="4"/>
  <c r="L26" i="4"/>
  <c r="K26" i="4"/>
  <c r="K30" i="4" s="1"/>
  <c r="J26" i="4"/>
  <c r="I26" i="4"/>
  <c r="H26" i="4"/>
  <c r="G26" i="4"/>
  <c r="G30" i="4" s="1"/>
  <c r="F26" i="4"/>
  <c r="E26" i="4"/>
  <c r="D26" i="4"/>
  <c r="C26" i="4"/>
  <c r="C30" i="4" s="1"/>
  <c r="B26" i="4"/>
  <c r="N22" i="4"/>
  <c r="M22" i="4"/>
  <c r="L22" i="4"/>
  <c r="K22" i="4"/>
  <c r="J22" i="4"/>
  <c r="I22" i="4"/>
  <c r="H22" i="4"/>
  <c r="G22" i="4"/>
  <c r="F22" i="4"/>
  <c r="E22" i="4"/>
  <c r="D22" i="4"/>
  <c r="C22" i="4"/>
  <c r="B22" i="4"/>
  <c r="N15" i="4"/>
  <c r="M15" i="4"/>
  <c r="L15" i="4"/>
  <c r="K15" i="4"/>
  <c r="J15" i="4"/>
  <c r="I15" i="4"/>
  <c r="H15" i="4"/>
  <c r="G15" i="4"/>
  <c r="F15" i="4"/>
  <c r="E15" i="4"/>
  <c r="D15" i="4"/>
  <c r="C15" i="4"/>
  <c r="B15" i="4"/>
  <c r="N14" i="4"/>
  <c r="M14" i="4"/>
  <c r="L14" i="4"/>
  <c r="K14" i="4"/>
  <c r="J14" i="4"/>
  <c r="I14" i="4"/>
  <c r="H14" i="4"/>
  <c r="G14" i="4"/>
  <c r="F14" i="4"/>
  <c r="E14" i="4"/>
  <c r="D14" i="4"/>
  <c r="C14" i="4"/>
  <c r="B14" i="4"/>
  <c r="N12" i="4"/>
  <c r="M12" i="4"/>
  <c r="M16" i="4" s="1"/>
  <c r="L12" i="4"/>
  <c r="K12" i="4"/>
  <c r="J12" i="4"/>
  <c r="I12" i="4"/>
  <c r="I16" i="4" s="1"/>
  <c r="H12" i="4"/>
  <c r="G12" i="4"/>
  <c r="F12" i="4"/>
  <c r="E12" i="4"/>
  <c r="E16" i="4" s="1"/>
  <c r="D12" i="4"/>
  <c r="C12" i="4"/>
  <c r="B12" i="4"/>
  <c r="N8" i="4"/>
  <c r="M8" i="4"/>
  <c r="L8" i="4"/>
  <c r="K8" i="4"/>
  <c r="J8" i="4"/>
  <c r="I8" i="4"/>
  <c r="H8" i="4"/>
  <c r="G8" i="4"/>
  <c r="F8" i="4"/>
  <c r="E8" i="4"/>
  <c r="D8" i="4"/>
  <c r="C8" i="4"/>
  <c r="B8" i="4"/>
  <c r="C4" i="4"/>
  <c r="D4" i="4" s="1"/>
  <c r="E4" i="4" s="1"/>
  <c r="F4" i="4" s="1"/>
  <c r="G4" i="4" s="1"/>
  <c r="H4" i="4" s="1"/>
  <c r="I4" i="4" s="1"/>
  <c r="J4" i="4" s="1"/>
  <c r="K4" i="4" s="1"/>
  <c r="L4" i="4" s="1"/>
  <c r="M4" i="4" s="1"/>
  <c r="N4" i="4" s="1"/>
  <c r="B18" i="4" s="1"/>
  <c r="C18" i="4" s="1"/>
  <c r="D18" i="4" s="1"/>
  <c r="E18" i="4" s="1"/>
  <c r="F18" i="4" s="1"/>
  <c r="G18" i="4" s="1"/>
  <c r="H18" i="4" s="1"/>
  <c r="I18" i="4" s="1"/>
  <c r="J18" i="4" s="1"/>
  <c r="K18" i="4" s="1"/>
  <c r="L18" i="4" s="1"/>
  <c r="M18" i="4" s="1"/>
  <c r="N18" i="4" s="1"/>
  <c r="B32" i="4" s="1"/>
  <c r="C32" i="4" s="1"/>
  <c r="D32" i="4" s="1"/>
  <c r="E32" i="4" s="1"/>
  <c r="F32" i="4" s="1"/>
  <c r="G32" i="4" s="1"/>
  <c r="H32" i="4" s="1"/>
  <c r="I32" i="4" s="1"/>
  <c r="J32" i="4" s="1"/>
  <c r="K32" i="4" s="1"/>
  <c r="L32" i="4" s="1"/>
  <c r="M32" i="4" s="1"/>
  <c r="N32" i="4" s="1"/>
  <c r="B46" i="4" s="1"/>
  <c r="C46" i="4" s="1"/>
  <c r="D46" i="4" s="1"/>
  <c r="E46" i="4" s="1"/>
  <c r="F46" i="4" s="1"/>
  <c r="G46" i="4" s="1"/>
  <c r="H46" i="4" s="1"/>
  <c r="I46" i="4" s="1"/>
  <c r="J46" i="4" s="1"/>
  <c r="K46" i="4" s="1"/>
  <c r="L46" i="4" s="1"/>
  <c r="M46" i="4" s="1"/>
  <c r="N46" i="4" s="1"/>
  <c r="C9" i="5" l="1"/>
  <c r="C16" i="4"/>
  <c r="G16" i="4"/>
  <c r="K16" i="4"/>
  <c r="B16" i="4"/>
  <c r="F16" i="4"/>
  <c r="J16" i="4"/>
  <c r="N16" i="4"/>
  <c r="B30" i="4"/>
  <c r="F30" i="4"/>
  <c r="J30" i="4"/>
  <c r="N30" i="4"/>
  <c r="C17" i="5"/>
  <c r="E17" i="5"/>
  <c r="D16" i="4"/>
  <c r="H16" i="4"/>
  <c r="L16" i="4"/>
  <c r="E30" i="4"/>
  <c r="I30" i="4"/>
  <c r="M30" i="4"/>
  <c r="D30" i="4"/>
  <c r="H30" i="4"/>
  <c r="L30" i="4"/>
  <c r="E44" i="4"/>
  <c r="I44" i="4"/>
  <c r="M44" i="4"/>
  <c r="G16" i="5"/>
  <c r="C16" i="5"/>
  <c r="G38" i="5"/>
  <c r="G39" i="5" s="1"/>
  <c r="C33" i="5" l="1"/>
  <c r="C39" i="5" s="1"/>
  <c r="C22" i="5"/>
  <c r="C23" i="5" s="1"/>
  <c r="G21" i="5"/>
  <c r="H14" i="1"/>
  <c r="I22" i="5"/>
  <c r="G13" i="5"/>
  <c r="G15" i="5"/>
  <c r="G17" i="5" l="1"/>
  <c r="M15" i="5"/>
  <c r="E15" i="1"/>
  <c r="H15" i="1" s="1"/>
  <c r="H16" i="1" s="1"/>
  <c r="G22" i="5"/>
  <c r="G23" i="5" s="1"/>
  <c r="E22" i="5"/>
  <c r="E23" i="5" s="1"/>
  <c r="I23" i="5"/>
  <c r="H20" i="1" l="1"/>
  <c r="H24" i="1" s="1"/>
  <c r="G25" i="5"/>
  <c r="G27" i="5" s="1"/>
  <c r="G41" i="5"/>
  <c r="G43" i="5" s="1"/>
  <c r="H26" i="1" l="1"/>
  <c r="H28" i="1"/>
  <c r="H32" i="1" s="1"/>
  <c r="G45" i="5"/>
  <c r="G47" i="5" s="1"/>
</calcChain>
</file>

<file path=xl/comments1.xml><?xml version="1.0" encoding="utf-8"?>
<comments xmlns="http://schemas.openxmlformats.org/spreadsheetml/2006/main">
  <authors>
    <author>Sevall, Scott (UTC)</author>
  </authors>
  <commentList>
    <comment ref="B5" authorId="0">
      <text>
        <r>
          <rPr>
            <b/>
            <sz val="9"/>
            <color indexed="81"/>
            <rFont val="Tahoma"/>
            <family val="2"/>
          </rPr>
          <t>Sevall, Scott (UTC):</t>
        </r>
        <r>
          <rPr>
            <sz val="9"/>
            <color indexed="81"/>
            <rFont val="Tahoma"/>
            <family val="2"/>
          </rPr>
          <t xml:space="preserve">
why is this not $14.44?</t>
        </r>
      </text>
    </comment>
    <comment ref="C5" authorId="0">
      <text>
        <r>
          <rPr>
            <b/>
            <sz val="9"/>
            <color indexed="81"/>
            <rFont val="Tahoma"/>
            <family val="2"/>
          </rPr>
          <t>Sevall, Scott (UTC):</t>
        </r>
        <r>
          <rPr>
            <sz val="9"/>
            <color indexed="81"/>
            <rFont val="Tahoma"/>
            <family val="2"/>
          </rPr>
          <t xml:space="preserve">
Why is this not $16.41?
</t>
        </r>
        <r>
          <rPr>
            <b/>
            <sz val="9"/>
            <color indexed="81"/>
            <rFont val="Tahoma"/>
            <family val="2"/>
          </rPr>
          <t>Blended rate, since new wage didn't take effect until 4/1/15</t>
        </r>
      </text>
    </comment>
  </commentList>
</comments>
</file>

<file path=xl/comments2.xml><?xml version="1.0" encoding="utf-8"?>
<comments xmlns="http://schemas.openxmlformats.org/spreadsheetml/2006/main">
  <authors>
    <author>Alex Brenner</author>
    <author>joannewright</author>
    <author>Vander Zalm, Connor</author>
  </authors>
  <commentList>
    <comment ref="B12" authorId="0">
      <text>
        <r>
          <rPr>
            <b/>
            <sz val="8"/>
            <color indexed="81"/>
            <rFont val="Tahoma"/>
            <family val="2"/>
          </rPr>
          <t>Source:</t>
        </r>
        <r>
          <rPr>
            <sz val="8"/>
            <color indexed="81"/>
            <rFont val="Tahoma"/>
            <family val="2"/>
          </rPr>
          <t xml:space="preserve">
'Commercial Op Stat Trend Report' - Total Disposal Tons + SOM (Sale of Material) Tons</t>
        </r>
      </text>
    </comment>
    <comment ref="B15" authorId="0">
      <text>
        <r>
          <rPr>
            <b/>
            <sz val="8"/>
            <color indexed="81"/>
            <rFont val="Tahoma"/>
            <family val="2"/>
          </rPr>
          <t>Source:</t>
        </r>
        <r>
          <rPr>
            <sz val="8"/>
            <color indexed="81"/>
            <rFont val="Tahoma"/>
            <family val="2"/>
          </rPr>
          <t xml:space="preserve">
'Residential Op Stat Trend Report' - Total Disposal Tons + SOM (Sale of Material) Tons</t>
        </r>
      </text>
    </comment>
    <comment ref="B16" authorId="0">
      <text>
        <r>
          <rPr>
            <b/>
            <sz val="8"/>
            <color indexed="81"/>
            <rFont val="Tahoma"/>
            <family val="2"/>
          </rPr>
          <t>Source:</t>
        </r>
        <r>
          <rPr>
            <sz val="8"/>
            <color indexed="81"/>
            <rFont val="Tahoma"/>
            <family val="2"/>
          </rPr>
          <t xml:space="preserve">
'Industrial Op Stat Trend Report' - Total Disposal Tons + SOM (Sale of Material) Tons</t>
        </r>
      </text>
    </comment>
    <comment ref="D23" authorId="1">
      <text>
        <r>
          <rPr>
            <b/>
            <sz val="8"/>
            <color indexed="81"/>
            <rFont val="Tahoma"/>
            <family val="2"/>
          </rPr>
          <t xml:space="preserve">Source:
</t>
        </r>
        <r>
          <rPr>
            <sz val="8"/>
            <color indexed="81"/>
            <rFont val="Tahoma"/>
            <family val="2"/>
          </rPr>
          <t>"ESMMYYTONS" Report (MMYY represents the month and year of report, this report is produced monthly)</t>
        </r>
      </text>
    </comment>
    <comment ref="D24" authorId="1">
      <text>
        <r>
          <rPr>
            <b/>
            <sz val="8"/>
            <color indexed="81"/>
            <rFont val="Tahoma"/>
            <family val="2"/>
          </rPr>
          <t xml:space="preserve">Source:
</t>
        </r>
        <r>
          <rPr>
            <sz val="8"/>
            <color indexed="81"/>
            <rFont val="Tahoma"/>
            <family val="2"/>
          </rPr>
          <t>"ESMMYYTONS" Report (MMYY represents the month and year of report, this report is produced monthly)</t>
        </r>
      </text>
    </comment>
    <comment ref="D27" authorId="1">
      <text>
        <r>
          <rPr>
            <b/>
            <sz val="8"/>
            <color indexed="81"/>
            <rFont val="Tahoma"/>
            <family val="2"/>
          </rPr>
          <t>Source:</t>
        </r>
        <r>
          <rPr>
            <sz val="8"/>
            <color indexed="81"/>
            <rFont val="Tahoma"/>
            <family val="2"/>
          </rPr>
          <t xml:space="preserve">
King County report
</t>
        </r>
      </text>
    </comment>
    <comment ref="D28" authorId="1">
      <text>
        <r>
          <rPr>
            <b/>
            <sz val="8"/>
            <color indexed="81"/>
            <rFont val="Tahoma"/>
            <family val="2"/>
          </rPr>
          <t>Source:</t>
        </r>
        <r>
          <rPr>
            <sz val="8"/>
            <color indexed="81"/>
            <rFont val="Tahoma"/>
            <family val="2"/>
          </rPr>
          <t xml:space="preserve">
King County report
</t>
        </r>
      </text>
    </comment>
    <comment ref="D34" authorId="1">
      <text>
        <r>
          <rPr>
            <b/>
            <sz val="8"/>
            <color indexed="81"/>
            <rFont val="Tahoma"/>
            <family val="2"/>
          </rPr>
          <t xml:space="preserve">Source:
</t>
        </r>
        <r>
          <rPr>
            <sz val="8"/>
            <color indexed="81"/>
            <rFont val="Tahoma"/>
            <family val="2"/>
          </rPr>
          <t>"ESMMYYTONS" Report (MMYY represents the month and year of report, this report is produced monthly)</t>
        </r>
      </text>
    </comment>
    <comment ref="D35" authorId="1">
      <text>
        <r>
          <rPr>
            <b/>
            <sz val="8"/>
            <color indexed="81"/>
            <rFont val="Tahoma"/>
            <family val="2"/>
          </rPr>
          <t xml:space="preserve">Source:
</t>
        </r>
        <r>
          <rPr>
            <sz val="8"/>
            <color indexed="81"/>
            <rFont val="Tahoma"/>
            <family val="2"/>
          </rPr>
          <t>"ESMMYYTONS" Report (MMYY represents the month and year of report, this report is produced monthly)</t>
        </r>
      </text>
    </comment>
    <comment ref="D38" authorId="1">
      <text>
        <r>
          <rPr>
            <b/>
            <sz val="8"/>
            <color indexed="81"/>
            <rFont val="Tahoma"/>
            <family val="2"/>
          </rPr>
          <t xml:space="preserve">Source:
</t>
        </r>
        <r>
          <rPr>
            <sz val="8"/>
            <color indexed="81"/>
            <rFont val="Tahoma"/>
            <family val="2"/>
          </rPr>
          <t>"ESMMYYTONS" Report (MMYY represents the month and year of report, this report is produced monthly)</t>
        </r>
      </text>
    </comment>
    <comment ref="D39" authorId="1">
      <text>
        <r>
          <rPr>
            <b/>
            <sz val="8"/>
            <color indexed="81"/>
            <rFont val="Tahoma"/>
            <family val="2"/>
          </rPr>
          <t xml:space="preserve">Source:
</t>
        </r>
        <r>
          <rPr>
            <sz val="8"/>
            <color indexed="81"/>
            <rFont val="Tahoma"/>
            <family val="2"/>
          </rPr>
          <t>"ESMMYYTONS" Report (MMYY represents the month and year of report, this report is produced monthly)</t>
        </r>
      </text>
    </comment>
    <comment ref="D42" authorId="1">
      <text>
        <r>
          <rPr>
            <b/>
            <sz val="8"/>
            <color indexed="81"/>
            <rFont val="Tahoma"/>
            <family val="2"/>
          </rPr>
          <t xml:space="preserve">Source:
</t>
        </r>
        <r>
          <rPr>
            <sz val="8"/>
            <color indexed="81"/>
            <rFont val="Tahoma"/>
            <family val="2"/>
          </rPr>
          <t>"ESMMYYTONS" Report (MMYY represents the month and year of report, this report is produced monthly)</t>
        </r>
      </text>
    </comment>
    <comment ref="D43" authorId="1">
      <text>
        <r>
          <rPr>
            <b/>
            <sz val="8"/>
            <color indexed="81"/>
            <rFont val="Tahoma"/>
            <family val="2"/>
          </rPr>
          <t xml:space="preserve">Source:
</t>
        </r>
        <r>
          <rPr>
            <sz val="8"/>
            <color indexed="81"/>
            <rFont val="Tahoma"/>
            <family val="2"/>
          </rPr>
          <t>"ESMMYYTONS" Report (MMYY represents the month and year of report, this report is produced monthly)</t>
        </r>
      </text>
    </comment>
    <comment ref="C48" authorId="1">
      <text>
        <r>
          <rPr>
            <b/>
            <sz val="8"/>
            <color indexed="81"/>
            <rFont val="Tahoma"/>
            <family val="2"/>
          </rPr>
          <t>Source:</t>
        </r>
        <r>
          <rPr>
            <sz val="8"/>
            <color indexed="81"/>
            <rFont val="Tahoma"/>
            <family val="2"/>
          </rPr>
          <t xml:space="preserve">
From daily disposal reports.</t>
        </r>
      </text>
    </comment>
    <comment ref="C49" authorId="1">
      <text>
        <r>
          <rPr>
            <b/>
            <sz val="8"/>
            <color indexed="81"/>
            <rFont val="Tahoma"/>
            <family val="2"/>
          </rPr>
          <t>Source:</t>
        </r>
        <r>
          <rPr>
            <sz val="8"/>
            <color indexed="81"/>
            <rFont val="Tahoma"/>
            <family val="2"/>
          </rPr>
          <t xml:space="preserve">
From daily disposal reports.</t>
        </r>
      </text>
    </comment>
    <comment ref="F80" authorId="2">
      <text>
        <r>
          <rPr>
            <b/>
            <sz val="9"/>
            <color indexed="81"/>
            <rFont val="Tahoma"/>
            <family val="2"/>
          </rPr>
          <t>Vander Zalm, Connor:</t>
        </r>
        <r>
          <rPr>
            <sz val="9"/>
            <color indexed="81"/>
            <rFont val="Tahoma"/>
            <family val="2"/>
          </rPr>
          <t xml:space="preserve">
King County Solid Waste Disposal Fee</t>
        </r>
      </text>
    </comment>
    <comment ref="F82" authorId="2">
      <text>
        <r>
          <rPr>
            <b/>
            <sz val="9"/>
            <color indexed="81"/>
            <rFont val="Tahoma"/>
            <family val="2"/>
          </rPr>
          <t>Vander Zalm, Connor:</t>
        </r>
        <r>
          <rPr>
            <sz val="9"/>
            <color indexed="81"/>
            <rFont val="Tahoma"/>
            <family val="2"/>
          </rPr>
          <t xml:space="preserve">
Third &amp; Lander Recycling Material Disposal fee for Residential Material</t>
        </r>
      </text>
    </comment>
    <comment ref="F84" authorId="2">
      <text>
        <r>
          <rPr>
            <b/>
            <sz val="9"/>
            <color indexed="81"/>
            <rFont val="Tahoma"/>
            <family val="2"/>
          </rPr>
          <t>Vander Zalm, Connor:</t>
        </r>
        <r>
          <rPr>
            <sz val="9"/>
            <color indexed="81"/>
            <rFont val="Tahoma"/>
            <family val="2"/>
          </rPr>
          <t xml:space="preserve">
Third &amp; Lander Recycling Material Disposal fee for Commercial Material. Slightly lower than residential rate due to nigher clenliness rate of commercial accounts for ONP (newsprint) and OCC (cardboard).</t>
        </r>
      </text>
    </comment>
  </commentList>
</comments>
</file>

<file path=xl/comments3.xml><?xml version="1.0" encoding="utf-8"?>
<comments xmlns="http://schemas.openxmlformats.org/spreadsheetml/2006/main">
  <authors>
    <author>Sevall, Scott (UTC)</author>
  </authors>
  <commentList>
    <comment ref="G7" authorId="0">
      <text>
        <r>
          <rPr>
            <b/>
            <sz val="9"/>
            <color indexed="81"/>
            <rFont val="Tahoma"/>
            <family val="2"/>
          </rPr>
          <t>Sevall, Scott (UTC):</t>
        </r>
        <r>
          <rPr>
            <sz val="9"/>
            <color indexed="81"/>
            <rFont val="Tahoma"/>
            <family val="2"/>
          </rPr>
          <t xml:space="preserve">
If the calculation is bringing in C7 shouldn't the 26 be a 36?</t>
        </r>
      </text>
    </comment>
    <comment ref="G11" authorId="0">
      <text>
        <r>
          <rPr>
            <b/>
            <sz val="9"/>
            <color indexed="81"/>
            <rFont val="Tahoma"/>
            <family val="2"/>
          </rPr>
          <t>Sevall, Scott (UTC):</t>
        </r>
        <r>
          <rPr>
            <sz val="9"/>
            <color indexed="81"/>
            <rFont val="Tahoma"/>
            <family val="2"/>
          </rPr>
          <t xml:space="preserve">
The salary calculation should com from a payroll report showing the employye in the job position and exactly what they make per hour.</t>
        </r>
      </text>
    </comment>
    <comment ref="G26" authorId="0">
      <text>
        <r>
          <rPr>
            <b/>
            <sz val="9"/>
            <color indexed="81"/>
            <rFont val="Tahoma"/>
            <family val="2"/>
          </rPr>
          <t>Sevall, Scott (UTC):</t>
        </r>
        <r>
          <rPr>
            <sz val="9"/>
            <color indexed="81"/>
            <rFont val="Tahoma"/>
            <family val="2"/>
          </rPr>
          <t xml:space="preserve">
Shouldn't this match H18 on sheet 1?</t>
        </r>
      </text>
    </comment>
    <comment ref="G42" authorId="0">
      <text>
        <r>
          <rPr>
            <b/>
            <sz val="9"/>
            <color indexed="81"/>
            <rFont val="Tahoma"/>
            <family val="2"/>
          </rPr>
          <t>Sevall, Scott (UTC):</t>
        </r>
        <r>
          <rPr>
            <sz val="9"/>
            <color indexed="81"/>
            <rFont val="Tahoma"/>
            <family val="2"/>
          </rPr>
          <t xml:space="preserve">
Shouldn't this match H18 on sheet 1?</t>
        </r>
      </text>
    </comment>
  </commentList>
</comments>
</file>

<file path=xl/comments4.xml><?xml version="1.0" encoding="utf-8"?>
<comments xmlns="http://schemas.openxmlformats.org/spreadsheetml/2006/main">
  <authors>
    <author>Sevall, Scott (UTC)</author>
  </authors>
  <commentList>
    <comment ref="N4" authorId="0">
      <text>
        <r>
          <rPr>
            <b/>
            <sz val="9"/>
            <color indexed="81"/>
            <rFont val="Tahoma"/>
            <family val="2"/>
          </rPr>
          <t>Sevall, Scott (UTC):</t>
        </r>
        <r>
          <rPr>
            <sz val="9"/>
            <color indexed="81"/>
            <rFont val="Tahoma"/>
            <family val="2"/>
          </rPr>
          <t xml:space="preserve">
I like this report for reporting gross hours worked at regular rate and OT. I don't like this report for calculating the hourly wage. The hourly wage should be done with a payroll report showing everyone who is on the payroll for the time period and what there wages are. We talked about this filing not compensating for payroll compression, just to collect the difference in wages paid to the new minimum wage. For example in June 2015 one employee makes $11 and another may make $12. The company is due the difference between 11 and 13, 12 and 13, for a $3 difference. If you want to collect the full cost of all salary movements that would have to be done in a full rate case.</t>
        </r>
      </text>
    </comment>
  </commentList>
</comments>
</file>

<file path=xl/comments5.xml><?xml version="1.0" encoding="utf-8"?>
<comments xmlns="http://schemas.openxmlformats.org/spreadsheetml/2006/main">
  <authors>
    <author>Sevall, Scott (UTC)</author>
  </authors>
  <commentList>
    <comment ref="P6" authorId="0">
      <text>
        <r>
          <rPr>
            <b/>
            <sz val="9"/>
            <color indexed="81"/>
            <rFont val="Tahoma"/>
            <family val="2"/>
          </rPr>
          <t>Sevall, Scott (UTC):</t>
        </r>
        <r>
          <rPr>
            <sz val="9"/>
            <color indexed="81"/>
            <rFont val="Tahoma"/>
            <family val="2"/>
          </rPr>
          <t xml:space="preserve">
This report is definatly needed.</t>
        </r>
      </text>
    </comment>
  </commentList>
</comments>
</file>

<file path=xl/sharedStrings.xml><?xml version="1.0" encoding="utf-8"?>
<sst xmlns="http://schemas.openxmlformats.org/spreadsheetml/2006/main" count="1067" uniqueCount="300">
  <si>
    <t>Commercial</t>
  </si>
  <si>
    <t>Residential</t>
  </si>
  <si>
    <t>Total Garbage</t>
  </si>
  <si>
    <t>Total Recycling</t>
  </si>
  <si>
    <t>Total Yardwaste</t>
  </si>
  <si>
    <t>PRICE</t>
  </si>
  <si>
    <t>COST</t>
  </si>
  <si>
    <t>Total</t>
  </si>
  <si>
    <t>Total Tons</t>
  </si>
  <si>
    <t>% Variance</t>
  </si>
  <si>
    <t>Rabanco Ltd</t>
  </si>
  <si>
    <t>Minium Wage Impact to Processing fee</t>
  </si>
  <si>
    <t>52 Weeks</t>
  </si>
  <si>
    <t>Regular Hours</t>
  </si>
  <si>
    <t>OT Hours</t>
  </si>
  <si>
    <t>Total Hours</t>
  </si>
  <si>
    <t>Regular Wages</t>
  </si>
  <si>
    <t>OT Wages</t>
  </si>
  <si>
    <t>Total Wages</t>
  </si>
  <si>
    <t>Reg Per Hour</t>
  </si>
  <si>
    <t>OT Per Hour</t>
  </si>
  <si>
    <t>Combined Per Hour</t>
  </si>
  <si>
    <t>Minimum Wage Impact to Processing fee</t>
  </si>
  <si>
    <t xml:space="preserve">Actual </t>
  </si>
  <si>
    <t>Actual</t>
  </si>
  <si>
    <t>Projected</t>
  </si>
  <si>
    <t>1/11-4/5/15</t>
  </si>
  <si>
    <t>4/12-9/13/15</t>
  </si>
  <si>
    <t>9/20-1/03/16</t>
  </si>
  <si>
    <t xml:space="preserve">Minimum Wage Impact </t>
  </si>
  <si>
    <t>Annual Hours</t>
  </si>
  <si>
    <t>Prior to the Increase</t>
  </si>
  <si>
    <t>With 2015 Min Wage Increase</t>
  </si>
  <si>
    <t>With 2016 Min Wage Increase</t>
  </si>
  <si>
    <t>2015 Min Wage Impact to Processing Fee</t>
  </si>
  <si>
    <t>2015 Ton Processed Tons</t>
  </si>
  <si>
    <t>Increased processing cost per ton</t>
  </si>
  <si>
    <t>2015 Mark up % Calculation</t>
  </si>
  <si>
    <t>Min Wage</t>
  </si>
  <si>
    <t xml:space="preserve">  - Regular per hour</t>
  </si>
  <si>
    <t xml:space="preserve"> - Contract Rate</t>
  </si>
  <si>
    <t>Contract</t>
  </si>
  <si>
    <t>2016 Mark up % Calculation</t>
  </si>
  <si>
    <t>2016 Min Wage Impact to Processing Fee</t>
  </si>
  <si>
    <t>2016 Ton Processed Tons</t>
  </si>
  <si>
    <t>Total Per Ton Increase</t>
  </si>
  <si>
    <t>Current Processing Fee</t>
  </si>
  <si>
    <t>Revised Processing Fee</t>
  </si>
  <si>
    <t>Republi</t>
  </si>
  <si>
    <t>c Services, Inc.</t>
  </si>
  <si>
    <t>Report Name:</t>
  </si>
  <si>
    <t>Page:   1</t>
  </si>
  <si>
    <t>4584 Ra</t>
  </si>
  <si>
    <t>banco Recycling Company M</t>
  </si>
  <si>
    <t>RF</t>
  </si>
  <si>
    <t>Run Date: 11</t>
  </si>
  <si>
    <t>October</t>
  </si>
  <si>
    <t>31, 2015</t>
  </si>
  <si>
    <t>Acct</t>
  </si>
  <si>
    <t>Account Description</t>
  </si>
  <si>
    <t>September</t>
  </si>
  <si>
    <t>August</t>
  </si>
  <si>
    <t>July</t>
  </si>
  <si>
    <t>June</t>
  </si>
  <si>
    <t>May</t>
  </si>
  <si>
    <t>April</t>
  </si>
  <si>
    <t>March</t>
  </si>
  <si>
    <t>February</t>
  </si>
  <si>
    <t>November</t>
  </si>
  <si>
    <t>------</t>
  </si>
  <si>
    <t>-------------------------</t>
  </si>
  <si>
    <t>-----------</t>
  </si>
  <si>
    <t>----------</t>
  </si>
  <si>
    <t>Workdays</t>
  </si>
  <si>
    <t>_x000C_ epubl</t>
  </si>
  <si>
    <t>ic Services, Inc.</t>
  </si>
  <si>
    <t>Report Name</t>
  </si>
  <si>
    <t>Total MRF Tons/Day</t>
  </si>
  <si>
    <t>==========</t>
  </si>
  <si>
    <t>January</t>
  </si>
  <si>
    <t>December</t>
  </si>
  <si>
    <t>4584XOSTMIN</t>
  </si>
  <si>
    <t>/16/15  16:5</t>
  </si>
  <si>
    <t>MRF- Op</t>
  </si>
  <si>
    <t>Stat IB 13-Month Trend</t>
  </si>
  <si>
    <t>** Consolida</t>
  </si>
  <si>
    <t>ted Level Ra</t>
  </si>
  <si>
    <t>*Co</t>
  </si>
  <si>
    <t>---------</t>
  </si>
  <si>
    <t>Tip/Proc Waste:</t>
  </si>
  <si>
    <t>MRF-Tip/Proc Waste O/S</t>
  </si>
  <si>
    <t>MRF-Waste Tns Recd O/S</t>
  </si>
  <si>
    <t>Tip/Proc Waste O/S Rate/T</t>
  </si>
  <si>
    <t>Tip/Proc Waste O/S Tons/D</t>
  </si>
  <si>
    <t>MRF-Tip/Proc Waste I/C</t>
  </si>
  <si>
    <t>MRF-Waste Tns Recd I/C</t>
  </si>
  <si>
    <t>Tip/Proc Waste I/C Rate/T</t>
  </si>
  <si>
    <t>Tip/Proc Waste I/C Tons/D</t>
  </si>
  <si>
    <t>-</t>
  </si>
  <si>
    <t>Total Tons/Day</t>
  </si>
  <si>
    <t>=</t>
  </si>
  <si>
    <t>=========</t>
  </si>
  <si>
    <t>Tip/Proc Recycle:</t>
  </si>
  <si>
    <t>MRF Tip/Proc Recycle O/S</t>
  </si>
  <si>
    <t>COGS REC SOM O/S</t>
  </si>
  <si>
    <t>MRF-Recyclable Tns Recd O</t>
  </si>
  <si>
    <t>Tip/Proc Recy O/S Rate/To</t>
  </si>
  <si>
    <t>Tip/Proc Recy O/S Tons/Da</t>
  </si>
  <si>
    <t>MRF Tip/Proc Recycle I/C</t>
  </si>
  <si>
    <t>COGS REC SOM I/C</t>
  </si>
  <si>
    <t>MRF-Recyclable Tns Recd I</t>
  </si>
  <si>
    <t>Tip/Proc Recy I/C Rate/To</t>
  </si>
  <si>
    <t>Tip/Proc Recy I/C Tons/Da</t>
  </si>
  <si>
    <t>Processed-Res:</t>
  </si>
  <si>
    <t>MRF Res-Proc O/S</t>
  </si>
  <si>
    <t>MRF COGS Res-Proc O/S</t>
  </si>
  <si>
    <t>MRF Tns In Res-Proc O/S</t>
  </si>
  <si>
    <t>Res-Proc O/S Rate/Ton</t>
  </si>
  <si>
    <t>Res-Proc O/S Tons/Day</t>
  </si>
  <si>
    <t>MRF Res-Proc I/C</t>
  </si>
  <si>
    <t>MRF COGS Res-Proc I/C</t>
  </si>
  <si>
    <t>MRF Tns In Res-Proc I/C</t>
  </si>
  <si>
    <t>Res-Proc I/C Rate/Ton</t>
  </si>
  <si>
    <t>Res-Proc I/C Tons/Day</t>
  </si>
  <si>
    <t>: 4584XOSTMI</t>
  </si>
  <si>
    <t>Processed-Com/Ind:</t>
  </si>
  <si>
    <t>MRF Com/Ind-Proc O/S</t>
  </si>
  <si>
    <t>MRF COGS Com/Ind-Proc O/S</t>
  </si>
  <si>
    <t>MRF Tns In Com/Ind-Proc O</t>
  </si>
  <si>
    <t>Com/Ind-Proc O/S Rate/Ton</t>
  </si>
  <si>
    <t>Com/Ind-Proc O/S Tons/Day</t>
  </si>
  <si>
    <t>MRF Com/Ind-Proc I/C</t>
  </si>
  <si>
    <t>MRF COGS Com/Ind-Proc I/C</t>
  </si>
  <si>
    <t>MRF Tns In Com/Ind-Proc I</t>
  </si>
  <si>
    <t>Com/Ind-Proc I/C Rate/Ton</t>
  </si>
  <si>
    <t>Com/Ind-Proc I/C Tons/Day</t>
  </si>
  <si>
    <t>Processed-DryWste Com/Ind</t>
  </si>
  <si>
    <t>MRF DryWst Com/Ind-Proc O</t>
  </si>
  <si>
    <t>MRF COGS DryWst Com/Ind-P</t>
  </si>
  <si>
    <t>MRF Tns In DryWst Com/Ind</t>
  </si>
  <si>
    <t>DryWst-Proc O/S Rate/Ton</t>
  </si>
  <si>
    <t>DryWst-Proc O/S Tons/Day</t>
  </si>
  <si>
    <t>DryWst-Proc I/C Rate/Ton</t>
  </si>
  <si>
    <t>DryWst-Proc I/C Tons/Day</t>
  </si>
  <si>
    <t>High Grade:</t>
  </si>
  <si>
    <t>MRF High Grade O/S</t>
  </si>
  <si>
    <t>MRF COGS High Grade O/S</t>
  </si>
  <si>
    <t>MRF Tns In High Grade O/S</t>
  </si>
  <si>
    <t>High Grade O/S Rate/Ton</t>
  </si>
  <si>
    <t>High Grade O/S Tons/Day</t>
  </si>
  <si>
    <t>MRF COGS High Grade I/C</t>
  </si>
  <si>
    <t>MRF Tns In High Grade I/C</t>
  </si>
  <si>
    <t>High Grade I/C Rate/Ton</t>
  </si>
  <si>
    <t>High Grade I/C Tons/Day</t>
  </si>
  <si>
    <t>Dump &amp; Bale:</t>
  </si>
  <si>
    <t>MRF Dump &amp; Bale O/S</t>
  </si>
  <si>
    <t>MRF COGS Dump &amp; Bale O/S</t>
  </si>
  <si>
    <t>MRF Tns In Dump &amp; Bale O/</t>
  </si>
  <si>
    <t>Dump&amp;Bale O/S Rate/Ton</t>
  </si>
  <si>
    <t>Dump&amp;Bale O/S Tons/Day</t>
  </si>
  <si>
    <t>MRF Dump &amp; Bale I/C</t>
  </si>
  <si>
    <t>MRF COGS Dump &amp; Bale I/C</t>
  </si>
  <si>
    <t>MRF Tns In Dump &amp; Bale I/</t>
  </si>
  <si>
    <t>Dump&amp;Bale I/C Rate/Ton</t>
  </si>
  <si>
    <t>Dump&amp;Bale I/C Tons/Day</t>
  </si>
  <si>
    <t>Cross-Dck/Bale Rt:</t>
  </si>
  <si>
    <t>MRF Cross-Dck/Bale Rt O/S</t>
  </si>
  <si>
    <t>MRF COGS Cross-Dck/Bale R</t>
  </si>
  <si>
    <t>MRF Tns In Cross-Dck/Bale</t>
  </si>
  <si>
    <t>CrsDck/Bale O/S Rate/Ton</t>
  </si>
  <si>
    <t>CrsDck/Bale O/S Tons/Day</t>
  </si>
  <si>
    <t>CrsDck/Bale I/C Rate/Ton</t>
  </si>
  <si>
    <t>CrsDck/Bale I/C Tons/Day</t>
  </si>
  <si>
    <t>Glass:</t>
  </si>
  <si>
    <t>MRF Glass O/S</t>
  </si>
  <si>
    <t>MRF COGS Glass O/S</t>
  </si>
  <si>
    <t>MRF Tns In Glass O/S</t>
  </si>
  <si>
    <t>Glass O/S Rate/Ton</t>
  </si>
  <si>
    <t>Glass O/S Tons/Day</t>
  </si>
  <si>
    <t>MRF Glass I/C</t>
  </si>
  <si>
    <t>MRF COGS Glass I/C</t>
  </si>
  <si>
    <t>MRF Tns In Glass I/C</t>
  </si>
  <si>
    <t>Glass I/C Rate/Ton</t>
  </si>
  <si>
    <t>Glass I/C Tons/Day</t>
  </si>
  <si>
    <t>Brokerage:</t>
  </si>
  <si>
    <t>MRF Brokerage O/S</t>
  </si>
  <si>
    <t>MRF COGS Brokerage O/S</t>
  </si>
  <si>
    <t>MRF Tns In Brokerage O/S</t>
  </si>
  <si>
    <t>Brkge O/S Rate/Ton</t>
  </si>
  <si>
    <t>Brkge O/S Tons/Day</t>
  </si>
  <si>
    <t>MRF COGS Brokerage I/C</t>
  </si>
  <si>
    <t>MRF Tns In Brokerage I/C</t>
  </si>
  <si>
    <t>Brkge I/C Rate/Ton</t>
  </si>
  <si>
    <t>Brkge I/C Tons/Day</t>
  </si>
  <si>
    <t>C&amp;D:</t>
  </si>
  <si>
    <t>MRF C&amp;D O/S</t>
  </si>
  <si>
    <t>MRF COGS C&amp;D O/S</t>
  </si>
  <si>
    <t>MRF Tns In C&amp;D O/S</t>
  </si>
  <si>
    <t>C&amp;D O/S Rate/Ton</t>
  </si>
  <si>
    <t>C&amp;D O/S Tons/Day</t>
  </si>
  <si>
    <t>MRF COGS C&amp;D I/C</t>
  </si>
  <si>
    <t>MRF Tns In C&amp;D I/C</t>
  </si>
  <si>
    <t>C&amp;D I/C Rate/Ton</t>
  </si>
  <si>
    <t>C&amp;D I/C Tons/Day</t>
  </si>
  <si>
    <t>GrnWste/Cmpst:</t>
  </si>
  <si>
    <t>MRF Grnwste/Cmpst O/S</t>
  </si>
  <si>
    <t>MRF COGS Grnwste/Cmpst O/</t>
  </si>
  <si>
    <t>MRF Tns In Grnwste/Cmpst</t>
  </si>
  <si>
    <t>GrnWst/Cmpst O/S Rate/Ton</t>
  </si>
  <si>
    <t>GrnWste/Cmpst O/S Tons/Da</t>
  </si>
  <si>
    <t>MRF COGS Grnwste/Cmpst I/</t>
  </si>
  <si>
    <t>GrnWst/Cmpst I/C Rate/Ton</t>
  </si>
  <si>
    <t>GrnWste/Cmpst I/C Tons/Da</t>
  </si>
  <si>
    <t>Other Recycle:</t>
  </si>
  <si>
    <t>MRF Other Recy O/S</t>
  </si>
  <si>
    <t>MRF COGS Other O/S</t>
  </si>
  <si>
    <t>MRF Tns In Other O/S</t>
  </si>
  <si>
    <t>Other Recy O/S Rate/Ton</t>
  </si>
  <si>
    <t>Other Recy O/S Tons/Day</t>
  </si>
  <si>
    <t>MRF COGS Other I/C</t>
  </si>
  <si>
    <t>MRF Tns In Other I/C</t>
  </si>
  <si>
    <t>Other Recy I/C Rate/Ton</t>
  </si>
  <si>
    <t>Other Recy I/C Tons/Day</t>
  </si>
  <si>
    <t>Inbound Volume:</t>
  </si>
  <si>
    <t>Total MRF Tons O/S</t>
  </si>
  <si>
    <t>Total MRF Tons I/C</t>
  </si>
  <si>
    <t>Total MRF Tons</t>
  </si>
  <si>
    <t>Total MRF O/S Tons/Day</t>
  </si>
  <si>
    <t>Total MRF I/C Tons/Day</t>
  </si>
  <si>
    <t>nge **</t>
  </si>
  <si>
    <t>N   Page:   2</t>
  </si>
  <si>
    <t>N   Page:   3</t>
  </si>
  <si>
    <t>N   Page:   4</t>
  </si>
  <si>
    <t>N   Page:   5</t>
  </si>
  <si>
    <t>Reg Hrs</t>
  </si>
  <si>
    <t>OT Hrs</t>
  </si>
  <si>
    <t>Current Rate</t>
  </si>
  <si>
    <t>New Rate</t>
  </si>
  <si>
    <t>Base Cost</t>
  </si>
  <si>
    <t xml:space="preserve"> - Regular per hour</t>
  </si>
  <si>
    <t>Employee Rate</t>
  </si>
  <si>
    <t>Base</t>
  </si>
  <si>
    <t>2015 Rate</t>
  </si>
  <si>
    <t>2016 Rate</t>
  </si>
  <si>
    <t>Company Cost</t>
  </si>
  <si>
    <t>Contract Cost</t>
  </si>
  <si>
    <t>Regular Wage Schedule</t>
  </si>
  <si>
    <t>Overtime Wage Schedule</t>
  </si>
  <si>
    <t>Annual Inbound Tons</t>
  </si>
  <si>
    <t>Cost per Ton</t>
  </si>
  <si>
    <t>Monthly Cost per Customer</t>
  </si>
  <si>
    <t>Disposal Breakout-Regulated vs.Contract</t>
  </si>
  <si>
    <t>Tons</t>
  </si>
  <si>
    <t>TONS</t>
  </si>
  <si>
    <t>Per General Ledger</t>
  </si>
  <si>
    <t>resi rcy</t>
  </si>
  <si>
    <t>resi msw</t>
  </si>
  <si>
    <t>Rolloff</t>
  </si>
  <si>
    <t>Variance</t>
  </si>
  <si>
    <t>Garbage</t>
  </si>
  <si>
    <t>Reg Garbage</t>
  </si>
  <si>
    <t>Unreg Garbage</t>
  </si>
  <si>
    <t>Recycling</t>
  </si>
  <si>
    <t>MF Recy Reg-</t>
  </si>
  <si>
    <t>Tota Recycling</t>
  </si>
  <si>
    <t>Total Commercial</t>
  </si>
  <si>
    <t>Regulated</t>
  </si>
  <si>
    <t>Unregulated</t>
  </si>
  <si>
    <t>Yardwaste</t>
  </si>
  <si>
    <t>Total Residential</t>
  </si>
  <si>
    <t>Total Rolloff</t>
  </si>
  <si>
    <t>Total Disposal</t>
  </si>
  <si>
    <t>Total Regulated</t>
  </si>
  <si>
    <t>Multifamily recycling</t>
  </si>
  <si>
    <t>MF Reg-Recycle</t>
  </si>
  <si>
    <t>Multi Family Unreg</t>
  </si>
  <si>
    <t>CommercialRecycling</t>
  </si>
  <si>
    <t>Regulated-Tariff 10</t>
  </si>
  <si>
    <t>Calculated</t>
  </si>
  <si>
    <t>MF Reg-Tariff 10-Recycle</t>
  </si>
  <si>
    <t>Commercial Recycling</t>
  </si>
  <si>
    <t>Regulated-Tariff 7</t>
  </si>
  <si>
    <t>Eastside Regulated Tons</t>
  </si>
  <si>
    <t>Eastside Annual Cost</t>
  </si>
  <si>
    <t>Eastside Customers</t>
  </si>
  <si>
    <t>OT</t>
  </si>
  <si>
    <t>Jan-Mar Average hours worked</t>
  </si>
  <si>
    <t>April-Sept Average hours worked</t>
  </si>
  <si>
    <t>Varience between Company Projected and Staff Projected</t>
  </si>
  <si>
    <t>Per 2015 Agreement</t>
  </si>
  <si>
    <t>Regular Time Contract Rate</t>
  </si>
  <si>
    <t>Overtrime Contract Rate</t>
  </si>
  <si>
    <t>Current B&amp;O Tax Rate</t>
  </si>
  <si>
    <t>Current WUTC Fee Rate</t>
  </si>
  <si>
    <t>Total Revenue Tax</t>
  </si>
  <si>
    <t>Revenue Tax Impact</t>
  </si>
  <si>
    <t>Total Cost</t>
  </si>
  <si>
    <t>Proposed Rate</t>
  </si>
  <si>
    <t>Appendix A</t>
  </si>
  <si>
    <t>Appendix B</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</si>
</sst>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409]dd\-mmm\-yy;@"/>
    <numFmt numFmtId="167" formatCode="_(&quot;$&quot;* #,##0_);_(&quot;$&quot;* \(#,##0\);_(&quot;$&quot;* &quot;-&quot;??_);_(@_)"/>
    <numFmt numFmtId="168" formatCode="&quot;$&quot;#,##0.00"/>
    <numFmt numFmtId="169" formatCode="_-* #,##0.00_-;\-* #,##0.00_-;_-* &quot;-&quot;??_-;_-@_-"/>
    <numFmt numFmtId="170" formatCode="_-* #,##0_-;\-* #,##0_-;_-* &quot;-&quot;??_-;_-@_-"/>
    <numFmt numFmtId="171" formatCode="_-&quot;$&quot;* #,##0.00_-;\-&quot;$&quot;* #,##0.00_-;_-&quot;$&quot;* &quot;-&quot;??_-;_-@_-"/>
    <numFmt numFmtId="172" formatCode="_-&quot;$&quot;* #,##0_-;\-&quot;$&quot;* #,##0_-;_-&quot;$&quot;* &quot;-&quot;??_-;_-@_-"/>
    <numFmt numFmtId="173" formatCode="0.0000%"/>
  </numFmts>
  <fonts count="23">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sz val="18"/>
      <color theme="1"/>
      <name val="Calibri"/>
      <family val="2"/>
      <scheme val="minor"/>
    </font>
    <font>
      <sz val="10"/>
      <color theme="1"/>
      <name val="Arial Unicode MS"/>
      <family val="2"/>
    </font>
    <font>
      <sz val="10"/>
      <name val="Arial"/>
      <family val="2"/>
    </font>
    <font>
      <b/>
      <sz val="10"/>
      <name val="Arial"/>
      <family val="2"/>
    </font>
    <font>
      <b/>
      <u/>
      <sz val="10"/>
      <name val="Arial"/>
      <family val="2"/>
    </font>
    <font>
      <b/>
      <sz val="14"/>
      <name val="Arial"/>
      <family val="2"/>
    </font>
    <font>
      <i/>
      <sz val="10"/>
      <color theme="0" tint="-0.249977111117893"/>
      <name val="Arial"/>
      <family val="2"/>
    </font>
    <font>
      <i/>
      <sz val="9"/>
      <name val="Arial"/>
      <family val="2"/>
    </font>
    <font>
      <i/>
      <sz val="10"/>
      <name val="Arial"/>
      <family val="2"/>
    </font>
    <font>
      <b/>
      <i/>
      <sz val="9"/>
      <name val="Arial"/>
      <family val="2"/>
    </font>
    <font>
      <i/>
      <sz val="8"/>
      <color theme="0"/>
      <name val="Arial"/>
      <family val="2"/>
    </font>
    <font>
      <sz val="10"/>
      <color theme="0"/>
      <name val="Arial"/>
      <family val="2"/>
    </font>
    <font>
      <sz val="10"/>
      <name val="Arial Unicode MS"/>
      <family val="2"/>
    </font>
    <font>
      <b/>
      <sz val="8"/>
      <color indexed="81"/>
      <name val="Tahoma"/>
      <family val="2"/>
    </font>
    <font>
      <sz val="8"/>
      <color indexed="81"/>
      <name val="Tahoma"/>
      <family val="2"/>
    </font>
    <font>
      <sz val="12"/>
      <name val="SWISS"/>
    </font>
    <font>
      <sz val="11"/>
      <name val="Calibri"/>
      <family val="2"/>
      <scheme val="minor"/>
    </font>
  </fonts>
  <fills count="11">
    <fill>
      <patternFill patternType="none"/>
    </fill>
    <fill>
      <patternFill patternType="gray125"/>
    </fill>
    <fill>
      <patternFill patternType="solid">
        <fgColor rgb="FFFFFFCC"/>
      </patternFill>
    </fill>
    <fill>
      <patternFill patternType="solid">
        <fgColor rgb="FFFFFF00"/>
        <bgColor indexed="64"/>
      </patternFill>
    </fill>
    <fill>
      <patternFill patternType="solid">
        <fgColor rgb="FFFFFF99"/>
        <bgColor indexed="64"/>
      </patternFill>
    </fill>
    <fill>
      <patternFill patternType="solid">
        <fgColor indexed="43"/>
        <bgColor indexed="64"/>
      </patternFill>
    </fill>
    <fill>
      <patternFill patternType="solid">
        <fgColor theme="6" tint="0.59999389629810485"/>
        <bgColor indexed="64"/>
      </patternFill>
    </fill>
    <fill>
      <patternFill patternType="solid">
        <fgColor indexed="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1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2" borderId="1" applyNumberFormat="0" applyFont="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2" borderId="1" applyNumberFormat="0" applyFont="0" applyAlignment="0" applyProtection="0"/>
    <xf numFmtId="0" fontId="8" fillId="0" borderId="0"/>
    <xf numFmtId="43" fontId="8" fillId="0" borderId="0" applyFont="0" applyFill="0" applyBorder="0" applyAlignment="0" applyProtection="0"/>
    <xf numFmtId="169" fontId="8" fillId="0" borderId="0" applyFont="0" applyFill="0" applyBorder="0" applyAlignment="0" applyProtection="0"/>
    <xf numFmtId="171" fontId="8" fillId="0" borderId="0" applyFont="0" applyFill="0" applyBorder="0" applyAlignment="0" applyProtection="0"/>
    <xf numFmtId="44" fontId="8" fillId="0" borderId="0" applyFont="0" applyFill="0" applyBorder="0" applyAlignment="0" applyProtection="0"/>
    <xf numFmtId="0" fontId="21" fillId="9" borderId="0" applyProtection="0"/>
  </cellStyleXfs>
  <cellXfs count="142">
    <xf numFmtId="0" fontId="0" fillId="0" borderId="0" xfId="0"/>
    <xf numFmtId="0" fontId="6" fillId="0" borderId="0" xfId="0" applyFont="1"/>
    <xf numFmtId="166" fontId="2" fillId="0" borderId="2" xfId="0" applyNumberFormat="1" applyFont="1" applyBorder="1" applyAlignment="1">
      <alignment horizontal="center"/>
    </xf>
    <xf numFmtId="14" fontId="0" fillId="0" borderId="0" xfId="0" applyNumberFormat="1"/>
    <xf numFmtId="164" fontId="0" fillId="0" borderId="0" xfId="1" applyNumberFormat="1" applyFont="1"/>
    <xf numFmtId="164" fontId="0" fillId="0" borderId="3" xfId="1" applyNumberFormat="1" applyFont="1" applyBorder="1"/>
    <xf numFmtId="5" fontId="0" fillId="0" borderId="0" xfId="0" applyNumberFormat="1"/>
    <xf numFmtId="5" fontId="0" fillId="0" borderId="3" xfId="0" applyNumberFormat="1" applyBorder="1"/>
    <xf numFmtId="7" fontId="0" fillId="0" borderId="0" xfId="0" applyNumberFormat="1"/>
    <xf numFmtId="7" fontId="0" fillId="0" borderId="3" xfId="0" applyNumberFormat="1" applyBorder="1"/>
    <xf numFmtId="166" fontId="2" fillId="3" borderId="2" xfId="0" applyNumberFormat="1" applyFont="1" applyFill="1" applyBorder="1" applyAlignment="1">
      <alignment horizontal="center"/>
    </xf>
    <xf numFmtId="0" fontId="0" fillId="0" borderId="0" xfId="0" applyBorder="1"/>
    <xf numFmtId="0" fontId="2" fillId="0" borderId="0" xfId="0" applyFont="1" applyAlignment="1">
      <alignment horizontal="center"/>
    </xf>
    <xf numFmtId="0" fontId="2" fillId="0" borderId="0" xfId="0" applyFont="1" applyBorder="1" applyAlignment="1">
      <alignment horizontal="center"/>
    </xf>
    <xf numFmtId="0" fontId="2" fillId="0" borderId="2" xfId="0" applyFont="1" applyBorder="1" applyAlignment="1">
      <alignment horizontal="center"/>
    </xf>
    <xf numFmtId="164" fontId="0" fillId="0" borderId="0" xfId="1" applyNumberFormat="1" applyFont="1" applyBorder="1"/>
    <xf numFmtId="0" fontId="2" fillId="0" borderId="2" xfId="0" applyFont="1" applyBorder="1" applyAlignment="1">
      <alignment wrapText="1"/>
    </xf>
    <xf numFmtId="0" fontId="2" fillId="0" borderId="2" xfId="0" applyFont="1" applyBorder="1" applyAlignment="1">
      <alignment horizontal="center" wrapText="1"/>
    </xf>
    <xf numFmtId="164" fontId="0" fillId="0" borderId="0" xfId="0" applyNumberFormat="1"/>
    <xf numFmtId="164" fontId="0" fillId="0" borderId="3" xfId="0" applyNumberFormat="1" applyBorder="1"/>
    <xf numFmtId="165" fontId="0" fillId="0" borderId="0" xfId="2" applyNumberFormat="1" applyFont="1"/>
    <xf numFmtId="0" fontId="0" fillId="0" borderId="0" xfId="0" applyAlignment="1">
      <alignment vertical="center"/>
    </xf>
    <xf numFmtId="0" fontId="7" fillId="0" borderId="0" xfId="0" applyFont="1" applyAlignment="1">
      <alignment vertical="center"/>
    </xf>
    <xf numFmtId="3" fontId="0" fillId="0" borderId="0" xfId="0" applyNumberFormat="1"/>
    <xf numFmtId="44" fontId="0" fillId="0" borderId="0" xfId="8" applyFont="1"/>
    <xf numFmtId="44" fontId="0" fillId="0" borderId="0" xfId="0" applyNumberFormat="1"/>
    <xf numFmtId="167" fontId="0" fillId="0" borderId="0" xfId="0" applyNumberFormat="1"/>
    <xf numFmtId="167" fontId="0" fillId="0" borderId="4" xfId="0" applyNumberFormat="1" applyBorder="1"/>
    <xf numFmtId="168" fontId="0" fillId="0" borderId="0" xfId="0" applyNumberFormat="1"/>
    <xf numFmtId="0" fontId="0" fillId="0" borderId="0" xfId="0" applyAlignment="1">
      <alignment horizontal="center"/>
    </xf>
    <xf numFmtId="168" fontId="0" fillId="0" borderId="0" xfId="0" applyNumberFormat="1" applyAlignment="1">
      <alignment horizontal="center"/>
    </xf>
    <xf numFmtId="168" fontId="0" fillId="4" borderId="0" xfId="0" applyNumberFormat="1" applyFill="1" applyAlignment="1">
      <alignment horizontal="center"/>
    </xf>
    <xf numFmtId="0" fontId="0" fillId="0" borderId="0" xfId="0" applyAlignment="1">
      <alignment horizontal="left" indent="1"/>
    </xf>
    <xf numFmtId="165" fontId="3" fillId="0" borderId="4" xfId="2" applyNumberFormat="1" applyFont="1" applyBorder="1" applyAlignment="1">
      <alignment horizontal="center"/>
    </xf>
    <xf numFmtId="165" fontId="3" fillId="4" borderId="4" xfId="2" applyNumberFormat="1" applyFont="1" applyFill="1" applyBorder="1" applyAlignment="1">
      <alignment horizontal="center"/>
    </xf>
    <xf numFmtId="168" fontId="0" fillId="0" borderId="0" xfId="8" applyNumberFormat="1" applyFont="1"/>
    <xf numFmtId="0" fontId="0" fillId="0" borderId="0" xfId="0" applyAlignment="1">
      <alignment horizontal="right"/>
    </xf>
    <xf numFmtId="0" fontId="9" fillId="0" borderId="0" xfId="10" applyFont="1"/>
    <xf numFmtId="0" fontId="8" fillId="0" borderId="0" xfId="10"/>
    <xf numFmtId="0" fontId="8" fillId="0" borderId="0" xfId="10" applyAlignment="1">
      <alignment horizontal="right"/>
    </xf>
    <xf numFmtId="17" fontId="9" fillId="5" borderId="0" xfId="10" applyNumberFormat="1" applyFont="1" applyFill="1" applyAlignment="1">
      <alignment horizontal="center"/>
    </xf>
    <xf numFmtId="17" fontId="9" fillId="0" borderId="0" xfId="10" applyNumberFormat="1" applyFont="1" applyAlignment="1">
      <alignment horizontal="center"/>
    </xf>
    <xf numFmtId="0" fontId="9" fillId="0" borderId="0" xfId="10" applyFont="1" applyAlignment="1">
      <alignment horizontal="center"/>
    </xf>
    <xf numFmtId="0" fontId="10" fillId="0" borderId="0" xfId="10" applyFont="1" applyAlignment="1">
      <alignment horizontal="center"/>
    </xf>
    <xf numFmtId="0" fontId="11" fillId="0" borderId="0" xfId="10" applyFont="1"/>
    <xf numFmtId="17" fontId="10" fillId="0" borderId="0" xfId="10" applyNumberFormat="1" applyFont="1" applyAlignment="1">
      <alignment horizontal="center"/>
    </xf>
    <xf numFmtId="164" fontId="8" fillId="0" borderId="0" xfId="11" applyNumberFormat="1"/>
    <xf numFmtId="164" fontId="8" fillId="0" borderId="0" xfId="11" applyNumberFormat="1" applyFont="1"/>
    <xf numFmtId="0" fontId="12" fillId="0" borderId="0" xfId="10" applyFont="1"/>
    <xf numFmtId="164" fontId="12" fillId="0" borderId="0" xfId="11" applyNumberFormat="1" applyFont="1"/>
    <xf numFmtId="164" fontId="8" fillId="0" borderId="3" xfId="11" applyNumberFormat="1" applyBorder="1"/>
    <xf numFmtId="0" fontId="13" fillId="0" borderId="0" xfId="10" applyFont="1"/>
    <xf numFmtId="37" fontId="13" fillId="0" borderId="0" xfId="12" applyNumberFormat="1" applyFont="1"/>
    <xf numFmtId="37" fontId="13" fillId="0" borderId="0" xfId="12" applyNumberFormat="1" applyFont="1" applyBorder="1"/>
    <xf numFmtId="164" fontId="14" fillId="0" borderId="0" xfId="11" applyNumberFormat="1" applyFont="1"/>
    <xf numFmtId="0" fontId="14" fillId="0" borderId="0" xfId="10" applyFont="1"/>
    <xf numFmtId="0" fontId="15" fillId="0" borderId="0" xfId="10" applyFont="1"/>
    <xf numFmtId="165" fontId="13" fillId="0" borderId="0" xfId="2" applyNumberFormat="1" applyFont="1"/>
    <xf numFmtId="43" fontId="9" fillId="0" borderId="0" xfId="10" applyNumberFormat="1" applyFont="1"/>
    <xf numFmtId="43" fontId="8" fillId="0" borderId="0" xfId="10" applyNumberFormat="1"/>
    <xf numFmtId="0" fontId="8" fillId="0" borderId="0" xfId="10" applyFont="1"/>
    <xf numFmtId="0" fontId="8" fillId="0" borderId="0" xfId="0" applyFont="1"/>
    <xf numFmtId="164" fontId="8" fillId="5" borderId="0" xfId="11" applyNumberFormat="1" applyFill="1"/>
    <xf numFmtId="10" fontId="8" fillId="0" borderId="0" xfId="2" applyNumberFormat="1" applyFont="1"/>
    <xf numFmtId="43" fontId="8" fillId="0" borderId="0" xfId="11" applyNumberFormat="1"/>
    <xf numFmtId="164" fontId="8" fillId="0" borderId="0" xfId="11" applyNumberFormat="1" applyFont="1" applyFill="1"/>
    <xf numFmtId="0" fontId="8" fillId="0" borderId="5" xfId="10" applyBorder="1"/>
    <xf numFmtId="0" fontId="8" fillId="0" borderId="4" xfId="10" applyBorder="1"/>
    <xf numFmtId="164" fontId="8" fillId="5" borderId="4" xfId="11" applyNumberFormat="1" applyFill="1" applyBorder="1"/>
    <xf numFmtId="164" fontId="8" fillId="0" borderId="6" xfId="11" applyNumberFormat="1" applyBorder="1"/>
    <xf numFmtId="0" fontId="8" fillId="0" borderId="0" xfId="10" applyFill="1"/>
    <xf numFmtId="0" fontId="8" fillId="0" borderId="0" xfId="10" applyFont="1" applyFill="1" applyBorder="1"/>
    <xf numFmtId="0" fontId="8" fillId="0" borderId="0" xfId="10" applyFill="1" applyBorder="1"/>
    <xf numFmtId="164" fontId="8" fillId="0" borderId="0" xfId="11" applyNumberFormat="1" applyFill="1" applyBorder="1"/>
    <xf numFmtId="164" fontId="8" fillId="0" borderId="0" xfId="11" applyNumberFormat="1" applyFill="1"/>
    <xf numFmtId="43" fontId="8" fillId="0" borderId="0" xfId="11" applyNumberFormat="1" applyFill="1"/>
    <xf numFmtId="0" fontId="8" fillId="0" borderId="7" xfId="10" applyFont="1" applyBorder="1"/>
    <xf numFmtId="0" fontId="8" fillId="0" borderId="3" xfId="10" applyBorder="1"/>
    <xf numFmtId="164" fontId="8" fillId="5" borderId="3" xfId="11" applyNumberFormat="1" applyFill="1" applyBorder="1"/>
    <xf numFmtId="164" fontId="8" fillId="0" borderId="8" xfId="11" applyNumberFormat="1" applyBorder="1"/>
    <xf numFmtId="43" fontId="8" fillId="0" borderId="0" xfId="11"/>
    <xf numFmtId="0" fontId="9" fillId="0" borderId="9" xfId="10" applyFont="1" applyBorder="1"/>
    <xf numFmtId="0" fontId="9" fillId="0" borderId="10" xfId="10" applyFont="1" applyBorder="1"/>
    <xf numFmtId="164" fontId="9" fillId="0" borderId="10" xfId="11" applyNumberFormat="1" applyFont="1" applyBorder="1"/>
    <xf numFmtId="164" fontId="9" fillId="0" borderId="11" xfId="11" applyNumberFormat="1" applyFont="1" applyBorder="1"/>
    <xf numFmtId="165" fontId="16" fillId="0" borderId="0" xfId="2" applyNumberFormat="1" applyFont="1"/>
    <xf numFmtId="0" fontId="17" fillId="0" borderId="0" xfId="10" applyFont="1"/>
    <xf numFmtId="164" fontId="17" fillId="0" borderId="0" xfId="11" applyNumberFormat="1" applyFont="1"/>
    <xf numFmtId="164" fontId="8" fillId="5" borderId="0" xfId="11" applyNumberFormat="1" applyFont="1" applyFill="1"/>
    <xf numFmtId="164" fontId="8" fillId="6" borderId="0" xfId="11" applyNumberFormat="1" applyFont="1" applyFill="1"/>
    <xf numFmtId="0" fontId="8" fillId="0" borderId="7" xfId="10" applyBorder="1"/>
    <xf numFmtId="164" fontId="8" fillId="6" borderId="3" xfId="11" applyNumberFormat="1" applyFill="1" applyBorder="1"/>
    <xf numFmtId="170" fontId="8" fillId="0" borderId="0" xfId="12" applyNumberFormat="1"/>
    <xf numFmtId="164" fontId="8" fillId="6" borderId="0" xfId="11" applyNumberFormat="1" applyFill="1"/>
    <xf numFmtId="164" fontId="9" fillId="6" borderId="10" xfId="11" applyNumberFormat="1" applyFont="1" applyFill="1" applyBorder="1"/>
    <xf numFmtId="164" fontId="8" fillId="0" borderId="0" xfId="10" applyNumberFormat="1"/>
    <xf numFmtId="164" fontId="9" fillId="0" borderId="10" xfId="10" applyNumberFormat="1" applyFont="1" applyBorder="1"/>
    <xf numFmtId="164" fontId="9" fillId="0" borderId="11" xfId="10" applyNumberFormat="1" applyFont="1" applyBorder="1"/>
    <xf numFmtId="164" fontId="9" fillId="0" borderId="3" xfId="11" applyNumberFormat="1" applyFont="1" applyBorder="1"/>
    <xf numFmtId="164" fontId="9" fillId="0" borderId="0" xfId="11" applyNumberFormat="1" applyFont="1" applyBorder="1"/>
    <xf numFmtId="169" fontId="8" fillId="2" borderId="1" xfId="9" applyNumberFormat="1" applyFont="1"/>
    <xf numFmtId="169" fontId="8" fillId="0" borderId="0" xfId="12" applyFill="1"/>
    <xf numFmtId="169" fontId="9" fillId="0" borderId="0" xfId="12" applyFont="1"/>
    <xf numFmtId="169" fontId="8" fillId="7" borderId="0" xfId="12" applyFill="1"/>
    <xf numFmtId="169" fontId="8" fillId="2" borderId="12" xfId="9" applyNumberFormat="1" applyFont="1" applyBorder="1"/>
    <xf numFmtId="44" fontId="9" fillId="0" borderId="0" xfId="13" applyNumberFormat="1" applyFont="1"/>
    <xf numFmtId="44" fontId="8" fillId="0" borderId="3" xfId="13" applyNumberFormat="1" applyBorder="1"/>
    <xf numFmtId="44" fontId="8" fillId="0" borderId="0" xfId="13" applyNumberFormat="1"/>
    <xf numFmtId="44" fontId="8" fillId="0" borderId="0" xfId="13" applyNumberFormat="1" applyFill="1"/>
    <xf numFmtId="44" fontId="8" fillId="0" borderId="0" xfId="14"/>
    <xf numFmtId="44" fontId="8" fillId="0" borderId="0" xfId="13" applyNumberFormat="1" applyFont="1" applyFill="1"/>
    <xf numFmtId="44" fontId="9" fillId="0" borderId="0" xfId="13" applyNumberFormat="1" applyFont="1" applyFill="1"/>
    <xf numFmtId="164" fontId="8" fillId="0" borderId="0" xfId="11" applyNumberFormat="1" applyBorder="1"/>
    <xf numFmtId="3" fontId="18" fillId="0" borderId="0" xfId="0" applyNumberFormat="1" applyFont="1"/>
    <xf numFmtId="3" fontId="8" fillId="0" borderId="0" xfId="10" applyNumberFormat="1"/>
    <xf numFmtId="164" fontId="9" fillId="5" borderId="0" xfId="0" applyNumberFormat="1" applyFont="1" applyFill="1"/>
    <xf numFmtId="164" fontId="9" fillId="0" borderId="0" xfId="11" applyNumberFormat="1" applyFont="1"/>
    <xf numFmtId="164" fontId="9" fillId="0" borderId="0" xfId="11" applyNumberFormat="1" applyFont="1" applyFill="1" applyBorder="1"/>
    <xf numFmtId="164" fontId="9" fillId="0" borderId="0" xfId="10" applyNumberFormat="1" applyFont="1"/>
    <xf numFmtId="164" fontId="13" fillId="0" borderId="0" xfId="11" applyNumberFormat="1" applyFont="1"/>
    <xf numFmtId="164" fontId="8" fillId="0" borderId="0" xfId="10" applyNumberFormat="1" applyFill="1"/>
    <xf numFmtId="164" fontId="9" fillId="0" borderId="2" xfId="11" applyNumberFormat="1" applyFont="1" applyBorder="1"/>
    <xf numFmtId="172" fontId="8" fillId="0" borderId="0" xfId="13" applyNumberFormat="1"/>
    <xf numFmtId="43" fontId="0" fillId="0" borderId="0" xfId="0" applyNumberFormat="1"/>
    <xf numFmtId="0" fontId="0" fillId="8" borderId="0" xfId="0" applyFill="1" applyAlignment="1">
      <alignment wrapText="1"/>
    </xf>
    <xf numFmtId="10" fontId="0" fillId="0" borderId="0" xfId="2" applyNumberFormat="1" applyFont="1"/>
    <xf numFmtId="0" fontId="0" fillId="8" borderId="0" xfId="0" applyFill="1"/>
    <xf numFmtId="43" fontId="0" fillId="8" borderId="0" xfId="0" applyNumberFormat="1" applyFill="1"/>
    <xf numFmtId="164" fontId="0" fillId="8" borderId="3" xfId="1" applyNumberFormat="1" applyFont="1" applyFill="1" applyBorder="1"/>
    <xf numFmtId="167" fontId="0" fillId="8" borderId="0" xfId="8" applyNumberFormat="1" applyFont="1" applyFill="1"/>
    <xf numFmtId="5" fontId="0" fillId="8" borderId="3" xfId="0" applyNumberFormat="1" applyFill="1" applyBorder="1"/>
    <xf numFmtId="5" fontId="0" fillId="8" borderId="0" xfId="0" applyNumberFormat="1" applyFill="1"/>
    <xf numFmtId="165" fontId="0" fillId="4" borderId="13" xfId="2" applyNumberFormat="1" applyFont="1" applyFill="1" applyBorder="1" applyAlignment="1">
      <alignment horizontal="center"/>
    </xf>
    <xf numFmtId="44" fontId="0" fillId="0" borderId="14" xfId="8" applyFont="1" applyBorder="1"/>
    <xf numFmtId="0" fontId="1" fillId="0" borderId="0" xfId="0" applyFont="1"/>
    <xf numFmtId="0" fontId="22" fillId="0" borderId="0" xfId="15" applyNumberFormat="1" applyFont="1" applyFill="1" applyAlignment="1">
      <alignment horizontal="right"/>
    </xf>
    <xf numFmtId="0" fontId="22" fillId="0" borderId="0" xfId="15" applyNumberFormat="1" applyFont="1" applyFill="1" applyBorder="1" applyAlignment="1">
      <alignment horizontal="right"/>
    </xf>
    <xf numFmtId="173" fontId="22" fillId="0" borderId="0" xfId="15" applyNumberFormat="1" applyFont="1" applyFill="1"/>
    <xf numFmtId="173" fontId="1" fillId="4" borderId="13" xfId="2" applyNumberFormat="1" applyFont="1" applyFill="1" applyBorder="1" applyAlignment="1"/>
    <xf numFmtId="0" fontId="9" fillId="0" borderId="0" xfId="10" applyFont="1" applyAlignment="1"/>
    <xf numFmtId="0" fontId="0" fillId="10" borderId="13" xfId="0" applyFill="1" applyBorder="1"/>
    <xf numFmtId="168" fontId="0" fillId="0" borderId="13" xfId="0" applyNumberFormat="1" applyBorder="1" applyAlignment="1">
      <alignment horizontal="center"/>
    </xf>
  </cellXfs>
  <cellStyles count="16">
    <cellStyle name="Comma" xfId="1" builtinId="3"/>
    <cellStyle name="Comma 7" xfId="5"/>
    <cellStyle name="Comma_183 rate case disposal inc comm values-7.16.04" xfId="11"/>
    <cellStyle name="Comma_Eastside 2009 RC Disposal Model-0908_0809 v2" xfId="12"/>
    <cellStyle name="Currency" xfId="8" builtinId="4"/>
    <cellStyle name="Currency 7" xfId="7"/>
    <cellStyle name="Currency_183 rate case disposal inc comm values-7.16.04" xfId="14"/>
    <cellStyle name="Currency_Eastside 2009 RC Disposal Model-0908_0809 v2" xfId="13"/>
    <cellStyle name="Normal" xfId="0" builtinId="0"/>
    <cellStyle name="Normal 6" xfId="3"/>
    <cellStyle name="Normal_CostStudyTCII" xfId="15"/>
    <cellStyle name="Normal_Eastside 2009 RC Disposal Model-0908_0809 v2" xfId="10"/>
    <cellStyle name="Note" xfId="9" builtinId="10"/>
    <cellStyle name="Note 6" xfId="4"/>
    <cellStyle name="Percent" xfId="2" builtinId="5"/>
    <cellStyle name="Percent 5" xfId="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38100</xdr:colOff>
      <xdr:row>49</xdr:row>
      <xdr:rowOff>161925</xdr:rowOff>
    </xdr:from>
    <xdr:to>
      <xdr:col>37</xdr:col>
      <xdr:colOff>428625</xdr:colOff>
      <xdr:row>82</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7575" y="7886700"/>
          <a:ext cx="12344400" cy="509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656167</xdr:colOff>
      <xdr:row>79</xdr:row>
      <xdr:rowOff>42333</xdr:rowOff>
    </xdr:from>
    <xdr:to>
      <xdr:col>20</xdr:col>
      <xdr:colOff>444748</xdr:colOff>
      <xdr:row>80</xdr:row>
      <xdr:rowOff>142871</xdr:rowOff>
    </xdr:to>
    <xdr:cxnSp macro="">
      <xdr:nvCxnSpPr>
        <xdr:cNvPr id="3" name="Straight Arrow Connector 2"/>
        <xdr:cNvCxnSpPr/>
      </xdr:nvCxnSpPr>
      <xdr:spPr>
        <a:xfrm>
          <a:off x="2780242" y="12529608"/>
          <a:ext cx="10294656" cy="26246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istrict\WUTC%20Files\Rate%20Cases%20-%20Pre%202015%20&amp;%20Post%202015%20Payroll\Pre%202015\Eastside\2014%20Eastside%20Rate%20Case\STAFF%20AUDITED%20DOCUMENTS\STAFF%20WUTC%20Model%20A-B%20-%20Eastside%202014%201.7.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G-12 Financial"/>
      <sheetName val="Cap Struct."/>
      <sheetName val="LG Check"/>
      <sheetName val="Combined LG"/>
      <sheetName val="LG Garbage"/>
      <sheetName val=" LG recycle"/>
      <sheetName val="LG Yardwaste"/>
      <sheetName val="LG MF Recycle"/>
      <sheetName val="Summary"/>
      <sheetName val="Income Statement"/>
      <sheetName val="Proforma"/>
      <sheetName val="ReviewAccts"/>
      <sheetName val="Lease-Rent Adj"/>
      <sheetName val="Legal Exp Adj"/>
      <sheetName val="Staff L&amp;I Retro Adjustment"/>
      <sheetName val="Staff Depreciation"/>
      <sheetName val="Summary (Staff)"/>
      <sheetName val="Adj - Restating"/>
      <sheetName val="Adj - Proforma"/>
      <sheetName val="Matrix"/>
      <sheetName val="COS"/>
      <sheetName val="Meeks +"/>
      <sheetName val="Matrix (Rec)"/>
      <sheetName val="COS (Rec)"/>
      <sheetName val="Matrix (YW)"/>
      <sheetName val="COS (YW)"/>
      <sheetName val="Resi Price Out"/>
      <sheetName val="Company Price Out Summary"/>
      <sheetName val="Price Out Summary"/>
      <sheetName val="Resi Price Out Staff"/>
      <sheetName val="Comm Price Out"/>
      <sheetName val="Comm Price Out Staff"/>
      <sheetName val="MF Recy Price Out"/>
      <sheetName val=" MF Recy Price Out Staff"/>
      <sheetName val="Drop Box Price Out"/>
      <sheetName val="Drop Box Price Out Staff"/>
      <sheetName val="WUTC Revenue"/>
      <sheetName val="Disposal"/>
      <sheetName val="Yardwaste Analysis"/>
      <sheetName val="Roll Off Average Cost"/>
      <sheetName val="Staff Fuel Summary"/>
      <sheetName val="Fuel PF Adj"/>
      <sheetName val="Staff Fuel Detail"/>
      <sheetName val="Fuel Detail"/>
      <sheetName val="Staff CNG Detail"/>
      <sheetName val="CNG Detail"/>
      <sheetName val="Cont Summ"/>
      <sheetName val="Cont Regulated Acct (Non-MF)"/>
      <sheetName val="Cont Regulated Accounts (MF)."/>
      <sheetName val="Cont All Regulated Accounts"/>
      <sheetName val="Cont Unregulated Acct (non-MF)."/>
      <sheetName val="Cont Unregulated Accounts (MF)."/>
      <sheetName val="Cont All Unregulated Accounts"/>
      <sheetName val="Cont Detail"/>
      <sheetName val="Roll-off Stats"/>
      <sheetName val="Comm Stats"/>
      <sheetName val="Resi Stats"/>
      <sheetName val="Essbase Mgmt Fee"/>
      <sheetName val="2014 A53 Division Expense"/>
      <sheetName val="2014 BUD CC Pull"/>
      <sheetName val="MgtFee"/>
      <sheetName val="MgtFee Staff"/>
      <sheetName val="Container Maint"/>
    </sheetNames>
    <sheetDataSet>
      <sheetData sheetId="0"/>
      <sheetData sheetId="1"/>
      <sheetData sheetId="2"/>
      <sheetData sheetId="3"/>
      <sheetData sheetId="4"/>
      <sheetData sheetId="5"/>
      <sheetData sheetId="6"/>
      <sheetData sheetId="7"/>
      <sheetData sheetId="8">
        <row r="3">
          <cell r="C3" t="str">
            <v>Eastside</v>
          </cell>
        </row>
      </sheetData>
      <sheetData sheetId="9">
        <row r="43">
          <cell r="C43">
            <v>983880</v>
          </cell>
          <cell r="D43">
            <v>951623</v>
          </cell>
          <cell r="E43">
            <v>857833</v>
          </cell>
          <cell r="F43">
            <v>1010124</v>
          </cell>
          <cell r="G43">
            <v>986633</v>
          </cell>
          <cell r="H43">
            <v>975531</v>
          </cell>
          <cell r="I43">
            <v>1038418</v>
          </cell>
          <cell r="J43">
            <v>990909</v>
          </cell>
          <cell r="K43">
            <v>1024832</v>
          </cell>
          <cell r="L43">
            <v>1075949</v>
          </cell>
          <cell r="M43">
            <v>965543</v>
          </cell>
          <cell r="N43">
            <v>1045594</v>
          </cell>
        </row>
        <row r="44">
          <cell r="C44">
            <v>194520</v>
          </cell>
          <cell r="D44">
            <v>151672</v>
          </cell>
          <cell r="E44">
            <v>102217</v>
          </cell>
          <cell r="F44">
            <v>100269</v>
          </cell>
          <cell r="G44">
            <v>102794</v>
          </cell>
          <cell r="H44">
            <v>141561</v>
          </cell>
          <cell r="I44">
            <v>139590</v>
          </cell>
          <cell r="J44">
            <v>103796</v>
          </cell>
          <cell r="K44">
            <v>99071</v>
          </cell>
          <cell r="L44">
            <v>64445</v>
          </cell>
          <cell r="M44">
            <v>52924</v>
          </cell>
          <cell r="N44">
            <v>62917</v>
          </cell>
        </row>
        <row r="45">
          <cell r="C45">
            <v>320982</v>
          </cell>
          <cell r="D45">
            <v>267428</v>
          </cell>
          <cell r="E45">
            <v>233228</v>
          </cell>
          <cell r="F45">
            <v>337952</v>
          </cell>
          <cell r="G45">
            <v>342801</v>
          </cell>
          <cell r="H45">
            <v>477772</v>
          </cell>
          <cell r="I45">
            <v>356197</v>
          </cell>
          <cell r="J45">
            <v>337815</v>
          </cell>
          <cell r="K45">
            <v>331828</v>
          </cell>
          <cell r="L45">
            <v>432825</v>
          </cell>
          <cell r="M45">
            <v>490902</v>
          </cell>
          <cell r="N45">
            <v>552354</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18">
          <cell r="O18">
            <v>38.09158730867</v>
          </cell>
        </row>
        <row r="23">
          <cell r="O23">
            <v>43.731908716894083</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37"/>
  <sheetViews>
    <sheetView showGridLines="0" tabSelected="1" topLeftCell="A2" workbookViewId="0">
      <selection activeCell="D81" sqref="D81:P81"/>
    </sheetView>
  </sheetViews>
  <sheetFormatPr defaultRowHeight="15"/>
  <cols>
    <col min="1" max="1" width="25.28515625" bestFit="1" customWidth="1"/>
    <col min="2" max="4" width="10.7109375" customWidth="1"/>
    <col min="5" max="5" width="11.5703125" bestFit="1" customWidth="1"/>
    <col min="6" max="7" width="13" customWidth="1"/>
    <col min="8" max="8" width="14" bestFit="1" customWidth="1"/>
  </cols>
  <sheetData>
    <row r="3" spans="1:8">
      <c r="A3" t="s">
        <v>246</v>
      </c>
      <c r="B3" s="29" t="s">
        <v>241</v>
      </c>
      <c r="C3" s="29" t="s">
        <v>242</v>
      </c>
      <c r="D3" s="29" t="s">
        <v>243</v>
      </c>
    </row>
    <row r="4" spans="1:8">
      <c r="A4" s="32" t="s">
        <v>240</v>
      </c>
      <c r="B4" s="30">
        <v>9.75</v>
      </c>
      <c r="C4" s="30">
        <v>11</v>
      </c>
      <c r="D4" s="30">
        <v>13</v>
      </c>
    </row>
    <row r="5" spans="1:8">
      <c r="A5" s="32" t="s">
        <v>244</v>
      </c>
      <c r="B5" s="30">
        <f>18140.27/1263.25</f>
        <v>14.360000000000001</v>
      </c>
      <c r="C5" s="30">
        <f>21168.89/1299.5</f>
        <v>16.290026933435936</v>
      </c>
      <c r="D5" s="31">
        <f>D4*(1+B17)</f>
        <v>19.253</v>
      </c>
    </row>
    <row r="6" spans="1:8">
      <c r="A6" s="32" t="s">
        <v>245</v>
      </c>
      <c r="B6" s="33">
        <f>+B5/B4-1</f>
        <v>0.47282051282051296</v>
      </c>
      <c r="C6" s="33">
        <f>+C5/C4-1</f>
        <v>0.48091153940326681</v>
      </c>
      <c r="D6" s="34">
        <f>+D5/D4-1</f>
        <v>0.48100000000000009</v>
      </c>
    </row>
    <row r="8" spans="1:8">
      <c r="A8" t="s">
        <v>247</v>
      </c>
      <c r="B8" s="29" t="s">
        <v>241</v>
      </c>
      <c r="C8" s="29" t="s">
        <v>242</v>
      </c>
      <c r="D8" s="29" t="s">
        <v>243</v>
      </c>
    </row>
    <row r="9" spans="1:8">
      <c r="A9" s="32" t="s">
        <v>240</v>
      </c>
      <c r="B9" s="30">
        <f>B4*1.5</f>
        <v>14.625</v>
      </c>
      <c r="C9" s="30">
        <f>C4*1.5</f>
        <v>16.5</v>
      </c>
      <c r="D9" s="30">
        <f>D4*1.5</f>
        <v>19.5</v>
      </c>
    </row>
    <row r="10" spans="1:8">
      <c r="A10" s="32" t="s">
        <v>244</v>
      </c>
      <c r="B10" s="30">
        <f>4674.38/226.25</f>
        <v>20.660243093922652</v>
      </c>
      <c r="C10" s="30">
        <f>1395.37/59.25</f>
        <v>23.55054852320675</v>
      </c>
      <c r="D10" s="31">
        <f>D9*(1+B18)</f>
        <v>27.826499999999999</v>
      </c>
    </row>
    <row r="11" spans="1:8">
      <c r="A11" s="32" t="s">
        <v>245</v>
      </c>
      <c r="B11" s="33">
        <f>+B10/B9-1</f>
        <v>0.41266619445624975</v>
      </c>
      <c r="C11" s="33">
        <f>+C10/C9-1</f>
        <v>0.42730597110343949</v>
      </c>
      <c r="D11" s="34">
        <f>+D10/D9-1</f>
        <v>0.42700000000000005</v>
      </c>
    </row>
    <row r="12" spans="1:8">
      <c r="G12" s="25"/>
    </row>
    <row r="13" spans="1:8">
      <c r="F13" s="29" t="s">
        <v>238</v>
      </c>
      <c r="G13" s="29" t="s">
        <v>236</v>
      </c>
      <c r="H13" s="29" t="s">
        <v>237</v>
      </c>
    </row>
    <row r="14" spans="1:8">
      <c r="D14" s="36" t="s">
        <v>234</v>
      </c>
      <c r="E14" s="4">
        <f>'Wage Summary'!C21</f>
        <v>149033.80555555556</v>
      </c>
      <c r="F14" s="28">
        <f>B5</f>
        <v>14.360000000000001</v>
      </c>
      <c r="G14" s="35">
        <f>D5</f>
        <v>19.253</v>
      </c>
      <c r="H14" s="26">
        <f>(G14-F14)*E14</f>
        <v>729222.41058333323</v>
      </c>
    </row>
    <row r="15" spans="1:8">
      <c r="D15" s="36" t="s">
        <v>235</v>
      </c>
      <c r="E15" s="4">
        <f>'Wage Summary'!C22</f>
        <v>18661.138888888891</v>
      </c>
      <c r="F15" s="28">
        <f>B10</f>
        <v>20.660243093922652</v>
      </c>
      <c r="G15" s="28">
        <f>D10</f>
        <v>27.826499999999999</v>
      </c>
      <c r="H15" s="26">
        <f>(G15-F15)*E15</f>
        <v>133730.51543776857</v>
      </c>
    </row>
    <row r="16" spans="1:8">
      <c r="A16" t="s">
        <v>289</v>
      </c>
      <c r="H16" s="27">
        <f>SUM(H14:H15)</f>
        <v>862952.92602110177</v>
      </c>
    </row>
    <row r="17" spans="1:8">
      <c r="A17" s="125" t="s">
        <v>290</v>
      </c>
      <c r="B17" s="132">
        <v>0.48099999999999998</v>
      </c>
    </row>
    <row r="18" spans="1:8">
      <c r="A18" t="s">
        <v>291</v>
      </c>
      <c r="B18" s="132">
        <v>0.42699999999999999</v>
      </c>
      <c r="G18" s="36" t="s">
        <v>248</v>
      </c>
      <c r="H18" s="23">
        <f>SUM('MRF Tonnage'!$D$259:$O$259)</f>
        <v>209710</v>
      </c>
    </row>
    <row r="20" spans="1:8">
      <c r="G20" s="36" t="s">
        <v>249</v>
      </c>
      <c r="H20" s="24">
        <f>+H16/H18</f>
        <v>4.1149822422445368</v>
      </c>
    </row>
    <row r="22" spans="1:8">
      <c r="A22" s="135" t="s">
        <v>292</v>
      </c>
      <c r="B22" s="138">
        <v>1.4999999999999999E-2</v>
      </c>
      <c r="G22" s="36" t="s">
        <v>282</v>
      </c>
      <c r="H22" s="23">
        <f>SUM('4172 Tonnage'!F38:Q38)</f>
        <v>4201.7436461347697</v>
      </c>
    </row>
    <row r="23" spans="1:8">
      <c r="A23" s="136" t="s">
        <v>293</v>
      </c>
      <c r="B23" s="138">
        <v>4.2750000000000002E-3</v>
      </c>
    </row>
    <row r="24" spans="1:8">
      <c r="A24" s="135" t="s">
        <v>294</v>
      </c>
      <c r="B24" s="137">
        <f>SUM(B22:B23)</f>
        <v>1.9275E-2</v>
      </c>
      <c r="G24" s="36" t="s">
        <v>283</v>
      </c>
      <c r="H24" s="26">
        <f>+H22*H20</f>
        <v>17290.100490308389</v>
      </c>
    </row>
    <row r="25" spans="1:8">
      <c r="A25" s="134"/>
      <c r="B25" s="134"/>
    </row>
    <row r="26" spans="1:8">
      <c r="G26" s="36" t="s">
        <v>295</v>
      </c>
      <c r="H26" s="26">
        <f>+H24*B24</f>
        <v>333.26668695069418</v>
      </c>
    </row>
    <row r="28" spans="1:8">
      <c r="G28" s="36" t="s">
        <v>296</v>
      </c>
      <c r="H28" s="27">
        <f>SUM(H24:H27)</f>
        <v>17623.367177259082</v>
      </c>
    </row>
    <row r="30" spans="1:8">
      <c r="G30" s="36" t="s">
        <v>284</v>
      </c>
      <c r="H30" s="23">
        <v>10418</v>
      </c>
    </row>
    <row r="32" spans="1:8" ht="15.75" thickBot="1">
      <c r="G32" s="36" t="s">
        <v>250</v>
      </c>
      <c r="H32" s="133">
        <f>+H28/12/H30</f>
        <v>0.14096889339971749</v>
      </c>
    </row>
    <row r="33" spans="6:8" ht="15.75" thickTop="1"/>
    <row r="35" spans="6:8">
      <c r="G35" s="140" t="s">
        <v>236</v>
      </c>
      <c r="H35" s="140" t="s">
        <v>297</v>
      </c>
    </row>
    <row r="36" spans="6:8">
      <c r="F36" t="s">
        <v>298</v>
      </c>
      <c r="G36" s="141">
        <v>9.1</v>
      </c>
      <c r="H36" s="141">
        <f>+G36+$H$32</f>
        <v>9.2409688933997174</v>
      </c>
    </row>
    <row r="37" spans="6:8">
      <c r="F37" t="s">
        <v>299</v>
      </c>
      <c r="G37" s="141">
        <v>11.34</v>
      </c>
      <c r="H37" s="141">
        <f>+G37+$H$32</f>
        <v>11.480968893399718</v>
      </c>
    </row>
  </sheetData>
  <pageMargins left="0.7" right="0.7" top="0.75" bottom="0.75" header="0.3" footer="0.3"/>
  <pageSetup paperSize="9" scale="90"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69"/>
  <sheetViews>
    <sheetView tabSelected="1" zoomScaleNormal="100" workbookViewId="0">
      <selection activeCell="D81" sqref="D81:P81"/>
    </sheetView>
  </sheetViews>
  <sheetFormatPr defaultColWidth="9.140625" defaultRowHeight="12.75" outlineLevelRow="1"/>
  <cols>
    <col min="1" max="1" width="2.7109375" style="38" customWidth="1"/>
    <col min="2" max="2" width="4.42578125" style="38" customWidth="1"/>
    <col min="3" max="3" width="3.5703125" style="38" customWidth="1"/>
    <col min="4" max="4" width="12" style="38" customWidth="1"/>
    <col min="5" max="5" width="9.140625" style="38" customWidth="1"/>
    <col min="6" max="6" width="10" style="38" customWidth="1"/>
    <col min="7" max="7" width="11.7109375" style="38" customWidth="1"/>
    <col min="8" max="17" width="10" style="38" customWidth="1"/>
    <col min="18" max="18" width="12" style="38" customWidth="1"/>
    <col min="19" max="19" width="13.5703125" style="38" bestFit="1" customWidth="1"/>
    <col min="20" max="20" width="10.28515625" style="38" bestFit="1" customWidth="1"/>
    <col min="21" max="256" width="9.140625" style="38"/>
    <col min="257" max="257" width="2.7109375" style="38" customWidth="1"/>
    <col min="258" max="258" width="4.42578125" style="38" customWidth="1"/>
    <col min="259" max="259" width="3.5703125" style="38" customWidth="1"/>
    <col min="260" max="260" width="12" style="38" customWidth="1"/>
    <col min="261" max="261" width="9.140625" style="38" customWidth="1"/>
    <col min="262" max="262" width="10" style="38" customWidth="1"/>
    <col min="263" max="263" width="11.7109375" style="38" customWidth="1"/>
    <col min="264" max="273" width="10" style="38" customWidth="1"/>
    <col min="274" max="274" width="12" style="38" customWidth="1"/>
    <col min="275" max="275" width="13.5703125" style="38" bestFit="1" customWidth="1"/>
    <col min="276" max="276" width="10.28515625" style="38" bestFit="1" customWidth="1"/>
    <col min="277" max="512" width="9.140625" style="38"/>
    <col min="513" max="513" width="2.7109375" style="38" customWidth="1"/>
    <col min="514" max="514" width="4.42578125" style="38" customWidth="1"/>
    <col min="515" max="515" width="3.5703125" style="38" customWidth="1"/>
    <col min="516" max="516" width="12" style="38" customWidth="1"/>
    <col min="517" max="517" width="9.140625" style="38" customWidth="1"/>
    <col min="518" max="518" width="10" style="38" customWidth="1"/>
    <col min="519" max="519" width="11.7109375" style="38" customWidth="1"/>
    <col min="520" max="529" width="10" style="38" customWidth="1"/>
    <col min="530" max="530" width="12" style="38" customWidth="1"/>
    <col min="531" max="531" width="13.5703125" style="38" bestFit="1" customWidth="1"/>
    <col min="532" max="532" width="10.28515625" style="38" bestFit="1" customWidth="1"/>
    <col min="533" max="768" width="9.140625" style="38"/>
    <col min="769" max="769" width="2.7109375" style="38" customWidth="1"/>
    <col min="770" max="770" width="4.42578125" style="38" customWidth="1"/>
    <col min="771" max="771" width="3.5703125" style="38" customWidth="1"/>
    <col min="772" max="772" width="12" style="38" customWidth="1"/>
    <col min="773" max="773" width="9.140625" style="38" customWidth="1"/>
    <col min="774" max="774" width="10" style="38" customWidth="1"/>
    <col min="775" max="775" width="11.7109375" style="38" customWidth="1"/>
    <col min="776" max="785" width="10" style="38" customWidth="1"/>
    <col min="786" max="786" width="12" style="38" customWidth="1"/>
    <col min="787" max="787" width="13.5703125" style="38" bestFit="1" customWidth="1"/>
    <col min="788" max="788" width="10.28515625" style="38" bestFit="1" customWidth="1"/>
    <col min="789" max="1024" width="9.140625" style="38"/>
    <col min="1025" max="1025" width="2.7109375" style="38" customWidth="1"/>
    <col min="1026" max="1026" width="4.42578125" style="38" customWidth="1"/>
    <col min="1027" max="1027" width="3.5703125" style="38" customWidth="1"/>
    <col min="1028" max="1028" width="12" style="38" customWidth="1"/>
    <col min="1029" max="1029" width="9.140625" style="38" customWidth="1"/>
    <col min="1030" max="1030" width="10" style="38" customWidth="1"/>
    <col min="1031" max="1031" width="11.7109375" style="38" customWidth="1"/>
    <col min="1032" max="1041" width="10" style="38" customWidth="1"/>
    <col min="1042" max="1042" width="12" style="38" customWidth="1"/>
    <col min="1043" max="1043" width="13.5703125" style="38" bestFit="1" customWidth="1"/>
    <col min="1044" max="1044" width="10.28515625" style="38" bestFit="1" customWidth="1"/>
    <col min="1045" max="1280" width="9.140625" style="38"/>
    <col min="1281" max="1281" width="2.7109375" style="38" customWidth="1"/>
    <col min="1282" max="1282" width="4.42578125" style="38" customWidth="1"/>
    <col min="1283" max="1283" width="3.5703125" style="38" customWidth="1"/>
    <col min="1284" max="1284" width="12" style="38" customWidth="1"/>
    <col min="1285" max="1285" width="9.140625" style="38" customWidth="1"/>
    <col min="1286" max="1286" width="10" style="38" customWidth="1"/>
    <col min="1287" max="1287" width="11.7109375" style="38" customWidth="1"/>
    <col min="1288" max="1297" width="10" style="38" customWidth="1"/>
    <col min="1298" max="1298" width="12" style="38" customWidth="1"/>
    <col min="1299" max="1299" width="13.5703125" style="38" bestFit="1" customWidth="1"/>
    <col min="1300" max="1300" width="10.28515625" style="38" bestFit="1" customWidth="1"/>
    <col min="1301" max="1536" width="9.140625" style="38"/>
    <col min="1537" max="1537" width="2.7109375" style="38" customWidth="1"/>
    <col min="1538" max="1538" width="4.42578125" style="38" customWidth="1"/>
    <col min="1539" max="1539" width="3.5703125" style="38" customWidth="1"/>
    <col min="1540" max="1540" width="12" style="38" customWidth="1"/>
    <col min="1541" max="1541" width="9.140625" style="38" customWidth="1"/>
    <col min="1542" max="1542" width="10" style="38" customWidth="1"/>
    <col min="1543" max="1543" width="11.7109375" style="38" customWidth="1"/>
    <col min="1544" max="1553" width="10" style="38" customWidth="1"/>
    <col min="1554" max="1554" width="12" style="38" customWidth="1"/>
    <col min="1555" max="1555" width="13.5703125" style="38" bestFit="1" customWidth="1"/>
    <col min="1556" max="1556" width="10.28515625" style="38" bestFit="1" customWidth="1"/>
    <col min="1557" max="1792" width="9.140625" style="38"/>
    <col min="1793" max="1793" width="2.7109375" style="38" customWidth="1"/>
    <col min="1794" max="1794" width="4.42578125" style="38" customWidth="1"/>
    <col min="1795" max="1795" width="3.5703125" style="38" customWidth="1"/>
    <col min="1796" max="1796" width="12" style="38" customWidth="1"/>
    <col min="1797" max="1797" width="9.140625" style="38" customWidth="1"/>
    <col min="1798" max="1798" width="10" style="38" customWidth="1"/>
    <col min="1799" max="1799" width="11.7109375" style="38" customWidth="1"/>
    <col min="1800" max="1809" width="10" style="38" customWidth="1"/>
    <col min="1810" max="1810" width="12" style="38" customWidth="1"/>
    <col min="1811" max="1811" width="13.5703125" style="38" bestFit="1" customWidth="1"/>
    <col min="1812" max="1812" width="10.28515625" style="38" bestFit="1" customWidth="1"/>
    <col min="1813" max="2048" width="9.140625" style="38"/>
    <col min="2049" max="2049" width="2.7109375" style="38" customWidth="1"/>
    <col min="2050" max="2050" width="4.42578125" style="38" customWidth="1"/>
    <col min="2051" max="2051" width="3.5703125" style="38" customWidth="1"/>
    <col min="2052" max="2052" width="12" style="38" customWidth="1"/>
    <col min="2053" max="2053" width="9.140625" style="38" customWidth="1"/>
    <col min="2054" max="2054" width="10" style="38" customWidth="1"/>
    <col min="2055" max="2055" width="11.7109375" style="38" customWidth="1"/>
    <col min="2056" max="2065" width="10" style="38" customWidth="1"/>
    <col min="2066" max="2066" width="12" style="38" customWidth="1"/>
    <col min="2067" max="2067" width="13.5703125" style="38" bestFit="1" customWidth="1"/>
    <col min="2068" max="2068" width="10.28515625" style="38" bestFit="1" customWidth="1"/>
    <col min="2069" max="2304" width="9.140625" style="38"/>
    <col min="2305" max="2305" width="2.7109375" style="38" customWidth="1"/>
    <col min="2306" max="2306" width="4.42578125" style="38" customWidth="1"/>
    <col min="2307" max="2307" width="3.5703125" style="38" customWidth="1"/>
    <col min="2308" max="2308" width="12" style="38" customWidth="1"/>
    <col min="2309" max="2309" width="9.140625" style="38" customWidth="1"/>
    <col min="2310" max="2310" width="10" style="38" customWidth="1"/>
    <col min="2311" max="2311" width="11.7109375" style="38" customWidth="1"/>
    <col min="2312" max="2321" width="10" style="38" customWidth="1"/>
    <col min="2322" max="2322" width="12" style="38" customWidth="1"/>
    <col min="2323" max="2323" width="13.5703125" style="38" bestFit="1" customWidth="1"/>
    <col min="2324" max="2324" width="10.28515625" style="38" bestFit="1" customWidth="1"/>
    <col min="2325" max="2560" width="9.140625" style="38"/>
    <col min="2561" max="2561" width="2.7109375" style="38" customWidth="1"/>
    <col min="2562" max="2562" width="4.42578125" style="38" customWidth="1"/>
    <col min="2563" max="2563" width="3.5703125" style="38" customWidth="1"/>
    <col min="2564" max="2564" width="12" style="38" customWidth="1"/>
    <col min="2565" max="2565" width="9.140625" style="38" customWidth="1"/>
    <col min="2566" max="2566" width="10" style="38" customWidth="1"/>
    <col min="2567" max="2567" width="11.7109375" style="38" customWidth="1"/>
    <col min="2568" max="2577" width="10" style="38" customWidth="1"/>
    <col min="2578" max="2578" width="12" style="38" customWidth="1"/>
    <col min="2579" max="2579" width="13.5703125" style="38" bestFit="1" customWidth="1"/>
    <col min="2580" max="2580" width="10.28515625" style="38" bestFit="1" customWidth="1"/>
    <col min="2581" max="2816" width="9.140625" style="38"/>
    <col min="2817" max="2817" width="2.7109375" style="38" customWidth="1"/>
    <col min="2818" max="2818" width="4.42578125" style="38" customWidth="1"/>
    <col min="2819" max="2819" width="3.5703125" style="38" customWidth="1"/>
    <col min="2820" max="2820" width="12" style="38" customWidth="1"/>
    <col min="2821" max="2821" width="9.140625" style="38" customWidth="1"/>
    <col min="2822" max="2822" width="10" style="38" customWidth="1"/>
    <col min="2823" max="2823" width="11.7109375" style="38" customWidth="1"/>
    <col min="2824" max="2833" width="10" style="38" customWidth="1"/>
    <col min="2834" max="2834" width="12" style="38" customWidth="1"/>
    <col min="2835" max="2835" width="13.5703125" style="38" bestFit="1" customWidth="1"/>
    <col min="2836" max="2836" width="10.28515625" style="38" bestFit="1" customWidth="1"/>
    <col min="2837" max="3072" width="9.140625" style="38"/>
    <col min="3073" max="3073" width="2.7109375" style="38" customWidth="1"/>
    <col min="3074" max="3074" width="4.42578125" style="38" customWidth="1"/>
    <col min="3075" max="3075" width="3.5703125" style="38" customWidth="1"/>
    <col min="3076" max="3076" width="12" style="38" customWidth="1"/>
    <col min="3077" max="3077" width="9.140625" style="38" customWidth="1"/>
    <col min="3078" max="3078" width="10" style="38" customWidth="1"/>
    <col min="3079" max="3079" width="11.7109375" style="38" customWidth="1"/>
    <col min="3080" max="3089" width="10" style="38" customWidth="1"/>
    <col min="3090" max="3090" width="12" style="38" customWidth="1"/>
    <col min="3091" max="3091" width="13.5703125" style="38" bestFit="1" customWidth="1"/>
    <col min="3092" max="3092" width="10.28515625" style="38" bestFit="1" customWidth="1"/>
    <col min="3093" max="3328" width="9.140625" style="38"/>
    <col min="3329" max="3329" width="2.7109375" style="38" customWidth="1"/>
    <col min="3330" max="3330" width="4.42578125" style="38" customWidth="1"/>
    <col min="3331" max="3331" width="3.5703125" style="38" customWidth="1"/>
    <col min="3332" max="3332" width="12" style="38" customWidth="1"/>
    <col min="3333" max="3333" width="9.140625" style="38" customWidth="1"/>
    <col min="3334" max="3334" width="10" style="38" customWidth="1"/>
    <col min="3335" max="3335" width="11.7109375" style="38" customWidth="1"/>
    <col min="3336" max="3345" width="10" style="38" customWidth="1"/>
    <col min="3346" max="3346" width="12" style="38" customWidth="1"/>
    <col min="3347" max="3347" width="13.5703125" style="38" bestFit="1" customWidth="1"/>
    <col min="3348" max="3348" width="10.28515625" style="38" bestFit="1" customWidth="1"/>
    <col min="3349" max="3584" width="9.140625" style="38"/>
    <col min="3585" max="3585" width="2.7109375" style="38" customWidth="1"/>
    <col min="3586" max="3586" width="4.42578125" style="38" customWidth="1"/>
    <col min="3587" max="3587" width="3.5703125" style="38" customWidth="1"/>
    <col min="3588" max="3588" width="12" style="38" customWidth="1"/>
    <col min="3589" max="3589" width="9.140625" style="38" customWidth="1"/>
    <col min="3590" max="3590" width="10" style="38" customWidth="1"/>
    <col min="3591" max="3591" width="11.7109375" style="38" customWidth="1"/>
    <col min="3592" max="3601" width="10" style="38" customWidth="1"/>
    <col min="3602" max="3602" width="12" style="38" customWidth="1"/>
    <col min="3603" max="3603" width="13.5703125" style="38" bestFit="1" customWidth="1"/>
    <col min="3604" max="3604" width="10.28515625" style="38" bestFit="1" customWidth="1"/>
    <col min="3605" max="3840" width="9.140625" style="38"/>
    <col min="3841" max="3841" width="2.7109375" style="38" customWidth="1"/>
    <col min="3842" max="3842" width="4.42578125" style="38" customWidth="1"/>
    <col min="3843" max="3843" width="3.5703125" style="38" customWidth="1"/>
    <col min="3844" max="3844" width="12" style="38" customWidth="1"/>
    <col min="3845" max="3845" width="9.140625" style="38" customWidth="1"/>
    <col min="3846" max="3846" width="10" style="38" customWidth="1"/>
    <col min="3847" max="3847" width="11.7109375" style="38" customWidth="1"/>
    <col min="3848" max="3857" width="10" style="38" customWidth="1"/>
    <col min="3858" max="3858" width="12" style="38" customWidth="1"/>
    <col min="3859" max="3859" width="13.5703125" style="38" bestFit="1" customWidth="1"/>
    <col min="3860" max="3860" width="10.28515625" style="38" bestFit="1" customWidth="1"/>
    <col min="3861" max="4096" width="9.140625" style="38"/>
    <col min="4097" max="4097" width="2.7109375" style="38" customWidth="1"/>
    <col min="4098" max="4098" width="4.42578125" style="38" customWidth="1"/>
    <col min="4099" max="4099" width="3.5703125" style="38" customWidth="1"/>
    <col min="4100" max="4100" width="12" style="38" customWidth="1"/>
    <col min="4101" max="4101" width="9.140625" style="38" customWidth="1"/>
    <col min="4102" max="4102" width="10" style="38" customWidth="1"/>
    <col min="4103" max="4103" width="11.7109375" style="38" customWidth="1"/>
    <col min="4104" max="4113" width="10" style="38" customWidth="1"/>
    <col min="4114" max="4114" width="12" style="38" customWidth="1"/>
    <col min="4115" max="4115" width="13.5703125" style="38" bestFit="1" customWidth="1"/>
    <col min="4116" max="4116" width="10.28515625" style="38" bestFit="1" customWidth="1"/>
    <col min="4117" max="4352" width="9.140625" style="38"/>
    <col min="4353" max="4353" width="2.7109375" style="38" customWidth="1"/>
    <col min="4354" max="4354" width="4.42578125" style="38" customWidth="1"/>
    <col min="4355" max="4355" width="3.5703125" style="38" customWidth="1"/>
    <col min="4356" max="4356" width="12" style="38" customWidth="1"/>
    <col min="4357" max="4357" width="9.140625" style="38" customWidth="1"/>
    <col min="4358" max="4358" width="10" style="38" customWidth="1"/>
    <col min="4359" max="4359" width="11.7109375" style="38" customWidth="1"/>
    <col min="4360" max="4369" width="10" style="38" customWidth="1"/>
    <col min="4370" max="4370" width="12" style="38" customWidth="1"/>
    <col min="4371" max="4371" width="13.5703125" style="38" bestFit="1" customWidth="1"/>
    <col min="4372" max="4372" width="10.28515625" style="38" bestFit="1" customWidth="1"/>
    <col min="4373" max="4608" width="9.140625" style="38"/>
    <col min="4609" max="4609" width="2.7109375" style="38" customWidth="1"/>
    <col min="4610" max="4610" width="4.42578125" style="38" customWidth="1"/>
    <col min="4611" max="4611" width="3.5703125" style="38" customWidth="1"/>
    <col min="4612" max="4612" width="12" style="38" customWidth="1"/>
    <col min="4613" max="4613" width="9.140625" style="38" customWidth="1"/>
    <col min="4614" max="4614" width="10" style="38" customWidth="1"/>
    <col min="4615" max="4615" width="11.7109375" style="38" customWidth="1"/>
    <col min="4616" max="4625" width="10" style="38" customWidth="1"/>
    <col min="4626" max="4626" width="12" style="38" customWidth="1"/>
    <col min="4627" max="4627" width="13.5703125" style="38" bestFit="1" customWidth="1"/>
    <col min="4628" max="4628" width="10.28515625" style="38" bestFit="1" customWidth="1"/>
    <col min="4629" max="4864" width="9.140625" style="38"/>
    <col min="4865" max="4865" width="2.7109375" style="38" customWidth="1"/>
    <col min="4866" max="4866" width="4.42578125" style="38" customWidth="1"/>
    <col min="4867" max="4867" width="3.5703125" style="38" customWidth="1"/>
    <col min="4868" max="4868" width="12" style="38" customWidth="1"/>
    <col min="4869" max="4869" width="9.140625" style="38" customWidth="1"/>
    <col min="4870" max="4870" width="10" style="38" customWidth="1"/>
    <col min="4871" max="4871" width="11.7109375" style="38" customWidth="1"/>
    <col min="4872" max="4881" width="10" style="38" customWidth="1"/>
    <col min="4882" max="4882" width="12" style="38" customWidth="1"/>
    <col min="4883" max="4883" width="13.5703125" style="38" bestFit="1" customWidth="1"/>
    <col min="4884" max="4884" width="10.28515625" style="38" bestFit="1" customWidth="1"/>
    <col min="4885" max="5120" width="9.140625" style="38"/>
    <col min="5121" max="5121" width="2.7109375" style="38" customWidth="1"/>
    <col min="5122" max="5122" width="4.42578125" style="38" customWidth="1"/>
    <col min="5123" max="5123" width="3.5703125" style="38" customWidth="1"/>
    <col min="5124" max="5124" width="12" style="38" customWidth="1"/>
    <col min="5125" max="5125" width="9.140625" style="38" customWidth="1"/>
    <col min="5126" max="5126" width="10" style="38" customWidth="1"/>
    <col min="5127" max="5127" width="11.7109375" style="38" customWidth="1"/>
    <col min="5128" max="5137" width="10" style="38" customWidth="1"/>
    <col min="5138" max="5138" width="12" style="38" customWidth="1"/>
    <col min="5139" max="5139" width="13.5703125" style="38" bestFit="1" customWidth="1"/>
    <col min="5140" max="5140" width="10.28515625" style="38" bestFit="1" customWidth="1"/>
    <col min="5141" max="5376" width="9.140625" style="38"/>
    <col min="5377" max="5377" width="2.7109375" style="38" customWidth="1"/>
    <col min="5378" max="5378" width="4.42578125" style="38" customWidth="1"/>
    <col min="5379" max="5379" width="3.5703125" style="38" customWidth="1"/>
    <col min="5380" max="5380" width="12" style="38" customWidth="1"/>
    <col min="5381" max="5381" width="9.140625" style="38" customWidth="1"/>
    <col min="5382" max="5382" width="10" style="38" customWidth="1"/>
    <col min="5383" max="5383" width="11.7109375" style="38" customWidth="1"/>
    <col min="5384" max="5393" width="10" style="38" customWidth="1"/>
    <col min="5394" max="5394" width="12" style="38" customWidth="1"/>
    <col min="5395" max="5395" width="13.5703125" style="38" bestFit="1" customWidth="1"/>
    <col min="5396" max="5396" width="10.28515625" style="38" bestFit="1" customWidth="1"/>
    <col min="5397" max="5632" width="9.140625" style="38"/>
    <col min="5633" max="5633" width="2.7109375" style="38" customWidth="1"/>
    <col min="5634" max="5634" width="4.42578125" style="38" customWidth="1"/>
    <col min="5635" max="5635" width="3.5703125" style="38" customWidth="1"/>
    <col min="5636" max="5636" width="12" style="38" customWidth="1"/>
    <col min="5637" max="5637" width="9.140625" style="38" customWidth="1"/>
    <col min="5638" max="5638" width="10" style="38" customWidth="1"/>
    <col min="5639" max="5639" width="11.7109375" style="38" customWidth="1"/>
    <col min="5640" max="5649" width="10" style="38" customWidth="1"/>
    <col min="5650" max="5650" width="12" style="38" customWidth="1"/>
    <col min="5651" max="5651" width="13.5703125" style="38" bestFit="1" customWidth="1"/>
    <col min="5652" max="5652" width="10.28515625" style="38" bestFit="1" customWidth="1"/>
    <col min="5653" max="5888" width="9.140625" style="38"/>
    <col min="5889" max="5889" width="2.7109375" style="38" customWidth="1"/>
    <col min="5890" max="5890" width="4.42578125" style="38" customWidth="1"/>
    <col min="5891" max="5891" width="3.5703125" style="38" customWidth="1"/>
    <col min="5892" max="5892" width="12" style="38" customWidth="1"/>
    <col min="5893" max="5893" width="9.140625" style="38" customWidth="1"/>
    <col min="5894" max="5894" width="10" style="38" customWidth="1"/>
    <col min="5895" max="5895" width="11.7109375" style="38" customWidth="1"/>
    <col min="5896" max="5905" width="10" style="38" customWidth="1"/>
    <col min="5906" max="5906" width="12" style="38" customWidth="1"/>
    <col min="5907" max="5907" width="13.5703125" style="38" bestFit="1" customWidth="1"/>
    <col min="5908" max="5908" width="10.28515625" style="38" bestFit="1" customWidth="1"/>
    <col min="5909" max="6144" width="9.140625" style="38"/>
    <col min="6145" max="6145" width="2.7109375" style="38" customWidth="1"/>
    <col min="6146" max="6146" width="4.42578125" style="38" customWidth="1"/>
    <col min="6147" max="6147" width="3.5703125" style="38" customWidth="1"/>
    <col min="6148" max="6148" width="12" style="38" customWidth="1"/>
    <col min="6149" max="6149" width="9.140625" style="38" customWidth="1"/>
    <col min="6150" max="6150" width="10" style="38" customWidth="1"/>
    <col min="6151" max="6151" width="11.7109375" style="38" customWidth="1"/>
    <col min="6152" max="6161" width="10" style="38" customWidth="1"/>
    <col min="6162" max="6162" width="12" style="38" customWidth="1"/>
    <col min="6163" max="6163" width="13.5703125" style="38" bestFit="1" customWidth="1"/>
    <col min="6164" max="6164" width="10.28515625" style="38" bestFit="1" customWidth="1"/>
    <col min="6165" max="6400" width="9.140625" style="38"/>
    <col min="6401" max="6401" width="2.7109375" style="38" customWidth="1"/>
    <col min="6402" max="6402" width="4.42578125" style="38" customWidth="1"/>
    <col min="6403" max="6403" width="3.5703125" style="38" customWidth="1"/>
    <col min="6404" max="6404" width="12" style="38" customWidth="1"/>
    <col min="6405" max="6405" width="9.140625" style="38" customWidth="1"/>
    <col min="6406" max="6406" width="10" style="38" customWidth="1"/>
    <col min="6407" max="6407" width="11.7109375" style="38" customWidth="1"/>
    <col min="6408" max="6417" width="10" style="38" customWidth="1"/>
    <col min="6418" max="6418" width="12" style="38" customWidth="1"/>
    <col min="6419" max="6419" width="13.5703125" style="38" bestFit="1" customWidth="1"/>
    <col min="6420" max="6420" width="10.28515625" style="38" bestFit="1" customWidth="1"/>
    <col min="6421" max="6656" width="9.140625" style="38"/>
    <col min="6657" max="6657" width="2.7109375" style="38" customWidth="1"/>
    <col min="6658" max="6658" width="4.42578125" style="38" customWidth="1"/>
    <col min="6659" max="6659" width="3.5703125" style="38" customWidth="1"/>
    <col min="6660" max="6660" width="12" style="38" customWidth="1"/>
    <col min="6661" max="6661" width="9.140625" style="38" customWidth="1"/>
    <col min="6662" max="6662" width="10" style="38" customWidth="1"/>
    <col min="6663" max="6663" width="11.7109375" style="38" customWidth="1"/>
    <col min="6664" max="6673" width="10" style="38" customWidth="1"/>
    <col min="6674" max="6674" width="12" style="38" customWidth="1"/>
    <col min="6675" max="6675" width="13.5703125" style="38" bestFit="1" customWidth="1"/>
    <col min="6676" max="6676" width="10.28515625" style="38" bestFit="1" customWidth="1"/>
    <col min="6677" max="6912" width="9.140625" style="38"/>
    <col min="6913" max="6913" width="2.7109375" style="38" customWidth="1"/>
    <col min="6914" max="6914" width="4.42578125" style="38" customWidth="1"/>
    <col min="6915" max="6915" width="3.5703125" style="38" customWidth="1"/>
    <col min="6916" max="6916" width="12" style="38" customWidth="1"/>
    <col min="6917" max="6917" width="9.140625" style="38" customWidth="1"/>
    <col min="6918" max="6918" width="10" style="38" customWidth="1"/>
    <col min="6919" max="6919" width="11.7109375" style="38" customWidth="1"/>
    <col min="6920" max="6929" width="10" style="38" customWidth="1"/>
    <col min="6930" max="6930" width="12" style="38" customWidth="1"/>
    <col min="6931" max="6931" width="13.5703125" style="38" bestFit="1" customWidth="1"/>
    <col min="6932" max="6932" width="10.28515625" style="38" bestFit="1" customWidth="1"/>
    <col min="6933" max="7168" width="9.140625" style="38"/>
    <col min="7169" max="7169" width="2.7109375" style="38" customWidth="1"/>
    <col min="7170" max="7170" width="4.42578125" style="38" customWidth="1"/>
    <col min="7171" max="7171" width="3.5703125" style="38" customWidth="1"/>
    <col min="7172" max="7172" width="12" style="38" customWidth="1"/>
    <col min="7173" max="7173" width="9.140625" style="38" customWidth="1"/>
    <col min="7174" max="7174" width="10" style="38" customWidth="1"/>
    <col min="7175" max="7175" width="11.7109375" style="38" customWidth="1"/>
    <col min="7176" max="7185" width="10" style="38" customWidth="1"/>
    <col min="7186" max="7186" width="12" style="38" customWidth="1"/>
    <col min="7187" max="7187" width="13.5703125" style="38" bestFit="1" customWidth="1"/>
    <col min="7188" max="7188" width="10.28515625" style="38" bestFit="1" customWidth="1"/>
    <col min="7189" max="7424" width="9.140625" style="38"/>
    <col min="7425" max="7425" width="2.7109375" style="38" customWidth="1"/>
    <col min="7426" max="7426" width="4.42578125" style="38" customWidth="1"/>
    <col min="7427" max="7427" width="3.5703125" style="38" customWidth="1"/>
    <col min="7428" max="7428" width="12" style="38" customWidth="1"/>
    <col min="7429" max="7429" width="9.140625" style="38" customWidth="1"/>
    <col min="7430" max="7430" width="10" style="38" customWidth="1"/>
    <col min="7431" max="7431" width="11.7109375" style="38" customWidth="1"/>
    <col min="7432" max="7441" width="10" style="38" customWidth="1"/>
    <col min="7442" max="7442" width="12" style="38" customWidth="1"/>
    <col min="7443" max="7443" width="13.5703125" style="38" bestFit="1" customWidth="1"/>
    <col min="7444" max="7444" width="10.28515625" style="38" bestFit="1" customWidth="1"/>
    <col min="7445" max="7680" width="9.140625" style="38"/>
    <col min="7681" max="7681" width="2.7109375" style="38" customWidth="1"/>
    <col min="7682" max="7682" width="4.42578125" style="38" customWidth="1"/>
    <col min="7683" max="7683" width="3.5703125" style="38" customWidth="1"/>
    <col min="7684" max="7684" width="12" style="38" customWidth="1"/>
    <col min="7685" max="7685" width="9.140625" style="38" customWidth="1"/>
    <col min="7686" max="7686" width="10" style="38" customWidth="1"/>
    <col min="7687" max="7687" width="11.7109375" style="38" customWidth="1"/>
    <col min="7688" max="7697" width="10" style="38" customWidth="1"/>
    <col min="7698" max="7698" width="12" style="38" customWidth="1"/>
    <col min="7699" max="7699" width="13.5703125" style="38" bestFit="1" customWidth="1"/>
    <col min="7700" max="7700" width="10.28515625" style="38" bestFit="1" customWidth="1"/>
    <col min="7701" max="7936" width="9.140625" style="38"/>
    <col min="7937" max="7937" width="2.7109375" style="38" customWidth="1"/>
    <col min="7938" max="7938" width="4.42578125" style="38" customWidth="1"/>
    <col min="7939" max="7939" width="3.5703125" style="38" customWidth="1"/>
    <col min="7940" max="7940" width="12" style="38" customWidth="1"/>
    <col min="7941" max="7941" width="9.140625" style="38" customWidth="1"/>
    <col min="7942" max="7942" width="10" style="38" customWidth="1"/>
    <col min="7943" max="7943" width="11.7109375" style="38" customWidth="1"/>
    <col min="7944" max="7953" width="10" style="38" customWidth="1"/>
    <col min="7954" max="7954" width="12" style="38" customWidth="1"/>
    <col min="7955" max="7955" width="13.5703125" style="38" bestFit="1" customWidth="1"/>
    <col min="7956" max="7956" width="10.28515625" style="38" bestFit="1" customWidth="1"/>
    <col min="7957" max="8192" width="9.140625" style="38"/>
    <col min="8193" max="8193" width="2.7109375" style="38" customWidth="1"/>
    <col min="8194" max="8194" width="4.42578125" style="38" customWidth="1"/>
    <col min="8195" max="8195" width="3.5703125" style="38" customWidth="1"/>
    <col min="8196" max="8196" width="12" style="38" customWidth="1"/>
    <col min="8197" max="8197" width="9.140625" style="38" customWidth="1"/>
    <col min="8198" max="8198" width="10" style="38" customWidth="1"/>
    <col min="8199" max="8199" width="11.7109375" style="38" customWidth="1"/>
    <col min="8200" max="8209" width="10" style="38" customWidth="1"/>
    <col min="8210" max="8210" width="12" style="38" customWidth="1"/>
    <col min="8211" max="8211" width="13.5703125" style="38" bestFit="1" customWidth="1"/>
    <col min="8212" max="8212" width="10.28515625" style="38" bestFit="1" customWidth="1"/>
    <col min="8213" max="8448" width="9.140625" style="38"/>
    <col min="8449" max="8449" width="2.7109375" style="38" customWidth="1"/>
    <col min="8450" max="8450" width="4.42578125" style="38" customWidth="1"/>
    <col min="8451" max="8451" width="3.5703125" style="38" customWidth="1"/>
    <col min="8452" max="8452" width="12" style="38" customWidth="1"/>
    <col min="8453" max="8453" width="9.140625" style="38" customWidth="1"/>
    <col min="8454" max="8454" width="10" style="38" customWidth="1"/>
    <col min="8455" max="8455" width="11.7109375" style="38" customWidth="1"/>
    <col min="8456" max="8465" width="10" style="38" customWidth="1"/>
    <col min="8466" max="8466" width="12" style="38" customWidth="1"/>
    <col min="8467" max="8467" width="13.5703125" style="38" bestFit="1" customWidth="1"/>
    <col min="8468" max="8468" width="10.28515625" style="38" bestFit="1" customWidth="1"/>
    <col min="8469" max="8704" width="9.140625" style="38"/>
    <col min="8705" max="8705" width="2.7109375" style="38" customWidth="1"/>
    <col min="8706" max="8706" width="4.42578125" style="38" customWidth="1"/>
    <col min="8707" max="8707" width="3.5703125" style="38" customWidth="1"/>
    <col min="8708" max="8708" width="12" style="38" customWidth="1"/>
    <col min="8709" max="8709" width="9.140625" style="38" customWidth="1"/>
    <col min="8710" max="8710" width="10" style="38" customWidth="1"/>
    <col min="8711" max="8711" width="11.7109375" style="38" customWidth="1"/>
    <col min="8712" max="8721" width="10" style="38" customWidth="1"/>
    <col min="8722" max="8722" width="12" style="38" customWidth="1"/>
    <col min="8723" max="8723" width="13.5703125" style="38" bestFit="1" customWidth="1"/>
    <col min="8724" max="8724" width="10.28515625" style="38" bestFit="1" customWidth="1"/>
    <col min="8725" max="8960" width="9.140625" style="38"/>
    <col min="8961" max="8961" width="2.7109375" style="38" customWidth="1"/>
    <col min="8962" max="8962" width="4.42578125" style="38" customWidth="1"/>
    <col min="8963" max="8963" width="3.5703125" style="38" customWidth="1"/>
    <col min="8964" max="8964" width="12" style="38" customWidth="1"/>
    <col min="8965" max="8965" width="9.140625" style="38" customWidth="1"/>
    <col min="8966" max="8966" width="10" style="38" customWidth="1"/>
    <col min="8967" max="8967" width="11.7109375" style="38" customWidth="1"/>
    <col min="8968" max="8977" width="10" style="38" customWidth="1"/>
    <col min="8978" max="8978" width="12" style="38" customWidth="1"/>
    <col min="8979" max="8979" width="13.5703125" style="38" bestFit="1" customWidth="1"/>
    <col min="8980" max="8980" width="10.28515625" style="38" bestFit="1" customWidth="1"/>
    <col min="8981" max="9216" width="9.140625" style="38"/>
    <col min="9217" max="9217" width="2.7109375" style="38" customWidth="1"/>
    <col min="9218" max="9218" width="4.42578125" style="38" customWidth="1"/>
    <col min="9219" max="9219" width="3.5703125" style="38" customWidth="1"/>
    <col min="9220" max="9220" width="12" style="38" customWidth="1"/>
    <col min="9221" max="9221" width="9.140625" style="38" customWidth="1"/>
    <col min="9222" max="9222" width="10" style="38" customWidth="1"/>
    <col min="9223" max="9223" width="11.7109375" style="38" customWidth="1"/>
    <col min="9224" max="9233" width="10" style="38" customWidth="1"/>
    <col min="9234" max="9234" width="12" style="38" customWidth="1"/>
    <col min="9235" max="9235" width="13.5703125" style="38" bestFit="1" customWidth="1"/>
    <col min="9236" max="9236" width="10.28515625" style="38" bestFit="1" customWidth="1"/>
    <col min="9237" max="9472" width="9.140625" style="38"/>
    <col min="9473" max="9473" width="2.7109375" style="38" customWidth="1"/>
    <col min="9474" max="9474" width="4.42578125" style="38" customWidth="1"/>
    <col min="9475" max="9475" width="3.5703125" style="38" customWidth="1"/>
    <col min="9476" max="9476" width="12" style="38" customWidth="1"/>
    <col min="9477" max="9477" width="9.140625" style="38" customWidth="1"/>
    <col min="9478" max="9478" width="10" style="38" customWidth="1"/>
    <col min="9479" max="9479" width="11.7109375" style="38" customWidth="1"/>
    <col min="9480" max="9489" width="10" style="38" customWidth="1"/>
    <col min="9490" max="9490" width="12" style="38" customWidth="1"/>
    <col min="9491" max="9491" width="13.5703125" style="38" bestFit="1" customWidth="1"/>
    <col min="9492" max="9492" width="10.28515625" style="38" bestFit="1" customWidth="1"/>
    <col min="9493" max="9728" width="9.140625" style="38"/>
    <col min="9729" max="9729" width="2.7109375" style="38" customWidth="1"/>
    <col min="9730" max="9730" width="4.42578125" style="38" customWidth="1"/>
    <col min="9731" max="9731" width="3.5703125" style="38" customWidth="1"/>
    <col min="9732" max="9732" width="12" style="38" customWidth="1"/>
    <col min="9733" max="9733" width="9.140625" style="38" customWidth="1"/>
    <col min="9734" max="9734" width="10" style="38" customWidth="1"/>
    <col min="9735" max="9735" width="11.7109375" style="38" customWidth="1"/>
    <col min="9736" max="9745" width="10" style="38" customWidth="1"/>
    <col min="9746" max="9746" width="12" style="38" customWidth="1"/>
    <col min="9747" max="9747" width="13.5703125" style="38" bestFit="1" customWidth="1"/>
    <col min="9748" max="9748" width="10.28515625" style="38" bestFit="1" customWidth="1"/>
    <col min="9749" max="9984" width="9.140625" style="38"/>
    <col min="9985" max="9985" width="2.7109375" style="38" customWidth="1"/>
    <col min="9986" max="9986" width="4.42578125" style="38" customWidth="1"/>
    <col min="9987" max="9987" width="3.5703125" style="38" customWidth="1"/>
    <col min="9988" max="9988" width="12" style="38" customWidth="1"/>
    <col min="9989" max="9989" width="9.140625" style="38" customWidth="1"/>
    <col min="9990" max="9990" width="10" style="38" customWidth="1"/>
    <col min="9991" max="9991" width="11.7109375" style="38" customWidth="1"/>
    <col min="9992" max="10001" width="10" style="38" customWidth="1"/>
    <col min="10002" max="10002" width="12" style="38" customWidth="1"/>
    <col min="10003" max="10003" width="13.5703125" style="38" bestFit="1" customWidth="1"/>
    <col min="10004" max="10004" width="10.28515625" style="38" bestFit="1" customWidth="1"/>
    <col min="10005" max="10240" width="9.140625" style="38"/>
    <col min="10241" max="10241" width="2.7109375" style="38" customWidth="1"/>
    <col min="10242" max="10242" width="4.42578125" style="38" customWidth="1"/>
    <col min="10243" max="10243" width="3.5703125" style="38" customWidth="1"/>
    <col min="10244" max="10244" width="12" style="38" customWidth="1"/>
    <col min="10245" max="10245" width="9.140625" style="38" customWidth="1"/>
    <col min="10246" max="10246" width="10" style="38" customWidth="1"/>
    <col min="10247" max="10247" width="11.7109375" style="38" customWidth="1"/>
    <col min="10248" max="10257" width="10" style="38" customWidth="1"/>
    <col min="10258" max="10258" width="12" style="38" customWidth="1"/>
    <col min="10259" max="10259" width="13.5703125" style="38" bestFit="1" customWidth="1"/>
    <col min="10260" max="10260" width="10.28515625" style="38" bestFit="1" customWidth="1"/>
    <col min="10261" max="10496" width="9.140625" style="38"/>
    <col min="10497" max="10497" width="2.7109375" style="38" customWidth="1"/>
    <col min="10498" max="10498" width="4.42578125" style="38" customWidth="1"/>
    <col min="10499" max="10499" width="3.5703125" style="38" customWidth="1"/>
    <col min="10500" max="10500" width="12" style="38" customWidth="1"/>
    <col min="10501" max="10501" width="9.140625" style="38" customWidth="1"/>
    <col min="10502" max="10502" width="10" style="38" customWidth="1"/>
    <col min="10503" max="10503" width="11.7109375" style="38" customWidth="1"/>
    <col min="10504" max="10513" width="10" style="38" customWidth="1"/>
    <col min="10514" max="10514" width="12" style="38" customWidth="1"/>
    <col min="10515" max="10515" width="13.5703125" style="38" bestFit="1" customWidth="1"/>
    <col min="10516" max="10516" width="10.28515625" style="38" bestFit="1" customWidth="1"/>
    <col min="10517" max="10752" width="9.140625" style="38"/>
    <col min="10753" max="10753" width="2.7109375" style="38" customWidth="1"/>
    <col min="10754" max="10754" width="4.42578125" style="38" customWidth="1"/>
    <col min="10755" max="10755" width="3.5703125" style="38" customWidth="1"/>
    <col min="10756" max="10756" width="12" style="38" customWidth="1"/>
    <col min="10757" max="10757" width="9.140625" style="38" customWidth="1"/>
    <col min="10758" max="10758" width="10" style="38" customWidth="1"/>
    <col min="10759" max="10759" width="11.7109375" style="38" customWidth="1"/>
    <col min="10760" max="10769" width="10" style="38" customWidth="1"/>
    <col min="10770" max="10770" width="12" style="38" customWidth="1"/>
    <col min="10771" max="10771" width="13.5703125" style="38" bestFit="1" customWidth="1"/>
    <col min="10772" max="10772" width="10.28515625" style="38" bestFit="1" customWidth="1"/>
    <col min="10773" max="11008" width="9.140625" style="38"/>
    <col min="11009" max="11009" width="2.7109375" style="38" customWidth="1"/>
    <col min="11010" max="11010" width="4.42578125" style="38" customWidth="1"/>
    <col min="11011" max="11011" width="3.5703125" style="38" customWidth="1"/>
    <col min="11012" max="11012" width="12" style="38" customWidth="1"/>
    <col min="11013" max="11013" width="9.140625" style="38" customWidth="1"/>
    <col min="11014" max="11014" width="10" style="38" customWidth="1"/>
    <col min="11015" max="11015" width="11.7109375" style="38" customWidth="1"/>
    <col min="11016" max="11025" width="10" style="38" customWidth="1"/>
    <col min="11026" max="11026" width="12" style="38" customWidth="1"/>
    <col min="11027" max="11027" width="13.5703125" style="38" bestFit="1" customWidth="1"/>
    <col min="11028" max="11028" width="10.28515625" style="38" bestFit="1" customWidth="1"/>
    <col min="11029" max="11264" width="9.140625" style="38"/>
    <col min="11265" max="11265" width="2.7109375" style="38" customWidth="1"/>
    <col min="11266" max="11266" width="4.42578125" style="38" customWidth="1"/>
    <col min="11267" max="11267" width="3.5703125" style="38" customWidth="1"/>
    <col min="11268" max="11268" width="12" style="38" customWidth="1"/>
    <col min="11269" max="11269" width="9.140625" style="38" customWidth="1"/>
    <col min="11270" max="11270" width="10" style="38" customWidth="1"/>
    <col min="11271" max="11271" width="11.7109375" style="38" customWidth="1"/>
    <col min="11272" max="11281" width="10" style="38" customWidth="1"/>
    <col min="11282" max="11282" width="12" style="38" customWidth="1"/>
    <col min="11283" max="11283" width="13.5703125" style="38" bestFit="1" customWidth="1"/>
    <col min="11284" max="11284" width="10.28515625" style="38" bestFit="1" customWidth="1"/>
    <col min="11285" max="11520" width="9.140625" style="38"/>
    <col min="11521" max="11521" width="2.7109375" style="38" customWidth="1"/>
    <col min="11522" max="11522" width="4.42578125" style="38" customWidth="1"/>
    <col min="11523" max="11523" width="3.5703125" style="38" customWidth="1"/>
    <col min="11524" max="11524" width="12" style="38" customWidth="1"/>
    <col min="11525" max="11525" width="9.140625" style="38" customWidth="1"/>
    <col min="11526" max="11526" width="10" style="38" customWidth="1"/>
    <col min="11527" max="11527" width="11.7109375" style="38" customWidth="1"/>
    <col min="11528" max="11537" width="10" style="38" customWidth="1"/>
    <col min="11538" max="11538" width="12" style="38" customWidth="1"/>
    <col min="11539" max="11539" width="13.5703125" style="38" bestFit="1" customWidth="1"/>
    <col min="11540" max="11540" width="10.28515625" style="38" bestFit="1" customWidth="1"/>
    <col min="11541" max="11776" width="9.140625" style="38"/>
    <col min="11777" max="11777" width="2.7109375" style="38" customWidth="1"/>
    <col min="11778" max="11778" width="4.42578125" style="38" customWidth="1"/>
    <col min="11779" max="11779" width="3.5703125" style="38" customWidth="1"/>
    <col min="11780" max="11780" width="12" style="38" customWidth="1"/>
    <col min="11781" max="11781" width="9.140625" style="38" customWidth="1"/>
    <col min="11782" max="11782" width="10" style="38" customWidth="1"/>
    <col min="11783" max="11783" width="11.7109375" style="38" customWidth="1"/>
    <col min="11784" max="11793" width="10" style="38" customWidth="1"/>
    <col min="11794" max="11794" width="12" style="38" customWidth="1"/>
    <col min="11795" max="11795" width="13.5703125" style="38" bestFit="1" customWidth="1"/>
    <col min="11796" max="11796" width="10.28515625" style="38" bestFit="1" customWidth="1"/>
    <col min="11797" max="12032" width="9.140625" style="38"/>
    <col min="12033" max="12033" width="2.7109375" style="38" customWidth="1"/>
    <col min="12034" max="12034" width="4.42578125" style="38" customWidth="1"/>
    <col min="12035" max="12035" width="3.5703125" style="38" customWidth="1"/>
    <col min="12036" max="12036" width="12" style="38" customWidth="1"/>
    <col min="12037" max="12037" width="9.140625" style="38" customWidth="1"/>
    <col min="12038" max="12038" width="10" style="38" customWidth="1"/>
    <col min="12039" max="12039" width="11.7109375" style="38" customWidth="1"/>
    <col min="12040" max="12049" width="10" style="38" customWidth="1"/>
    <col min="12050" max="12050" width="12" style="38" customWidth="1"/>
    <col min="12051" max="12051" width="13.5703125" style="38" bestFit="1" customWidth="1"/>
    <col min="12052" max="12052" width="10.28515625" style="38" bestFit="1" customWidth="1"/>
    <col min="12053" max="12288" width="9.140625" style="38"/>
    <col min="12289" max="12289" width="2.7109375" style="38" customWidth="1"/>
    <col min="12290" max="12290" width="4.42578125" style="38" customWidth="1"/>
    <col min="12291" max="12291" width="3.5703125" style="38" customWidth="1"/>
    <col min="12292" max="12292" width="12" style="38" customWidth="1"/>
    <col min="12293" max="12293" width="9.140625" style="38" customWidth="1"/>
    <col min="12294" max="12294" width="10" style="38" customWidth="1"/>
    <col min="12295" max="12295" width="11.7109375" style="38" customWidth="1"/>
    <col min="12296" max="12305" width="10" style="38" customWidth="1"/>
    <col min="12306" max="12306" width="12" style="38" customWidth="1"/>
    <col min="12307" max="12307" width="13.5703125" style="38" bestFit="1" customWidth="1"/>
    <col min="12308" max="12308" width="10.28515625" style="38" bestFit="1" customWidth="1"/>
    <col min="12309" max="12544" width="9.140625" style="38"/>
    <col min="12545" max="12545" width="2.7109375" style="38" customWidth="1"/>
    <col min="12546" max="12546" width="4.42578125" style="38" customWidth="1"/>
    <col min="12547" max="12547" width="3.5703125" style="38" customWidth="1"/>
    <col min="12548" max="12548" width="12" style="38" customWidth="1"/>
    <col min="12549" max="12549" width="9.140625" style="38" customWidth="1"/>
    <col min="12550" max="12550" width="10" style="38" customWidth="1"/>
    <col min="12551" max="12551" width="11.7109375" style="38" customWidth="1"/>
    <col min="12552" max="12561" width="10" style="38" customWidth="1"/>
    <col min="12562" max="12562" width="12" style="38" customWidth="1"/>
    <col min="12563" max="12563" width="13.5703125" style="38" bestFit="1" customWidth="1"/>
    <col min="12564" max="12564" width="10.28515625" style="38" bestFit="1" customWidth="1"/>
    <col min="12565" max="12800" width="9.140625" style="38"/>
    <col min="12801" max="12801" width="2.7109375" style="38" customWidth="1"/>
    <col min="12802" max="12802" width="4.42578125" style="38" customWidth="1"/>
    <col min="12803" max="12803" width="3.5703125" style="38" customWidth="1"/>
    <col min="12804" max="12804" width="12" style="38" customWidth="1"/>
    <col min="12805" max="12805" width="9.140625" style="38" customWidth="1"/>
    <col min="12806" max="12806" width="10" style="38" customWidth="1"/>
    <col min="12807" max="12807" width="11.7109375" style="38" customWidth="1"/>
    <col min="12808" max="12817" width="10" style="38" customWidth="1"/>
    <col min="12818" max="12818" width="12" style="38" customWidth="1"/>
    <col min="12819" max="12819" width="13.5703125" style="38" bestFit="1" customWidth="1"/>
    <col min="12820" max="12820" width="10.28515625" style="38" bestFit="1" customWidth="1"/>
    <col min="12821" max="13056" width="9.140625" style="38"/>
    <col min="13057" max="13057" width="2.7109375" style="38" customWidth="1"/>
    <col min="13058" max="13058" width="4.42578125" style="38" customWidth="1"/>
    <col min="13059" max="13059" width="3.5703125" style="38" customWidth="1"/>
    <col min="13060" max="13060" width="12" style="38" customWidth="1"/>
    <col min="13061" max="13061" width="9.140625" style="38" customWidth="1"/>
    <col min="13062" max="13062" width="10" style="38" customWidth="1"/>
    <col min="13063" max="13063" width="11.7109375" style="38" customWidth="1"/>
    <col min="13064" max="13073" width="10" style="38" customWidth="1"/>
    <col min="13074" max="13074" width="12" style="38" customWidth="1"/>
    <col min="13075" max="13075" width="13.5703125" style="38" bestFit="1" customWidth="1"/>
    <col min="13076" max="13076" width="10.28515625" style="38" bestFit="1" customWidth="1"/>
    <col min="13077" max="13312" width="9.140625" style="38"/>
    <col min="13313" max="13313" width="2.7109375" style="38" customWidth="1"/>
    <col min="13314" max="13314" width="4.42578125" style="38" customWidth="1"/>
    <col min="13315" max="13315" width="3.5703125" style="38" customWidth="1"/>
    <col min="13316" max="13316" width="12" style="38" customWidth="1"/>
    <col min="13317" max="13317" width="9.140625" style="38" customWidth="1"/>
    <col min="13318" max="13318" width="10" style="38" customWidth="1"/>
    <col min="13319" max="13319" width="11.7109375" style="38" customWidth="1"/>
    <col min="13320" max="13329" width="10" style="38" customWidth="1"/>
    <col min="13330" max="13330" width="12" style="38" customWidth="1"/>
    <col min="13331" max="13331" width="13.5703125" style="38" bestFit="1" customWidth="1"/>
    <col min="13332" max="13332" width="10.28515625" style="38" bestFit="1" customWidth="1"/>
    <col min="13333" max="13568" width="9.140625" style="38"/>
    <col min="13569" max="13569" width="2.7109375" style="38" customWidth="1"/>
    <col min="13570" max="13570" width="4.42578125" style="38" customWidth="1"/>
    <col min="13571" max="13571" width="3.5703125" style="38" customWidth="1"/>
    <col min="13572" max="13572" width="12" style="38" customWidth="1"/>
    <col min="13573" max="13573" width="9.140625" style="38" customWidth="1"/>
    <col min="13574" max="13574" width="10" style="38" customWidth="1"/>
    <col min="13575" max="13575" width="11.7109375" style="38" customWidth="1"/>
    <col min="13576" max="13585" width="10" style="38" customWidth="1"/>
    <col min="13586" max="13586" width="12" style="38" customWidth="1"/>
    <col min="13587" max="13587" width="13.5703125" style="38" bestFit="1" customWidth="1"/>
    <col min="13588" max="13588" width="10.28515625" style="38" bestFit="1" customWidth="1"/>
    <col min="13589" max="13824" width="9.140625" style="38"/>
    <col min="13825" max="13825" width="2.7109375" style="38" customWidth="1"/>
    <col min="13826" max="13826" width="4.42578125" style="38" customWidth="1"/>
    <col min="13827" max="13827" width="3.5703125" style="38" customWidth="1"/>
    <col min="13828" max="13828" width="12" style="38" customWidth="1"/>
    <col min="13829" max="13829" width="9.140625" style="38" customWidth="1"/>
    <col min="13830" max="13830" width="10" style="38" customWidth="1"/>
    <col min="13831" max="13831" width="11.7109375" style="38" customWidth="1"/>
    <col min="13832" max="13841" width="10" style="38" customWidth="1"/>
    <col min="13842" max="13842" width="12" style="38" customWidth="1"/>
    <col min="13843" max="13843" width="13.5703125" style="38" bestFit="1" customWidth="1"/>
    <col min="13844" max="13844" width="10.28515625" style="38" bestFit="1" customWidth="1"/>
    <col min="13845" max="14080" width="9.140625" style="38"/>
    <col min="14081" max="14081" width="2.7109375" style="38" customWidth="1"/>
    <col min="14082" max="14082" width="4.42578125" style="38" customWidth="1"/>
    <col min="14083" max="14083" width="3.5703125" style="38" customWidth="1"/>
    <col min="14084" max="14084" width="12" style="38" customWidth="1"/>
    <col min="14085" max="14085" width="9.140625" style="38" customWidth="1"/>
    <col min="14086" max="14086" width="10" style="38" customWidth="1"/>
    <col min="14087" max="14087" width="11.7109375" style="38" customWidth="1"/>
    <col min="14088" max="14097" width="10" style="38" customWidth="1"/>
    <col min="14098" max="14098" width="12" style="38" customWidth="1"/>
    <col min="14099" max="14099" width="13.5703125" style="38" bestFit="1" customWidth="1"/>
    <col min="14100" max="14100" width="10.28515625" style="38" bestFit="1" customWidth="1"/>
    <col min="14101" max="14336" width="9.140625" style="38"/>
    <col min="14337" max="14337" width="2.7109375" style="38" customWidth="1"/>
    <col min="14338" max="14338" width="4.42578125" style="38" customWidth="1"/>
    <col min="14339" max="14339" width="3.5703125" style="38" customWidth="1"/>
    <col min="14340" max="14340" width="12" style="38" customWidth="1"/>
    <col min="14341" max="14341" width="9.140625" style="38" customWidth="1"/>
    <col min="14342" max="14342" width="10" style="38" customWidth="1"/>
    <col min="14343" max="14343" width="11.7109375" style="38" customWidth="1"/>
    <col min="14344" max="14353" width="10" style="38" customWidth="1"/>
    <col min="14354" max="14354" width="12" style="38" customWidth="1"/>
    <col min="14355" max="14355" width="13.5703125" style="38" bestFit="1" customWidth="1"/>
    <col min="14356" max="14356" width="10.28515625" style="38" bestFit="1" customWidth="1"/>
    <col min="14357" max="14592" width="9.140625" style="38"/>
    <col min="14593" max="14593" width="2.7109375" style="38" customWidth="1"/>
    <col min="14594" max="14594" width="4.42578125" style="38" customWidth="1"/>
    <col min="14595" max="14595" width="3.5703125" style="38" customWidth="1"/>
    <col min="14596" max="14596" width="12" style="38" customWidth="1"/>
    <col min="14597" max="14597" width="9.140625" style="38" customWidth="1"/>
    <col min="14598" max="14598" width="10" style="38" customWidth="1"/>
    <col min="14599" max="14599" width="11.7109375" style="38" customWidth="1"/>
    <col min="14600" max="14609" width="10" style="38" customWidth="1"/>
    <col min="14610" max="14610" width="12" style="38" customWidth="1"/>
    <col min="14611" max="14611" width="13.5703125" style="38" bestFit="1" customWidth="1"/>
    <col min="14612" max="14612" width="10.28515625" style="38" bestFit="1" customWidth="1"/>
    <col min="14613" max="14848" width="9.140625" style="38"/>
    <col min="14849" max="14849" width="2.7109375" style="38" customWidth="1"/>
    <col min="14850" max="14850" width="4.42578125" style="38" customWidth="1"/>
    <col min="14851" max="14851" width="3.5703125" style="38" customWidth="1"/>
    <col min="14852" max="14852" width="12" style="38" customWidth="1"/>
    <col min="14853" max="14853" width="9.140625" style="38" customWidth="1"/>
    <col min="14854" max="14854" width="10" style="38" customWidth="1"/>
    <col min="14855" max="14855" width="11.7109375" style="38" customWidth="1"/>
    <col min="14856" max="14865" width="10" style="38" customWidth="1"/>
    <col min="14866" max="14866" width="12" style="38" customWidth="1"/>
    <col min="14867" max="14867" width="13.5703125" style="38" bestFit="1" customWidth="1"/>
    <col min="14868" max="14868" width="10.28515625" style="38" bestFit="1" customWidth="1"/>
    <col min="14869" max="15104" width="9.140625" style="38"/>
    <col min="15105" max="15105" width="2.7109375" style="38" customWidth="1"/>
    <col min="15106" max="15106" width="4.42578125" style="38" customWidth="1"/>
    <col min="15107" max="15107" width="3.5703125" style="38" customWidth="1"/>
    <col min="15108" max="15108" width="12" style="38" customWidth="1"/>
    <col min="15109" max="15109" width="9.140625" style="38" customWidth="1"/>
    <col min="15110" max="15110" width="10" style="38" customWidth="1"/>
    <col min="15111" max="15111" width="11.7109375" style="38" customWidth="1"/>
    <col min="15112" max="15121" width="10" style="38" customWidth="1"/>
    <col min="15122" max="15122" width="12" style="38" customWidth="1"/>
    <col min="15123" max="15123" width="13.5703125" style="38" bestFit="1" customWidth="1"/>
    <col min="15124" max="15124" width="10.28515625" style="38" bestFit="1" customWidth="1"/>
    <col min="15125" max="15360" width="9.140625" style="38"/>
    <col min="15361" max="15361" width="2.7109375" style="38" customWidth="1"/>
    <col min="15362" max="15362" width="4.42578125" style="38" customWidth="1"/>
    <col min="15363" max="15363" width="3.5703125" style="38" customWidth="1"/>
    <col min="15364" max="15364" width="12" style="38" customWidth="1"/>
    <col min="15365" max="15365" width="9.140625" style="38" customWidth="1"/>
    <col min="15366" max="15366" width="10" style="38" customWidth="1"/>
    <col min="15367" max="15367" width="11.7109375" style="38" customWidth="1"/>
    <col min="15368" max="15377" width="10" style="38" customWidth="1"/>
    <col min="15378" max="15378" width="12" style="38" customWidth="1"/>
    <col min="15379" max="15379" width="13.5703125" style="38" bestFit="1" customWidth="1"/>
    <col min="15380" max="15380" width="10.28515625" style="38" bestFit="1" customWidth="1"/>
    <col min="15381" max="15616" width="9.140625" style="38"/>
    <col min="15617" max="15617" width="2.7109375" style="38" customWidth="1"/>
    <col min="15618" max="15618" width="4.42578125" style="38" customWidth="1"/>
    <col min="15619" max="15619" width="3.5703125" style="38" customWidth="1"/>
    <col min="15620" max="15620" width="12" style="38" customWidth="1"/>
    <col min="15621" max="15621" width="9.140625" style="38" customWidth="1"/>
    <col min="15622" max="15622" width="10" style="38" customWidth="1"/>
    <col min="15623" max="15623" width="11.7109375" style="38" customWidth="1"/>
    <col min="15624" max="15633" width="10" style="38" customWidth="1"/>
    <col min="15634" max="15634" width="12" style="38" customWidth="1"/>
    <col min="15635" max="15635" width="13.5703125" style="38" bestFit="1" customWidth="1"/>
    <col min="15636" max="15636" width="10.28515625" style="38" bestFit="1" customWidth="1"/>
    <col min="15637" max="15872" width="9.140625" style="38"/>
    <col min="15873" max="15873" width="2.7109375" style="38" customWidth="1"/>
    <col min="15874" max="15874" width="4.42578125" style="38" customWidth="1"/>
    <col min="15875" max="15875" width="3.5703125" style="38" customWidth="1"/>
    <col min="15876" max="15876" width="12" style="38" customWidth="1"/>
    <col min="15877" max="15877" width="9.140625" style="38" customWidth="1"/>
    <col min="15878" max="15878" width="10" style="38" customWidth="1"/>
    <col min="15879" max="15879" width="11.7109375" style="38" customWidth="1"/>
    <col min="15880" max="15889" width="10" style="38" customWidth="1"/>
    <col min="15890" max="15890" width="12" style="38" customWidth="1"/>
    <col min="15891" max="15891" width="13.5703125" style="38" bestFit="1" customWidth="1"/>
    <col min="15892" max="15892" width="10.28515625" style="38" bestFit="1" customWidth="1"/>
    <col min="15893" max="16128" width="9.140625" style="38"/>
    <col min="16129" max="16129" width="2.7109375" style="38" customWidth="1"/>
    <col min="16130" max="16130" width="4.42578125" style="38" customWidth="1"/>
    <col min="16131" max="16131" width="3.5703125" style="38" customWidth="1"/>
    <col min="16132" max="16132" width="12" style="38" customWidth="1"/>
    <col min="16133" max="16133" width="9.140625" style="38" customWidth="1"/>
    <col min="16134" max="16134" width="10" style="38" customWidth="1"/>
    <col min="16135" max="16135" width="11.7109375" style="38" customWidth="1"/>
    <col min="16136" max="16145" width="10" style="38" customWidth="1"/>
    <col min="16146" max="16146" width="12" style="38" customWidth="1"/>
    <col min="16147" max="16147" width="13.5703125" style="38" bestFit="1" customWidth="1"/>
    <col min="16148" max="16148" width="10.28515625" style="38" bestFit="1" customWidth="1"/>
    <col min="16149" max="16384" width="9.140625" style="38"/>
  </cols>
  <sheetData>
    <row r="1" spans="1:23">
      <c r="A1" s="37" t="str">
        <f>[1]Summary!C3</f>
        <v>Eastside</v>
      </c>
      <c r="B1" s="37"/>
      <c r="C1" s="37"/>
      <c r="D1" s="37"/>
    </row>
    <row r="2" spans="1:23">
      <c r="A2" s="37" t="s">
        <v>251</v>
      </c>
      <c r="B2" s="37"/>
      <c r="C2" s="37"/>
      <c r="D2" s="37"/>
    </row>
    <row r="3" spans="1:23">
      <c r="A3" s="139" t="str">
        <f>TEXT(F7,"mmm yy")&amp;" - "&amp;TEXT(Q7,"mmm yy")</f>
        <v>May 13 - Apr 14</v>
      </c>
      <c r="B3" s="139"/>
      <c r="C3" s="139"/>
      <c r="D3" s="139"/>
    </row>
    <row r="6" spans="1:23">
      <c r="F6" s="39"/>
    </row>
    <row r="7" spans="1:23">
      <c r="F7" s="40">
        <v>41425</v>
      </c>
      <c r="G7" s="41">
        <f t="shared" ref="G7:Q7" si="0">EOMONTH(F7,1)</f>
        <v>41455</v>
      </c>
      <c r="H7" s="41">
        <f t="shared" si="0"/>
        <v>41486</v>
      </c>
      <c r="I7" s="41">
        <f t="shared" si="0"/>
        <v>41517</v>
      </c>
      <c r="J7" s="41">
        <f t="shared" si="0"/>
        <v>41547</v>
      </c>
      <c r="K7" s="41">
        <f t="shared" si="0"/>
        <v>41578</v>
      </c>
      <c r="L7" s="41">
        <f t="shared" si="0"/>
        <v>41608</v>
      </c>
      <c r="M7" s="41">
        <f t="shared" si="0"/>
        <v>41639</v>
      </c>
      <c r="N7" s="41">
        <f t="shared" si="0"/>
        <v>41670</v>
      </c>
      <c r="O7" s="41">
        <f t="shared" si="0"/>
        <v>41698</v>
      </c>
      <c r="P7" s="41">
        <f t="shared" si="0"/>
        <v>41729</v>
      </c>
      <c r="Q7" s="41">
        <f t="shared" si="0"/>
        <v>41759</v>
      </c>
      <c r="R7" s="42" t="s">
        <v>7</v>
      </c>
    </row>
    <row r="8" spans="1:23">
      <c r="F8" s="43" t="s">
        <v>252</v>
      </c>
      <c r="G8" s="43" t="s">
        <v>252</v>
      </c>
      <c r="H8" s="43" t="s">
        <v>252</v>
      </c>
      <c r="I8" s="43" t="s">
        <v>252</v>
      </c>
      <c r="J8" s="43" t="s">
        <v>252</v>
      </c>
      <c r="K8" s="43" t="s">
        <v>252</v>
      </c>
      <c r="L8" s="43" t="s">
        <v>252</v>
      </c>
      <c r="M8" s="43" t="s">
        <v>252</v>
      </c>
      <c r="N8" s="43" t="s">
        <v>252</v>
      </c>
      <c r="O8" s="43" t="s">
        <v>252</v>
      </c>
      <c r="P8" s="43" t="s">
        <v>252</v>
      </c>
      <c r="Q8" s="43" t="s">
        <v>252</v>
      </c>
      <c r="R8" s="43" t="s">
        <v>252</v>
      </c>
    </row>
    <row r="9" spans="1:23" ht="18">
      <c r="A9" s="44" t="s">
        <v>253</v>
      </c>
      <c r="G9" s="45"/>
      <c r="H9" s="45"/>
      <c r="I9" s="45"/>
      <c r="J9" s="45"/>
      <c r="K9" s="45"/>
      <c r="L9" s="45"/>
      <c r="M9" s="45"/>
      <c r="N9" s="45"/>
      <c r="O9" s="45"/>
      <c r="P9" s="45"/>
      <c r="Q9" s="45"/>
      <c r="R9" s="45"/>
    </row>
    <row r="10" spans="1:23">
      <c r="A10" s="46"/>
      <c r="B10" s="46"/>
      <c r="C10" s="46"/>
      <c r="D10" s="46"/>
      <c r="E10" s="46"/>
      <c r="F10" s="46"/>
      <c r="G10" s="46"/>
      <c r="H10" s="46"/>
      <c r="I10" s="46"/>
      <c r="J10" s="46"/>
      <c r="K10" s="46"/>
      <c r="L10" s="46"/>
      <c r="M10" s="46"/>
      <c r="N10" s="46"/>
      <c r="O10" s="46"/>
      <c r="P10" s="46"/>
      <c r="Q10" s="46"/>
      <c r="R10" s="46"/>
      <c r="S10" s="46"/>
      <c r="T10" s="46"/>
      <c r="U10" s="46"/>
      <c r="V10" s="46"/>
      <c r="W10" s="46"/>
    </row>
    <row r="11" spans="1:23">
      <c r="A11" s="38" t="s">
        <v>254</v>
      </c>
      <c r="F11" s="46"/>
      <c r="G11" s="46"/>
      <c r="H11" s="46"/>
      <c r="I11" s="46"/>
      <c r="J11" s="46"/>
      <c r="K11" s="46"/>
      <c r="L11" s="46"/>
      <c r="M11" s="46"/>
      <c r="N11" s="46"/>
      <c r="O11" s="46"/>
      <c r="P11" s="46"/>
      <c r="Q11" s="46"/>
      <c r="R11" s="46"/>
      <c r="S11" s="46"/>
      <c r="T11" s="46"/>
      <c r="U11" s="46"/>
      <c r="V11" s="46"/>
      <c r="W11" s="46"/>
    </row>
    <row r="12" spans="1:23">
      <c r="B12" s="38" t="s">
        <v>0</v>
      </c>
      <c r="F12" s="47">
        <v>4434</v>
      </c>
      <c r="G12" s="47">
        <v>4166</v>
      </c>
      <c r="H12" s="47">
        <v>4470</v>
      </c>
      <c r="I12" s="47">
        <v>4288</v>
      </c>
      <c r="J12" s="47">
        <v>4239</v>
      </c>
      <c r="K12" s="47">
        <v>4442</v>
      </c>
      <c r="L12" s="47">
        <v>4226</v>
      </c>
      <c r="M12" s="47">
        <v>4150</v>
      </c>
      <c r="N12" s="47">
        <v>4281</v>
      </c>
      <c r="O12" s="47">
        <v>3780</v>
      </c>
      <c r="P12" s="47">
        <v>4308</v>
      </c>
      <c r="Q12" s="47">
        <v>4319</v>
      </c>
      <c r="R12" s="46">
        <f>SUM(F12:Q12)</f>
        <v>51103</v>
      </c>
      <c r="S12" s="46"/>
      <c r="T12" s="46"/>
      <c r="U12" s="46"/>
      <c r="V12" s="46"/>
      <c r="W12" s="46"/>
    </row>
    <row r="13" spans="1:23" hidden="1" outlineLevel="1">
      <c r="D13" s="48" t="s">
        <v>255</v>
      </c>
      <c r="E13" s="48"/>
      <c r="F13" s="49">
        <v>7821</v>
      </c>
      <c r="G13" s="49">
        <v>6578</v>
      </c>
      <c r="H13" s="49">
        <v>6324</v>
      </c>
      <c r="I13" s="49">
        <v>5094</v>
      </c>
      <c r="J13" s="49">
        <v>5454</v>
      </c>
      <c r="K13" s="49">
        <v>9757</v>
      </c>
      <c r="L13" s="49">
        <v>8030</v>
      </c>
      <c r="M13" s="49">
        <v>4789</v>
      </c>
      <c r="N13" s="49">
        <v>4943</v>
      </c>
      <c r="O13" s="49">
        <v>3428</v>
      </c>
      <c r="P13" s="49">
        <v>5088</v>
      </c>
      <c r="Q13" s="49">
        <v>6592</v>
      </c>
      <c r="R13" s="49">
        <f>SUM(F13:Q13)</f>
        <v>73898</v>
      </c>
      <c r="S13" s="46"/>
      <c r="T13" s="46"/>
      <c r="U13" s="46"/>
      <c r="V13" s="46"/>
      <c r="W13" s="46"/>
    </row>
    <row r="14" spans="1:23" hidden="1" outlineLevel="1">
      <c r="D14" s="48" t="s">
        <v>256</v>
      </c>
      <c r="E14" s="48"/>
      <c r="F14" s="49">
        <v>3354</v>
      </c>
      <c r="G14" s="49">
        <v>3052</v>
      </c>
      <c r="H14" s="49">
        <v>3483</v>
      </c>
      <c r="I14" s="49">
        <v>3280</v>
      </c>
      <c r="J14" s="49">
        <v>3193</v>
      </c>
      <c r="K14" s="49">
        <v>3949</v>
      </c>
      <c r="L14" s="49">
        <v>3036</v>
      </c>
      <c r="M14" s="49">
        <v>3198</v>
      </c>
      <c r="N14" s="49">
        <v>3303</v>
      </c>
      <c r="O14" s="49">
        <v>2708</v>
      </c>
      <c r="P14" s="49">
        <v>2894</v>
      </c>
      <c r="Q14" s="49">
        <v>3075</v>
      </c>
      <c r="R14" s="49">
        <f>SUM(F14:Q14)</f>
        <v>38525</v>
      </c>
      <c r="S14" s="46"/>
      <c r="T14" s="46"/>
      <c r="U14" s="46"/>
      <c r="V14" s="46"/>
      <c r="W14" s="46"/>
    </row>
    <row r="15" spans="1:23" collapsed="1">
      <c r="B15" s="38" t="s">
        <v>1</v>
      </c>
      <c r="F15" s="47">
        <v>11175</v>
      </c>
      <c r="G15" s="47">
        <v>9630</v>
      </c>
      <c r="H15" s="47">
        <v>9807</v>
      </c>
      <c r="I15" s="47">
        <v>8374</v>
      </c>
      <c r="J15" s="47">
        <v>8647</v>
      </c>
      <c r="K15" s="47">
        <v>13706</v>
      </c>
      <c r="L15" s="47">
        <v>11066</v>
      </c>
      <c r="M15" s="47">
        <v>7987</v>
      </c>
      <c r="N15" s="47">
        <v>8246</v>
      </c>
      <c r="O15" s="47">
        <v>6136</v>
      </c>
      <c r="P15" s="47">
        <v>7982</v>
      </c>
      <c r="Q15" s="47">
        <v>9667</v>
      </c>
      <c r="R15" s="46">
        <f>SUM(F15:Q15)</f>
        <v>112423</v>
      </c>
      <c r="S15" s="46"/>
      <c r="T15" s="46"/>
      <c r="U15" s="46"/>
      <c r="V15" s="46"/>
      <c r="W15" s="46"/>
    </row>
    <row r="16" spans="1:23">
      <c r="B16" s="38" t="s">
        <v>257</v>
      </c>
      <c r="F16" s="47">
        <v>4108</v>
      </c>
      <c r="G16" s="47">
        <v>3880</v>
      </c>
      <c r="H16" s="47">
        <v>4315</v>
      </c>
      <c r="I16" s="47">
        <v>4365</v>
      </c>
      <c r="J16" s="47">
        <v>4012</v>
      </c>
      <c r="K16" s="47">
        <v>5559</v>
      </c>
      <c r="L16" s="47">
        <v>4383</v>
      </c>
      <c r="M16" s="47">
        <v>4088</v>
      </c>
      <c r="N16" s="47">
        <v>4181</v>
      </c>
      <c r="O16" s="47">
        <v>3532</v>
      </c>
      <c r="P16" s="47">
        <v>4034</v>
      </c>
      <c r="Q16" s="47">
        <v>4302</v>
      </c>
      <c r="R16" s="46">
        <f>SUM(F16:Q16)</f>
        <v>50759</v>
      </c>
      <c r="S16" s="46"/>
      <c r="T16" s="46"/>
      <c r="U16" s="46"/>
      <c r="V16" s="46"/>
      <c r="W16" s="46"/>
    </row>
    <row r="17" spans="1:23">
      <c r="A17" s="38" t="s">
        <v>7</v>
      </c>
      <c r="F17" s="50">
        <f>SUM(F12,F15:F16)</f>
        <v>19717</v>
      </c>
      <c r="G17" s="50">
        <f t="shared" ref="G17:R17" si="1">SUM(G12,G15:G16)</f>
        <v>17676</v>
      </c>
      <c r="H17" s="50">
        <f t="shared" si="1"/>
        <v>18592</v>
      </c>
      <c r="I17" s="50">
        <f t="shared" si="1"/>
        <v>17027</v>
      </c>
      <c r="J17" s="50">
        <f t="shared" si="1"/>
        <v>16898</v>
      </c>
      <c r="K17" s="50">
        <f t="shared" si="1"/>
        <v>23707</v>
      </c>
      <c r="L17" s="50">
        <f t="shared" si="1"/>
        <v>19675</v>
      </c>
      <c r="M17" s="50">
        <f t="shared" si="1"/>
        <v>16225</v>
      </c>
      <c r="N17" s="50">
        <f t="shared" si="1"/>
        <v>16708</v>
      </c>
      <c r="O17" s="50">
        <f t="shared" si="1"/>
        <v>13448</v>
      </c>
      <c r="P17" s="50">
        <f t="shared" si="1"/>
        <v>16324</v>
      </c>
      <c r="Q17" s="50">
        <f t="shared" si="1"/>
        <v>18288</v>
      </c>
      <c r="R17" s="50">
        <f t="shared" si="1"/>
        <v>214285</v>
      </c>
      <c r="S17" s="46"/>
      <c r="T17" s="46"/>
      <c r="U17" s="46"/>
      <c r="V17" s="46"/>
      <c r="W17" s="46"/>
    </row>
    <row r="18" spans="1:23" s="55" customFormat="1">
      <c r="A18" s="51" t="s">
        <v>258</v>
      </c>
      <c r="B18" s="51"/>
      <c r="C18" s="51"/>
      <c r="D18" s="51"/>
      <c r="E18" s="51"/>
      <c r="F18" s="52">
        <f>+F17-F56</f>
        <v>-170.6256734765775</v>
      </c>
      <c r="G18" s="52">
        <f>+G17-G56</f>
        <v>-116.77138083517639</v>
      </c>
      <c r="H18" s="52">
        <f t="shared" ref="H18:M18" si="2">H17-H56</f>
        <v>-199.24424351987909</v>
      </c>
      <c r="I18" s="52">
        <f t="shared" si="2"/>
        <v>-121.77618523334604</v>
      </c>
      <c r="J18" s="52">
        <f t="shared" si="2"/>
        <v>-85.505122308411956</v>
      </c>
      <c r="K18" s="52">
        <f t="shared" si="2"/>
        <v>4267.6331142130584</v>
      </c>
      <c r="L18" s="52">
        <f t="shared" si="2"/>
        <v>-347.45073352798499</v>
      </c>
      <c r="M18" s="52">
        <f t="shared" si="2"/>
        <v>-245.30514869634135</v>
      </c>
      <c r="N18" s="52">
        <f>+N17-N56</f>
        <v>-154.75391742118518</v>
      </c>
      <c r="O18" s="52">
        <f>O17-O56</f>
        <v>-15.872397659031776</v>
      </c>
      <c r="P18" s="52">
        <f>P17-P56</f>
        <v>-112.20565010054997</v>
      </c>
      <c r="Q18" s="52">
        <f>Q17-Q56</f>
        <v>-146.36611529644142</v>
      </c>
      <c r="R18" s="53">
        <f>SUM(F18:Q18)</f>
        <v>2551.7565461381328</v>
      </c>
      <c r="S18" s="54"/>
      <c r="T18" s="54"/>
      <c r="U18" s="54"/>
      <c r="V18" s="54"/>
      <c r="W18" s="54"/>
    </row>
    <row r="19" spans="1:23" s="55" customFormat="1">
      <c r="A19" s="51" t="s">
        <v>9</v>
      </c>
      <c r="B19" s="51"/>
      <c r="C19" s="51"/>
      <c r="D19" s="51"/>
      <c r="E19" s="56"/>
      <c r="F19" s="57">
        <f>+F18/F17</f>
        <v>-8.6537340100713844E-3</v>
      </c>
      <c r="G19" s="57">
        <f t="shared" ref="G19:R19" si="3">+G18/G17</f>
        <v>-6.6062107283987549E-3</v>
      </c>
      <c r="H19" s="57">
        <f t="shared" si="3"/>
        <v>-1.0716665421680243E-2</v>
      </c>
      <c r="I19" s="57">
        <f t="shared" si="3"/>
        <v>-7.1519460406029274E-3</v>
      </c>
      <c r="J19" s="57">
        <f t="shared" si="3"/>
        <v>-5.060073518073852E-3</v>
      </c>
      <c r="K19" s="57">
        <f t="shared" si="3"/>
        <v>0.18001573856721889</v>
      </c>
      <c r="L19" s="57">
        <f t="shared" si="3"/>
        <v>-1.7659503610062771E-2</v>
      </c>
      <c r="M19" s="57">
        <f t="shared" si="3"/>
        <v>-1.5118961398850005E-2</v>
      </c>
      <c r="N19" s="57">
        <f t="shared" si="3"/>
        <v>-9.2622646289912125E-3</v>
      </c>
      <c r="O19" s="57">
        <f t="shared" si="3"/>
        <v>-1.1802794214033148E-3</v>
      </c>
      <c r="P19" s="57">
        <f t="shared" si="3"/>
        <v>-6.8736614861890453E-3</v>
      </c>
      <c r="Q19" s="57">
        <f t="shared" si="3"/>
        <v>-8.0033965057109257E-3</v>
      </c>
      <c r="R19" s="57">
        <f t="shared" si="3"/>
        <v>1.1908236909434317E-2</v>
      </c>
      <c r="S19" s="54"/>
      <c r="T19" s="54"/>
      <c r="U19" s="54"/>
      <c r="V19" s="54"/>
      <c r="W19" s="54"/>
    </row>
    <row r="20" spans="1:23">
      <c r="E20" s="37"/>
      <c r="F20" s="58"/>
      <c r="G20" s="58"/>
      <c r="H20" s="58"/>
      <c r="I20" s="58"/>
      <c r="J20" s="58"/>
      <c r="K20" s="58"/>
      <c r="L20" s="58"/>
      <c r="M20" s="58"/>
      <c r="N20" s="58"/>
      <c r="O20" s="58"/>
      <c r="P20" s="58"/>
      <c r="Q20" s="58"/>
      <c r="R20" s="46"/>
      <c r="S20" s="46"/>
      <c r="T20" s="46"/>
      <c r="U20" s="46"/>
      <c r="V20" s="46"/>
      <c r="W20" s="46"/>
    </row>
    <row r="21" spans="1:23">
      <c r="B21" s="38" t="s">
        <v>0</v>
      </c>
      <c r="F21" s="59"/>
      <c r="G21" s="59"/>
      <c r="H21" s="59"/>
      <c r="I21" s="59"/>
      <c r="J21" s="59"/>
      <c r="K21" s="59"/>
      <c r="L21" s="59"/>
      <c r="M21" s="59"/>
      <c r="N21" s="59"/>
      <c r="O21" s="59"/>
      <c r="P21" s="59"/>
      <c r="Q21" s="59"/>
      <c r="R21" s="46"/>
      <c r="S21" s="46"/>
      <c r="T21" s="46"/>
      <c r="U21" s="46"/>
      <c r="V21" s="46"/>
      <c r="W21" s="46"/>
    </row>
    <row r="22" spans="1:23">
      <c r="C22" s="60" t="s">
        <v>259</v>
      </c>
      <c r="F22" s="59"/>
      <c r="G22" s="59"/>
      <c r="H22" s="59"/>
      <c r="I22" s="59"/>
      <c r="J22" s="59"/>
      <c r="K22" s="59"/>
      <c r="L22" s="59"/>
      <c r="M22" s="59"/>
      <c r="N22" s="59"/>
      <c r="O22" s="59"/>
      <c r="P22" s="59"/>
      <c r="Q22" s="59"/>
      <c r="R22" s="46"/>
      <c r="S22" s="46"/>
      <c r="T22" s="46"/>
      <c r="U22" s="46"/>
      <c r="V22" s="46"/>
      <c r="W22" s="46"/>
    </row>
    <row r="23" spans="1:23">
      <c r="D23" s="61" t="s">
        <v>260</v>
      </c>
      <c r="F23" s="62">
        <v>233.68411299064337</v>
      </c>
      <c r="G23" s="62">
        <v>218.94960190245828</v>
      </c>
      <c r="H23" s="62">
        <v>244.13068029694793</v>
      </c>
      <c r="I23" s="62">
        <v>244.57917184017472</v>
      </c>
      <c r="J23" s="62">
        <v>232.78977009454272</v>
      </c>
      <c r="K23" s="62">
        <v>246.47227468528953</v>
      </c>
      <c r="L23" s="62">
        <v>234.31380172379946</v>
      </c>
      <c r="M23" s="62">
        <v>222.06669074724127</v>
      </c>
      <c r="N23" s="62">
        <v>223.69803483572559</v>
      </c>
      <c r="O23" s="62">
        <v>195.22030473646362</v>
      </c>
      <c r="P23" s="62">
        <v>225.68484392942736</v>
      </c>
      <c r="Q23" s="62">
        <v>230.00403233724955</v>
      </c>
      <c r="R23" s="46">
        <f>SUM(F23:Q23)</f>
        <v>2751.5933201199632</v>
      </c>
      <c r="S23" s="63"/>
      <c r="T23" s="46"/>
      <c r="U23" s="64"/>
      <c r="V23" s="46"/>
      <c r="W23" s="46"/>
    </row>
    <row r="24" spans="1:23">
      <c r="D24" s="61" t="s">
        <v>261</v>
      </c>
      <c r="F24" s="65">
        <f>F25-F23</f>
        <v>3196.9053193865684</v>
      </c>
      <c r="G24" s="65">
        <f t="shared" ref="G24:Q24" si="4">G25-G23</f>
        <v>2978.2245473056228</v>
      </c>
      <c r="H24" s="65">
        <f t="shared" si="4"/>
        <v>3261.8394971456105</v>
      </c>
      <c r="I24" s="65">
        <f t="shared" si="4"/>
        <v>3088.6359418040315</v>
      </c>
      <c r="J24" s="65">
        <f t="shared" si="4"/>
        <v>3036.6707214431476</v>
      </c>
      <c r="K24" s="65">
        <f t="shared" si="4"/>
        <v>3191.5186197855651</v>
      </c>
      <c r="L24" s="65">
        <f t="shared" si="4"/>
        <v>3049.156545989782</v>
      </c>
      <c r="M24" s="65">
        <f t="shared" si="4"/>
        <v>2963.6057216467098</v>
      </c>
      <c r="N24" s="65">
        <f t="shared" si="4"/>
        <v>3060.261746333872</v>
      </c>
      <c r="O24" s="65">
        <f t="shared" si="4"/>
        <v>2706.0934854859579</v>
      </c>
      <c r="P24" s="65">
        <f t="shared" si="4"/>
        <v>3097.2035559151091</v>
      </c>
      <c r="Q24" s="65">
        <f t="shared" si="4"/>
        <v>3108.0687186220034</v>
      </c>
      <c r="R24" s="46">
        <f t="shared" ref="R24:R29" si="5">SUM(F24:Q24)</f>
        <v>36738.184420863981</v>
      </c>
      <c r="S24" s="46"/>
      <c r="T24" s="46"/>
      <c r="U24" s="64"/>
      <c r="V24" s="46"/>
      <c r="W24" s="46"/>
    </row>
    <row r="25" spans="1:23">
      <c r="C25" s="66" t="s">
        <v>2</v>
      </c>
      <c r="D25" s="67"/>
      <c r="E25" s="67"/>
      <c r="F25" s="68">
        <v>3430.5894323772118</v>
      </c>
      <c r="G25" s="68">
        <v>3197.174149208081</v>
      </c>
      <c r="H25" s="68">
        <v>3505.9701774425585</v>
      </c>
      <c r="I25" s="68">
        <v>3333.2151136442062</v>
      </c>
      <c r="J25" s="68">
        <v>3269.4604915376904</v>
      </c>
      <c r="K25" s="68">
        <v>3437.9908944708545</v>
      </c>
      <c r="L25" s="68">
        <v>3283.4703477135813</v>
      </c>
      <c r="M25" s="68">
        <v>3185.6724123939512</v>
      </c>
      <c r="N25" s="68">
        <v>3283.9597811695976</v>
      </c>
      <c r="O25" s="68">
        <v>2901.3137902224216</v>
      </c>
      <c r="P25" s="68">
        <v>3322.8883998445363</v>
      </c>
      <c r="Q25" s="68">
        <v>3338.072750959253</v>
      </c>
      <c r="R25" s="69">
        <f t="shared" si="5"/>
        <v>39489.777740983947</v>
      </c>
      <c r="S25" s="46"/>
      <c r="T25" s="46"/>
      <c r="U25" s="64"/>
      <c r="V25" s="46"/>
      <c r="W25" s="46"/>
    </row>
    <row r="26" spans="1:23" s="70" customFormat="1">
      <c r="C26" s="71" t="s">
        <v>262</v>
      </c>
      <c r="D26" s="72"/>
      <c r="E26" s="72"/>
      <c r="F26" s="73"/>
      <c r="G26" s="73"/>
      <c r="H26" s="73"/>
      <c r="I26" s="73"/>
      <c r="J26" s="73"/>
      <c r="K26" s="73"/>
      <c r="L26" s="73"/>
      <c r="M26" s="73"/>
      <c r="N26" s="73"/>
      <c r="O26" s="73"/>
      <c r="P26" s="73"/>
      <c r="Q26" s="73"/>
      <c r="R26" s="73"/>
      <c r="S26" s="74"/>
      <c r="T26" s="74"/>
      <c r="U26" s="75"/>
      <c r="V26" s="74"/>
      <c r="W26" s="74"/>
    </row>
    <row r="27" spans="1:23">
      <c r="D27" s="61" t="s">
        <v>263</v>
      </c>
      <c r="F27" s="62">
        <v>38.538144391546453</v>
      </c>
      <c r="G27" s="62">
        <v>37.273745809976845</v>
      </c>
      <c r="H27" s="62">
        <v>38.05925985893434</v>
      </c>
      <c r="I27" s="62">
        <v>37.892356741372581</v>
      </c>
      <c r="J27" s="62">
        <v>40.813547428851408</v>
      </c>
      <c r="K27" s="62">
        <v>35.512843751462015</v>
      </c>
      <c r="L27" s="62">
        <v>35.324977305861864</v>
      </c>
      <c r="M27" s="62">
        <v>39.774607684821639</v>
      </c>
      <c r="N27" s="62">
        <v>41.575871940353011</v>
      </c>
      <c r="O27" s="62">
        <v>32.671518622794352</v>
      </c>
      <c r="P27" s="62">
        <v>38.450136033744172</v>
      </c>
      <c r="Q27" s="62">
        <v>32.116096797017377</v>
      </c>
      <c r="R27" s="46">
        <f t="shared" si="5"/>
        <v>448.00310636673601</v>
      </c>
      <c r="S27" s="46"/>
      <c r="T27" s="64"/>
      <c r="U27" s="46"/>
      <c r="V27" s="46"/>
      <c r="W27" s="46"/>
    </row>
    <row r="28" spans="1:23">
      <c r="D28" s="61" t="s">
        <v>262</v>
      </c>
      <c r="F28" s="74">
        <f>F29-F27</f>
        <v>1194.2204481463218</v>
      </c>
      <c r="G28" s="74">
        <f t="shared" ref="G28:Q28" si="6">G29-G27</f>
        <v>1143.6134259523503</v>
      </c>
      <c r="H28" s="74">
        <f t="shared" si="6"/>
        <v>1172.1272585563922</v>
      </c>
      <c r="I28" s="74">
        <f t="shared" si="6"/>
        <v>1143.0939611319227</v>
      </c>
      <c r="J28" s="74">
        <f t="shared" si="6"/>
        <v>1160.2037023361756</v>
      </c>
      <c r="K28" s="74">
        <f t="shared" si="6"/>
        <v>1190.6759931601428</v>
      </c>
      <c r="L28" s="74">
        <f t="shared" si="6"/>
        <v>1121.8993489733007</v>
      </c>
      <c r="M28" s="74">
        <f t="shared" si="6"/>
        <v>1160.1268657486196</v>
      </c>
      <c r="N28" s="74">
        <f t="shared" si="6"/>
        <v>1182.2888480804204</v>
      </c>
      <c r="O28" s="74">
        <f t="shared" si="6"/>
        <v>1033.8096138911508</v>
      </c>
      <c r="P28" s="74">
        <f t="shared" si="6"/>
        <v>1159.0080439209</v>
      </c>
      <c r="Q28" s="74">
        <f t="shared" si="6"/>
        <v>1158.8770663796427</v>
      </c>
      <c r="R28" s="46">
        <f t="shared" si="5"/>
        <v>13819.944576277339</v>
      </c>
      <c r="S28" s="46"/>
      <c r="T28" s="46"/>
      <c r="U28" s="46"/>
      <c r="V28" s="46"/>
      <c r="W28" s="46"/>
    </row>
    <row r="29" spans="1:23" ht="13.5" thickBot="1">
      <c r="C29" s="76" t="s">
        <v>264</v>
      </c>
      <c r="D29" s="77"/>
      <c r="E29" s="77"/>
      <c r="F29" s="78">
        <v>1232.7585925378683</v>
      </c>
      <c r="G29" s="78">
        <v>1180.8871717623272</v>
      </c>
      <c r="H29" s="78">
        <v>1210.1865184153266</v>
      </c>
      <c r="I29" s="78">
        <v>1180.9863178732953</v>
      </c>
      <c r="J29" s="78">
        <v>1201.0172497650271</v>
      </c>
      <c r="K29" s="78">
        <v>1226.1888369116048</v>
      </c>
      <c r="L29" s="78">
        <v>1157.2243262791626</v>
      </c>
      <c r="M29" s="78">
        <v>1199.9014734334412</v>
      </c>
      <c r="N29" s="78">
        <v>1223.8647200207733</v>
      </c>
      <c r="O29" s="78">
        <v>1066.4811325139451</v>
      </c>
      <c r="P29" s="78">
        <v>1197.4581799546443</v>
      </c>
      <c r="Q29" s="78">
        <v>1190.9931631766601</v>
      </c>
      <c r="R29" s="79">
        <f t="shared" si="5"/>
        <v>14267.947682644079</v>
      </c>
      <c r="S29" s="80"/>
      <c r="T29" s="46"/>
      <c r="U29" s="46"/>
      <c r="V29" s="46"/>
      <c r="W29" s="46"/>
    </row>
    <row r="30" spans="1:23" ht="13.5" thickBot="1">
      <c r="B30" s="81" t="s">
        <v>265</v>
      </c>
      <c r="C30" s="82"/>
      <c r="D30" s="82"/>
      <c r="E30" s="82"/>
      <c r="F30" s="83">
        <f>F25+F29</f>
        <v>4663.3480249150798</v>
      </c>
      <c r="G30" s="83">
        <f t="shared" ref="G30:R30" si="7">G25+G29</f>
        <v>4378.0613209704079</v>
      </c>
      <c r="H30" s="83">
        <f t="shared" si="7"/>
        <v>4716.1566958578851</v>
      </c>
      <c r="I30" s="83">
        <f t="shared" si="7"/>
        <v>4514.201431517502</v>
      </c>
      <c r="J30" s="83">
        <f t="shared" si="7"/>
        <v>4470.4777413027177</v>
      </c>
      <c r="K30" s="83">
        <f t="shared" si="7"/>
        <v>4664.1797313824591</v>
      </c>
      <c r="L30" s="83">
        <f t="shared" si="7"/>
        <v>4440.6946739927444</v>
      </c>
      <c r="M30" s="83">
        <f t="shared" si="7"/>
        <v>4385.5738858273926</v>
      </c>
      <c r="N30" s="83">
        <f t="shared" si="7"/>
        <v>4507.8245011903709</v>
      </c>
      <c r="O30" s="83">
        <f t="shared" si="7"/>
        <v>3967.794922736367</v>
      </c>
      <c r="P30" s="83">
        <f t="shared" si="7"/>
        <v>4520.3465797991803</v>
      </c>
      <c r="Q30" s="83">
        <f>Q25+Q29</f>
        <v>4529.0659141359129</v>
      </c>
      <c r="R30" s="84">
        <f t="shared" si="7"/>
        <v>53757.725423628028</v>
      </c>
      <c r="S30" s="46"/>
      <c r="T30" s="63"/>
      <c r="U30" s="46"/>
      <c r="V30" s="46"/>
      <c r="W30" s="46"/>
    </row>
    <row r="31" spans="1:23">
      <c r="F31" s="85">
        <f>+(F30-F$12)/F$12</f>
        <v>5.1724859024600771E-2</v>
      </c>
      <c r="G31" s="85">
        <f t="shared" ref="G31:R31" si="8">+(G30-G$12)/G$12</f>
        <v>5.0902861490736417E-2</v>
      </c>
      <c r="H31" s="85">
        <f t="shared" si="8"/>
        <v>5.5068612048743873E-2</v>
      </c>
      <c r="I31" s="85">
        <f t="shared" si="8"/>
        <v>5.2752199514342811E-2</v>
      </c>
      <c r="J31" s="85">
        <f t="shared" si="8"/>
        <v>5.4606685846359457E-2</v>
      </c>
      <c r="K31" s="85">
        <f t="shared" si="8"/>
        <v>5.0017949433241574E-2</v>
      </c>
      <c r="L31" s="85">
        <f t="shared" si="8"/>
        <v>5.0803283008221567E-2</v>
      </c>
      <c r="M31" s="85">
        <f t="shared" si="8"/>
        <v>5.6764791765636771E-2</v>
      </c>
      <c r="N31" s="85">
        <f t="shared" si="8"/>
        <v>5.2983999343697956E-2</v>
      </c>
      <c r="O31" s="85">
        <f t="shared" si="8"/>
        <v>4.9681196491102371E-2</v>
      </c>
      <c r="P31" s="85">
        <f t="shared" si="8"/>
        <v>4.9291220937599883E-2</v>
      </c>
      <c r="Q31" s="85">
        <f t="shared" si="8"/>
        <v>4.8637627723063868E-2</v>
      </c>
      <c r="R31" s="85">
        <f t="shared" si="8"/>
        <v>5.1948524032405685E-2</v>
      </c>
      <c r="S31" s="46"/>
      <c r="T31" s="46"/>
      <c r="U31" s="46"/>
      <c r="V31" s="46"/>
      <c r="W31" s="46"/>
    </row>
    <row r="32" spans="1:23">
      <c r="B32" s="38" t="s">
        <v>1</v>
      </c>
      <c r="F32" s="86"/>
      <c r="G32" s="87"/>
      <c r="H32" s="87"/>
      <c r="I32" s="87"/>
      <c r="J32" s="87"/>
      <c r="K32" s="87"/>
      <c r="L32" s="87"/>
      <c r="M32" s="87"/>
      <c r="N32" s="87"/>
      <c r="O32" s="87"/>
      <c r="P32" s="87"/>
      <c r="Q32" s="87"/>
      <c r="R32" s="87"/>
      <c r="S32" s="46"/>
      <c r="T32" s="46"/>
      <c r="U32" s="46"/>
      <c r="V32" s="46"/>
      <c r="W32" s="46"/>
    </row>
    <row r="33" spans="2:23">
      <c r="C33" s="38" t="s">
        <v>259</v>
      </c>
      <c r="G33" s="46"/>
      <c r="H33" s="46"/>
      <c r="I33" s="46"/>
      <c r="J33" s="46"/>
      <c r="K33" s="46"/>
      <c r="L33" s="46"/>
      <c r="M33" s="46"/>
      <c r="N33" s="46"/>
      <c r="O33" s="46"/>
      <c r="P33" s="46"/>
      <c r="Q33" s="46"/>
      <c r="R33" s="46"/>
      <c r="S33" s="46"/>
      <c r="T33" s="46"/>
      <c r="U33" s="46"/>
      <c r="V33" s="46"/>
      <c r="W33" s="46"/>
    </row>
    <row r="34" spans="2:23">
      <c r="D34" s="61" t="s">
        <v>266</v>
      </c>
      <c r="F34" s="88">
        <v>599.80197971880398</v>
      </c>
      <c r="G34" s="88">
        <v>530.17078093277416</v>
      </c>
      <c r="H34" s="88">
        <v>582.48426266432477</v>
      </c>
      <c r="I34" s="88">
        <v>592.85288192996597</v>
      </c>
      <c r="J34" s="88">
        <v>552.52718831555262</v>
      </c>
      <c r="K34" s="88">
        <v>578.68381221844788</v>
      </c>
      <c r="L34" s="88">
        <v>528.15354593290067</v>
      </c>
      <c r="M34" s="88">
        <v>548.78039284403178</v>
      </c>
      <c r="N34" s="88">
        <v>599.74437874509863</v>
      </c>
      <c r="O34" s="88">
        <v>459.35752363420113</v>
      </c>
      <c r="P34" s="88">
        <v>504.87486675474531</v>
      </c>
      <c r="Q34" s="88">
        <v>525.47505943550266</v>
      </c>
      <c r="R34" s="46">
        <f>SUM(F34:Q34)</f>
        <v>6602.9066731263492</v>
      </c>
      <c r="S34" s="63">
        <f>+R34/R36</f>
        <v>0.18264817412912154</v>
      </c>
      <c r="T34" s="46"/>
      <c r="U34" s="64"/>
      <c r="V34" s="46"/>
      <c r="W34" s="46"/>
    </row>
    <row r="35" spans="2:23">
      <c r="D35" s="61" t="s">
        <v>267</v>
      </c>
      <c r="F35" s="74">
        <f>+F36-F34</f>
        <v>2622.0880325321518</v>
      </c>
      <c r="G35" s="74">
        <f t="shared" ref="G35:Q35" si="9">+G36-G34</f>
        <v>2397.9398124307781</v>
      </c>
      <c r="H35" s="74">
        <f t="shared" si="9"/>
        <v>2755.0662681862295</v>
      </c>
      <c r="I35" s="74">
        <f t="shared" si="9"/>
        <v>2550.4350670683575</v>
      </c>
      <c r="J35" s="74">
        <f t="shared" si="9"/>
        <v>2508.515030500289</v>
      </c>
      <c r="K35" s="74">
        <f t="shared" si="9"/>
        <v>2487.2121905544545</v>
      </c>
      <c r="L35" s="74">
        <f t="shared" si="9"/>
        <v>2385.6789758889727</v>
      </c>
      <c r="M35" s="74">
        <f t="shared" si="9"/>
        <v>2519.5768316371164</v>
      </c>
      <c r="N35" s="74">
        <f t="shared" si="9"/>
        <v>2575.9658005358278</v>
      </c>
      <c r="O35" s="74">
        <f t="shared" si="9"/>
        <v>2050.2052732089605</v>
      </c>
      <c r="P35" s="74">
        <f t="shared" si="9"/>
        <v>2270.7638126610618</v>
      </c>
      <c r="Q35" s="74">
        <f t="shared" si="9"/>
        <v>2424.6053343784665</v>
      </c>
      <c r="R35" s="46">
        <f>SUM(F35:Q35)</f>
        <v>29548.052429582669</v>
      </c>
      <c r="S35" s="63">
        <f>+R35/R36</f>
        <v>0.8173518258708784</v>
      </c>
      <c r="T35" s="64"/>
      <c r="U35" s="46"/>
      <c r="V35" s="46"/>
      <c r="W35" s="46"/>
    </row>
    <row r="36" spans="2:23">
      <c r="C36" s="66" t="s">
        <v>2</v>
      </c>
      <c r="D36" s="67"/>
      <c r="E36" s="67"/>
      <c r="F36" s="68">
        <v>3221.8900122509558</v>
      </c>
      <c r="G36" s="68">
        <v>2928.1105933635522</v>
      </c>
      <c r="H36" s="68">
        <v>3337.5505308505544</v>
      </c>
      <c r="I36" s="68">
        <v>3143.2879489983234</v>
      </c>
      <c r="J36" s="68">
        <v>3061.0422188158414</v>
      </c>
      <c r="K36" s="68">
        <v>3065.8960027729026</v>
      </c>
      <c r="L36" s="68">
        <v>2913.8325218218733</v>
      </c>
      <c r="M36" s="68">
        <v>3068.357224481148</v>
      </c>
      <c r="N36" s="68">
        <v>3175.7101792809267</v>
      </c>
      <c r="O36" s="68">
        <v>2509.5627968431618</v>
      </c>
      <c r="P36" s="68">
        <v>2775.638679415807</v>
      </c>
      <c r="Q36" s="68">
        <v>2950.0803938139693</v>
      </c>
      <c r="R36" s="69">
        <f>SUM(R34:R35)</f>
        <v>36150.959102709021</v>
      </c>
      <c r="S36" s="46"/>
      <c r="T36" s="46"/>
      <c r="U36" s="46"/>
      <c r="V36" s="46"/>
      <c r="W36" s="46"/>
    </row>
    <row r="37" spans="2:23">
      <c r="C37" s="38" t="s">
        <v>262</v>
      </c>
      <c r="F37" s="85">
        <f>+(F36-F$14)/F$14</f>
        <v>-3.93887858524282E-2</v>
      </c>
      <c r="G37" s="85">
        <f t="shared" ref="G37:Q37" si="10">+(G36-G$14)/G$14</f>
        <v>-4.0592859317315794E-2</v>
      </c>
      <c r="H37" s="85">
        <f t="shared" si="10"/>
        <v>-4.175982461942164E-2</v>
      </c>
      <c r="I37" s="85">
        <f t="shared" si="10"/>
        <v>-4.1680503354169701E-2</v>
      </c>
      <c r="J37" s="85">
        <f t="shared" si="10"/>
        <v>-4.1327209891687644E-2</v>
      </c>
      <c r="K37" s="85">
        <f t="shared" si="10"/>
        <v>-0.22362724670222775</v>
      </c>
      <c r="L37" s="85">
        <f t="shared" si="10"/>
        <v>-4.0239617318223536E-2</v>
      </c>
      <c r="M37" s="85">
        <f t="shared" si="10"/>
        <v>-4.0538704039666036E-2</v>
      </c>
      <c r="N37" s="85">
        <f t="shared" si="10"/>
        <v>-3.8537638728148138E-2</v>
      </c>
      <c r="O37" s="85">
        <f t="shared" si="10"/>
        <v>-7.3278140013603485E-2</v>
      </c>
      <c r="P37" s="85">
        <f t="shared" si="10"/>
        <v>-4.0898866822457837E-2</v>
      </c>
      <c r="Q37" s="85">
        <f t="shared" si="10"/>
        <v>-4.0624262174318929E-2</v>
      </c>
      <c r="R37" s="85">
        <f>+(R36-R$14)/R$14</f>
        <v>-6.1623384744736637E-2</v>
      </c>
      <c r="S37" s="46"/>
      <c r="T37" s="46"/>
      <c r="U37" s="46"/>
      <c r="V37" s="46"/>
      <c r="W37" s="46"/>
    </row>
    <row r="38" spans="2:23">
      <c r="D38" s="61" t="s">
        <v>266</v>
      </c>
      <c r="F38" s="88">
        <v>367.06714354459132</v>
      </c>
      <c r="G38" s="88">
        <v>328.09427317867534</v>
      </c>
      <c r="H38" s="88">
        <v>329.54465918054211</v>
      </c>
      <c r="I38" s="88">
        <v>352.68192301906163</v>
      </c>
      <c r="J38" s="88">
        <v>340.36527590577344</v>
      </c>
      <c r="K38" s="88">
        <v>377.20065671579005</v>
      </c>
      <c r="L38" s="88">
        <v>325.09833698607571</v>
      </c>
      <c r="M38" s="88">
        <v>364.37754628092375</v>
      </c>
      <c r="N38" s="88">
        <v>417.94401388106837</v>
      </c>
      <c r="O38" s="88">
        <v>307.11192879136638</v>
      </c>
      <c r="P38" s="88">
        <v>331.6498929372994</v>
      </c>
      <c r="Q38" s="88">
        <v>360.60799571360258</v>
      </c>
      <c r="R38" s="46">
        <f>SUM(F38:Q38)</f>
        <v>4201.7436461347697</v>
      </c>
      <c r="S38" s="63">
        <f>+R38/R40</f>
        <v>0.15895688179659009</v>
      </c>
      <c r="T38" s="46"/>
      <c r="U38" s="64"/>
      <c r="V38" s="46"/>
      <c r="W38" s="46"/>
    </row>
    <row r="39" spans="2:23">
      <c r="D39" s="61" t="s">
        <v>267</v>
      </c>
      <c r="F39" s="74">
        <f>+F40-F38</f>
        <v>1931.1004927659535</v>
      </c>
      <c r="G39" s="74">
        <f t="shared" ref="G39:Q39" si="11">+G40-G38</f>
        <v>1746.8651933225365</v>
      </c>
      <c r="H39" s="74">
        <f t="shared" si="11"/>
        <v>1963.5623576308999</v>
      </c>
      <c r="I39" s="74">
        <f t="shared" si="11"/>
        <v>1809.9748816984611</v>
      </c>
      <c r="J39" s="74">
        <f t="shared" si="11"/>
        <v>1820.2498862840782</v>
      </c>
      <c r="K39" s="74">
        <f t="shared" si="11"/>
        <v>1869.41049491579</v>
      </c>
      <c r="L39" s="74">
        <f t="shared" si="11"/>
        <v>1809.0752007272929</v>
      </c>
      <c r="M39" s="74">
        <f t="shared" si="11"/>
        <v>2114.3664921068785</v>
      </c>
      <c r="N39" s="74">
        <f t="shared" si="11"/>
        <v>2057.3552230688183</v>
      </c>
      <c r="O39" s="74">
        <f t="shared" si="11"/>
        <v>1575.312749288136</v>
      </c>
      <c r="P39" s="74">
        <f t="shared" si="11"/>
        <v>1715.4204979482606</v>
      </c>
      <c r="Q39" s="74">
        <f t="shared" si="11"/>
        <v>1818.7918116329542</v>
      </c>
      <c r="R39" s="46">
        <f>SUM(F39:Q39)</f>
        <v>22231.485281390058</v>
      </c>
      <c r="S39" s="63">
        <f>+R39/R40</f>
        <v>0.84104311820340993</v>
      </c>
      <c r="T39" s="46"/>
      <c r="U39" s="64"/>
      <c r="V39" s="46"/>
      <c r="W39" s="46"/>
    </row>
    <row r="40" spans="2:23">
      <c r="C40" s="66" t="s">
        <v>3</v>
      </c>
      <c r="D40" s="67"/>
      <c r="E40" s="67"/>
      <c r="F40" s="68">
        <v>2298.1676363105448</v>
      </c>
      <c r="G40" s="68">
        <v>2074.9594665012119</v>
      </c>
      <c r="H40" s="68">
        <v>2293.107016811442</v>
      </c>
      <c r="I40" s="68">
        <v>2162.6568047175228</v>
      </c>
      <c r="J40" s="68">
        <v>2160.6151621898516</v>
      </c>
      <c r="K40" s="68">
        <v>2246.61115163158</v>
      </c>
      <c r="L40" s="68">
        <v>2134.1735377133687</v>
      </c>
      <c r="M40" s="68">
        <v>2478.744038387802</v>
      </c>
      <c r="N40" s="68">
        <v>2475.2992369498866</v>
      </c>
      <c r="O40" s="68">
        <v>1882.4246780795024</v>
      </c>
      <c r="P40" s="68">
        <v>2047.0703908855601</v>
      </c>
      <c r="Q40" s="68">
        <v>2179.3998073465568</v>
      </c>
      <c r="R40" s="69">
        <f>SUM(R38:R39)</f>
        <v>26433.228927524826</v>
      </c>
      <c r="S40" s="46"/>
      <c r="T40" s="46"/>
      <c r="U40" s="46"/>
      <c r="V40" s="46"/>
      <c r="W40" s="46"/>
    </row>
    <row r="41" spans="2:23">
      <c r="C41" s="38" t="s">
        <v>268</v>
      </c>
      <c r="F41" s="85">
        <f>+((F40+F44)-F$13)/F$13</f>
        <v>9.3834082995198336E-3</v>
      </c>
      <c r="G41" s="85">
        <f t="shared" ref="G41:R41" si="12">+((G40+G44)-G$13)/G$13</f>
        <v>4.3477449834622862E-3</v>
      </c>
      <c r="H41" s="85">
        <f t="shared" si="12"/>
        <v>1.5581438458482049E-2</v>
      </c>
      <c r="I41" s="85">
        <f t="shared" si="12"/>
        <v>6.3382027321404414E-3</v>
      </c>
      <c r="J41" s="85">
        <f t="shared" si="12"/>
        <v>-2.5696438962501821E-3</v>
      </c>
      <c r="K41" s="85">
        <f t="shared" si="12"/>
        <v>-0.36965346401234211</v>
      </c>
      <c r="L41" s="85">
        <f t="shared" si="12"/>
        <v>3.1746393239522365E-2</v>
      </c>
      <c r="M41" s="85">
        <f t="shared" si="12"/>
        <v>2.9102952263061432E-2</v>
      </c>
      <c r="N41" s="85">
        <f t="shared" si="12"/>
        <v>1.1171199059252717E-2</v>
      </c>
      <c r="O41" s="85">
        <f t="shared" si="12"/>
        <v>7.7347368960043843E-3</v>
      </c>
      <c r="P41" s="85">
        <f t="shared" si="12"/>
        <v>3.5810516677596002E-3</v>
      </c>
      <c r="Q41" s="85">
        <f t="shared" si="12"/>
        <v>9.2869853377668104E-3</v>
      </c>
      <c r="R41" s="85">
        <f t="shared" si="12"/>
        <v>-3.8329062660358404E-2</v>
      </c>
      <c r="S41" s="46"/>
      <c r="T41" s="46"/>
      <c r="U41" s="46"/>
      <c r="V41" s="46"/>
      <c r="W41" s="46"/>
    </row>
    <row r="42" spans="2:23">
      <c r="D42" s="61" t="s">
        <v>266</v>
      </c>
      <c r="F42" s="89">
        <v>859.42000000000007</v>
      </c>
      <c r="G42" s="89">
        <v>604.19000000000005</v>
      </c>
      <c r="H42" s="89">
        <v>595.79999999999995</v>
      </c>
      <c r="I42" s="89">
        <v>499.4</v>
      </c>
      <c r="J42" s="89">
        <v>532.79</v>
      </c>
      <c r="K42" s="89">
        <v>658.32999999999993</v>
      </c>
      <c r="L42" s="89">
        <v>976.85999999999979</v>
      </c>
      <c r="M42" s="89">
        <v>440.7</v>
      </c>
      <c r="N42" s="89">
        <v>432.02000000000004</v>
      </c>
      <c r="O42" s="89">
        <v>298.38000000000005</v>
      </c>
      <c r="P42" s="89">
        <v>531.53</v>
      </c>
      <c r="Q42" s="89">
        <v>742.08999999999992</v>
      </c>
      <c r="R42" s="46">
        <f>SUM(F42:Q42)</f>
        <v>7171.51</v>
      </c>
      <c r="S42" s="63">
        <f>+R42/R44</f>
        <v>0.16067971356189562</v>
      </c>
      <c r="T42" s="46"/>
      <c r="U42" s="64"/>
      <c r="V42" s="46"/>
      <c r="W42" s="46"/>
    </row>
    <row r="43" spans="2:23">
      <c r="D43" s="61" t="s">
        <v>267</v>
      </c>
      <c r="F43" s="74">
        <f>+F44-F42</f>
        <v>4736.7999999999993</v>
      </c>
      <c r="G43" s="74">
        <f t="shared" ref="G43:Q43" si="13">+G44-G42</f>
        <v>3927.450000000003</v>
      </c>
      <c r="H43" s="74">
        <f t="shared" si="13"/>
        <v>3533.6299999999983</v>
      </c>
      <c r="I43" s="74">
        <f t="shared" si="13"/>
        <v>2464.2300000000005</v>
      </c>
      <c r="J43" s="74">
        <f t="shared" si="13"/>
        <v>2746.58</v>
      </c>
      <c r="K43" s="74">
        <f t="shared" si="13"/>
        <v>3245.3499999999985</v>
      </c>
      <c r="L43" s="74">
        <f t="shared" si="13"/>
        <v>5173.8899999999967</v>
      </c>
      <c r="M43" s="74">
        <f t="shared" si="13"/>
        <v>2008.9299999999992</v>
      </c>
      <c r="N43" s="74">
        <f t="shared" si="13"/>
        <v>2090.8999999999992</v>
      </c>
      <c r="O43" s="74">
        <f t="shared" si="13"/>
        <v>1273.7100000000005</v>
      </c>
      <c r="P43" s="74">
        <f t="shared" si="13"/>
        <v>2527.6200000000008</v>
      </c>
      <c r="Q43" s="74">
        <f t="shared" si="13"/>
        <v>3731.7300000000014</v>
      </c>
      <c r="R43" s="46">
        <f>SUM(F43:Q43)</f>
        <v>37460.82</v>
      </c>
      <c r="S43" s="63">
        <f>+R43/R44</f>
        <v>0.83932028643810441</v>
      </c>
      <c r="T43" s="46"/>
      <c r="U43" s="64"/>
      <c r="V43" s="46"/>
      <c r="W43" s="46"/>
    </row>
    <row r="44" spans="2:23" ht="13.5" thickBot="1">
      <c r="C44" s="90" t="s">
        <v>4</v>
      </c>
      <c r="D44" s="77"/>
      <c r="E44" s="77"/>
      <c r="F44" s="91">
        <v>5596.2199999999993</v>
      </c>
      <c r="G44" s="91">
        <v>4531.6400000000031</v>
      </c>
      <c r="H44" s="91">
        <v>4129.4299999999985</v>
      </c>
      <c r="I44" s="91">
        <v>2963.6300000000006</v>
      </c>
      <c r="J44" s="91">
        <v>3279.37</v>
      </c>
      <c r="K44" s="91">
        <v>3903.6799999999985</v>
      </c>
      <c r="L44" s="91">
        <v>6150.7499999999964</v>
      </c>
      <c r="M44" s="91">
        <v>2449.6299999999992</v>
      </c>
      <c r="N44" s="91">
        <v>2522.9199999999992</v>
      </c>
      <c r="O44" s="91">
        <v>1572.0900000000006</v>
      </c>
      <c r="P44" s="91">
        <v>3059.150000000001</v>
      </c>
      <c r="Q44" s="91">
        <v>4473.8200000000015</v>
      </c>
      <c r="R44" s="79">
        <f>SUM(R42:R43)</f>
        <v>44632.33</v>
      </c>
      <c r="S44" s="80"/>
      <c r="T44" s="46"/>
      <c r="U44" s="46"/>
      <c r="V44" s="46"/>
      <c r="W44" s="46"/>
    </row>
    <row r="45" spans="2:23" ht="13.5" thickBot="1">
      <c r="B45" s="81" t="s">
        <v>269</v>
      </c>
      <c r="C45" s="82"/>
      <c r="D45" s="82"/>
      <c r="E45" s="82"/>
      <c r="F45" s="83">
        <f t="shared" ref="F45:R45" si="14">F36+F40+F44</f>
        <v>11116.2776485615</v>
      </c>
      <c r="G45" s="83">
        <f t="shared" si="14"/>
        <v>9534.7100598647667</v>
      </c>
      <c r="H45" s="83">
        <f t="shared" si="14"/>
        <v>9760.0875476619949</v>
      </c>
      <c r="I45" s="83">
        <f t="shared" si="14"/>
        <v>8269.5747537158477</v>
      </c>
      <c r="J45" s="83">
        <f t="shared" si="14"/>
        <v>8501.0273810056933</v>
      </c>
      <c r="K45" s="83">
        <f t="shared" si="14"/>
        <v>9216.1871544044807</v>
      </c>
      <c r="L45" s="83">
        <f t="shared" si="14"/>
        <v>11198.756059535239</v>
      </c>
      <c r="M45" s="83">
        <f t="shared" si="14"/>
        <v>7996.7312628689488</v>
      </c>
      <c r="N45" s="83">
        <f t="shared" si="14"/>
        <v>8173.9294162308124</v>
      </c>
      <c r="O45" s="83">
        <f t="shared" si="14"/>
        <v>5964.0774749226639</v>
      </c>
      <c r="P45" s="83">
        <f t="shared" si="14"/>
        <v>7881.8590703013688</v>
      </c>
      <c r="Q45" s="83">
        <f t="shared" si="14"/>
        <v>9603.3002011605276</v>
      </c>
      <c r="R45" s="84">
        <f t="shared" si="14"/>
        <v>107216.51803023386</v>
      </c>
      <c r="S45" s="46">
        <f>+R34+R38+R42</f>
        <v>17976.160319261122</v>
      </c>
      <c r="T45" s="63"/>
      <c r="U45" s="46"/>
      <c r="V45" s="46"/>
      <c r="W45" s="46"/>
    </row>
    <row r="46" spans="2:23">
      <c r="F46" s="85">
        <f>+(F45-F$15)/F$15</f>
        <v>-5.2547965493065308E-3</v>
      </c>
      <c r="G46" s="85">
        <f t="shared" ref="G46:R46" si="15">+(G45-G$15)/G$15</f>
        <v>-9.895113201997232E-3</v>
      </c>
      <c r="H46" s="85">
        <f t="shared" si="15"/>
        <v>-4.7835680980937182E-3</v>
      </c>
      <c r="I46" s="85">
        <f t="shared" si="15"/>
        <v>-1.2470175099612169E-2</v>
      </c>
      <c r="J46" s="85">
        <f t="shared" si="15"/>
        <v>-1.6881302069423693E-2</v>
      </c>
      <c r="K46" s="85">
        <f t="shared" si="15"/>
        <v>-0.32758009963486934</v>
      </c>
      <c r="L46" s="85">
        <f t="shared" si="15"/>
        <v>1.1996752171989773E-2</v>
      </c>
      <c r="M46" s="85">
        <f t="shared" si="15"/>
        <v>1.2183877386939728E-3</v>
      </c>
      <c r="N46" s="85">
        <f t="shared" si="15"/>
        <v>-8.7400659433892278E-3</v>
      </c>
      <c r="O46" s="85">
        <f t="shared" si="15"/>
        <v>-2.8018664451977853E-2</v>
      </c>
      <c r="P46" s="85">
        <f t="shared" si="15"/>
        <v>-1.2545844362143727E-2</v>
      </c>
      <c r="Q46" s="85">
        <f t="shared" si="15"/>
        <v>-6.5894071417681131E-3</v>
      </c>
      <c r="R46" s="85">
        <f t="shared" si="15"/>
        <v>-4.6311537405745659E-2</v>
      </c>
      <c r="S46" s="46"/>
      <c r="T46" s="46"/>
      <c r="U46" s="46"/>
      <c r="V46" s="46"/>
      <c r="W46" s="46"/>
    </row>
    <row r="47" spans="2:23">
      <c r="B47" s="38" t="s">
        <v>257</v>
      </c>
      <c r="F47" s="92"/>
      <c r="G47" s="92"/>
      <c r="H47" s="92"/>
      <c r="I47" s="92"/>
      <c r="J47" s="92"/>
      <c r="K47" s="92"/>
      <c r="L47" s="92"/>
      <c r="M47" s="92"/>
      <c r="N47" s="92"/>
      <c r="O47" s="92"/>
      <c r="P47" s="92"/>
      <c r="Q47" s="92"/>
      <c r="R47" s="46"/>
      <c r="S47" s="46"/>
      <c r="T47" s="46"/>
      <c r="U47" s="46"/>
      <c r="V47" s="46"/>
      <c r="W47" s="46"/>
    </row>
    <row r="48" spans="2:23">
      <c r="C48" s="61" t="s">
        <v>260</v>
      </c>
      <c r="F48" s="93">
        <v>110.8435434115674</v>
      </c>
      <c r="G48" s="93">
        <v>114.34516508467013</v>
      </c>
      <c r="H48" s="93">
        <v>100.41244887789065</v>
      </c>
      <c r="I48" s="93">
        <v>123.60987785877725</v>
      </c>
      <c r="J48" s="93">
        <v>106.93044925942105</v>
      </c>
      <c r="K48" s="93">
        <v>87.706460251965936</v>
      </c>
      <c r="L48" s="93">
        <v>106.95860195358431</v>
      </c>
      <c r="M48" s="93">
        <v>124.77417423359402</v>
      </c>
      <c r="N48" s="93">
        <v>105.31727381655674</v>
      </c>
      <c r="O48" s="93">
        <v>96.383615871962036</v>
      </c>
      <c r="P48" s="93">
        <v>89.447756520582487</v>
      </c>
      <c r="Q48" s="93">
        <v>85.689762859428214</v>
      </c>
      <c r="R48" s="46">
        <f>SUM(F48:Q48)</f>
        <v>1252.4191300000002</v>
      </c>
      <c r="S48" s="63">
        <f>+R48/R50</f>
        <v>2.46738338028724E-2</v>
      </c>
      <c r="T48" s="46"/>
      <c r="U48" s="46"/>
      <c r="V48" s="46"/>
      <c r="W48" s="46"/>
    </row>
    <row r="49" spans="1:21" ht="13.5" thickBot="1">
      <c r="C49" s="61" t="s">
        <v>261</v>
      </c>
      <c r="F49" s="74">
        <f t="shared" ref="F49:Q49" si="16">F50-F48</f>
        <v>3997.1564565884328</v>
      </c>
      <c r="G49" s="74">
        <f t="shared" si="16"/>
        <v>3765.65483491533</v>
      </c>
      <c r="H49" s="74">
        <f t="shared" si="16"/>
        <v>4214.5875511221093</v>
      </c>
      <c r="I49" s="74">
        <f t="shared" si="16"/>
        <v>4241.3901221412225</v>
      </c>
      <c r="J49" s="74">
        <f t="shared" si="16"/>
        <v>3905.069550740579</v>
      </c>
      <c r="K49" s="74">
        <f t="shared" si="16"/>
        <v>5471.2935397480342</v>
      </c>
      <c r="L49" s="74">
        <f t="shared" si="16"/>
        <v>4276.0413980464155</v>
      </c>
      <c r="M49" s="74">
        <f t="shared" si="16"/>
        <v>3963.2258257664062</v>
      </c>
      <c r="N49" s="74">
        <f t="shared" si="16"/>
        <v>4075.6827261834433</v>
      </c>
      <c r="O49" s="74">
        <f t="shared" si="16"/>
        <v>3435.6163841280381</v>
      </c>
      <c r="P49" s="74">
        <f t="shared" si="16"/>
        <v>3944.5522434794175</v>
      </c>
      <c r="Q49" s="74">
        <f t="shared" si="16"/>
        <v>4216.3102371405721</v>
      </c>
      <c r="R49" s="46">
        <f>SUM(F49:Q49)</f>
        <v>49506.580869999998</v>
      </c>
      <c r="S49" s="63">
        <f>+R49/R50</f>
        <v>0.97532616619712753</v>
      </c>
    </row>
    <row r="50" spans="1:21" ht="13.5" thickBot="1">
      <c r="B50" s="81" t="s">
        <v>270</v>
      </c>
      <c r="C50" s="82"/>
      <c r="D50" s="82"/>
      <c r="E50" s="82"/>
      <c r="F50" s="94">
        <v>4108</v>
      </c>
      <c r="G50" s="94">
        <v>3880</v>
      </c>
      <c r="H50" s="94">
        <v>4315</v>
      </c>
      <c r="I50" s="94">
        <v>4365</v>
      </c>
      <c r="J50" s="94">
        <v>4012</v>
      </c>
      <c r="K50" s="94">
        <v>5559</v>
      </c>
      <c r="L50" s="94">
        <v>4383</v>
      </c>
      <c r="M50" s="94">
        <v>4088</v>
      </c>
      <c r="N50" s="94">
        <v>4181</v>
      </c>
      <c r="O50" s="94">
        <v>3532</v>
      </c>
      <c r="P50" s="94">
        <v>4034</v>
      </c>
      <c r="Q50" s="94">
        <v>4302</v>
      </c>
      <c r="R50" s="84">
        <f>SUM(R48:R49)</f>
        <v>50759</v>
      </c>
      <c r="U50" s="95"/>
    </row>
    <row r="51" spans="1:21">
      <c r="F51" s="85">
        <f>+(F50-F$16)/F$16</f>
        <v>0</v>
      </c>
      <c r="G51" s="85">
        <f t="shared" ref="G51:R51" si="17">+(G50-G$16)/G$16</f>
        <v>0</v>
      </c>
      <c r="H51" s="85">
        <f t="shared" si="17"/>
        <v>0</v>
      </c>
      <c r="I51" s="85">
        <f t="shared" si="17"/>
        <v>0</v>
      </c>
      <c r="J51" s="85">
        <f t="shared" si="17"/>
        <v>0</v>
      </c>
      <c r="K51" s="85">
        <f t="shared" si="17"/>
        <v>0</v>
      </c>
      <c r="L51" s="85">
        <f t="shared" si="17"/>
        <v>0</v>
      </c>
      <c r="M51" s="85">
        <f t="shared" si="17"/>
        <v>0</v>
      </c>
      <c r="N51" s="85">
        <f t="shared" si="17"/>
        <v>0</v>
      </c>
      <c r="O51" s="85">
        <f t="shared" si="17"/>
        <v>0</v>
      </c>
      <c r="P51" s="85">
        <f t="shared" si="17"/>
        <v>0</v>
      </c>
      <c r="Q51" s="85">
        <f t="shared" si="17"/>
        <v>0</v>
      </c>
      <c r="R51" s="85">
        <f t="shared" si="17"/>
        <v>0</v>
      </c>
    </row>
    <row r="52" spans="1:21">
      <c r="F52" s="95"/>
      <c r="G52" s="95"/>
      <c r="H52" s="95"/>
      <c r="I52" s="95"/>
      <c r="J52" s="95"/>
      <c r="K52" s="95"/>
      <c r="L52" s="95"/>
      <c r="M52" s="95"/>
      <c r="N52" s="95"/>
      <c r="O52" s="95"/>
      <c r="P52" s="95"/>
      <c r="Q52" s="95"/>
    </row>
    <row r="53" spans="1:21">
      <c r="B53" s="38" t="s">
        <v>2</v>
      </c>
      <c r="F53" s="95">
        <f>F23+F24+F36+F48+F49</f>
        <v>10760.479444628167</v>
      </c>
      <c r="G53" s="95">
        <f t="shared" ref="G53:R53" si="18">G23+G24+G36+G48+G49</f>
        <v>10005.284742571634</v>
      </c>
      <c r="H53" s="95">
        <f t="shared" si="18"/>
        <v>11158.520708293112</v>
      </c>
      <c r="I53" s="95">
        <f t="shared" si="18"/>
        <v>10841.503062642529</v>
      </c>
      <c r="J53" s="95">
        <f t="shared" si="18"/>
        <v>10342.502710353532</v>
      </c>
      <c r="K53" s="95">
        <f t="shared" si="18"/>
        <v>12062.886897243758</v>
      </c>
      <c r="L53" s="95">
        <f t="shared" si="18"/>
        <v>10580.302869535455</v>
      </c>
      <c r="M53" s="95">
        <f t="shared" si="18"/>
        <v>10342.029636875099</v>
      </c>
      <c r="N53" s="95">
        <f t="shared" si="18"/>
        <v>10640.669960450525</v>
      </c>
      <c r="O53" s="95">
        <f>O23+O24+O36+O48+O49</f>
        <v>8942.8765870655843</v>
      </c>
      <c r="P53" s="95">
        <f t="shared" si="18"/>
        <v>10132.527079260344</v>
      </c>
      <c r="Q53" s="95">
        <f t="shared" si="18"/>
        <v>10590.153144773223</v>
      </c>
      <c r="R53" s="95">
        <f t="shared" si="18"/>
        <v>126399.73684369295</v>
      </c>
    </row>
    <row r="54" spans="1:21">
      <c r="B54" s="38" t="s">
        <v>3</v>
      </c>
      <c r="F54" s="95">
        <f>+F29+F40</f>
        <v>3530.9262288484133</v>
      </c>
      <c r="G54" s="95">
        <f t="shared" ref="G54:R54" si="19">+G29+G40</f>
        <v>3255.8466382635388</v>
      </c>
      <c r="H54" s="95">
        <f t="shared" si="19"/>
        <v>3503.2935352267687</v>
      </c>
      <c r="I54" s="95">
        <f t="shared" si="19"/>
        <v>3343.6431225908182</v>
      </c>
      <c r="J54" s="95">
        <f t="shared" si="19"/>
        <v>3361.632411954879</v>
      </c>
      <c r="K54" s="95">
        <f t="shared" si="19"/>
        <v>3472.7999885431846</v>
      </c>
      <c r="L54" s="95">
        <f t="shared" si="19"/>
        <v>3291.3978639925313</v>
      </c>
      <c r="M54" s="95">
        <f t="shared" si="19"/>
        <v>3678.6455118212434</v>
      </c>
      <c r="N54" s="95">
        <f t="shared" si="19"/>
        <v>3699.1639569706599</v>
      </c>
      <c r="O54" s="95">
        <f t="shared" si="19"/>
        <v>2948.9058105934473</v>
      </c>
      <c r="P54" s="95">
        <f t="shared" si="19"/>
        <v>3244.5285708402043</v>
      </c>
      <c r="Q54" s="95">
        <f t="shared" si="19"/>
        <v>3370.3929705232167</v>
      </c>
      <c r="R54" s="95">
        <f t="shared" si="19"/>
        <v>40701.176610168906</v>
      </c>
    </row>
    <row r="55" spans="1:21" ht="13.5" thickBot="1">
      <c r="B55" s="38" t="s">
        <v>4</v>
      </c>
      <c r="F55" s="95">
        <f>F44</f>
        <v>5596.2199999999993</v>
      </c>
      <c r="G55" s="95">
        <f t="shared" ref="G55:R55" si="20">G44</f>
        <v>4531.6400000000031</v>
      </c>
      <c r="H55" s="95">
        <f t="shared" si="20"/>
        <v>4129.4299999999985</v>
      </c>
      <c r="I55" s="95">
        <f t="shared" si="20"/>
        <v>2963.6300000000006</v>
      </c>
      <c r="J55" s="95">
        <f t="shared" si="20"/>
        <v>3279.37</v>
      </c>
      <c r="K55" s="95">
        <f t="shared" si="20"/>
        <v>3903.6799999999985</v>
      </c>
      <c r="L55" s="95">
        <f t="shared" si="20"/>
        <v>6150.7499999999964</v>
      </c>
      <c r="M55" s="95">
        <f t="shared" si="20"/>
        <v>2449.6299999999992</v>
      </c>
      <c r="N55" s="95">
        <f t="shared" si="20"/>
        <v>2522.9199999999992</v>
      </c>
      <c r="O55" s="95">
        <f t="shared" si="20"/>
        <v>1572.0900000000006</v>
      </c>
      <c r="P55" s="95">
        <f t="shared" si="20"/>
        <v>3059.150000000001</v>
      </c>
      <c r="Q55" s="95">
        <f t="shared" si="20"/>
        <v>4473.8200000000015</v>
      </c>
      <c r="R55" s="95">
        <f t="shared" si="20"/>
        <v>44632.33</v>
      </c>
      <c r="S55" s="59"/>
    </row>
    <row r="56" spans="1:21" ht="13.5" thickBot="1">
      <c r="A56" s="81" t="s">
        <v>271</v>
      </c>
      <c r="B56" s="82"/>
      <c r="C56" s="82"/>
      <c r="D56" s="82"/>
      <c r="E56" s="82"/>
      <c r="F56" s="96">
        <f>SUM(F53:F55)</f>
        <v>19887.625673476578</v>
      </c>
      <c r="G56" s="96">
        <f t="shared" ref="G56:R56" si="21">SUM(G53:G55)</f>
        <v>17792.771380835176</v>
      </c>
      <c r="H56" s="96">
        <f t="shared" si="21"/>
        <v>18791.244243519879</v>
      </c>
      <c r="I56" s="96">
        <f t="shared" si="21"/>
        <v>17148.776185233346</v>
      </c>
      <c r="J56" s="96">
        <f t="shared" si="21"/>
        <v>16983.505122308412</v>
      </c>
      <c r="K56" s="96">
        <f t="shared" si="21"/>
        <v>19439.366885786942</v>
      </c>
      <c r="L56" s="96">
        <f t="shared" si="21"/>
        <v>20022.450733527985</v>
      </c>
      <c r="M56" s="96">
        <f t="shared" si="21"/>
        <v>16470.305148696341</v>
      </c>
      <c r="N56" s="96">
        <f t="shared" si="21"/>
        <v>16862.753917421185</v>
      </c>
      <c r="O56" s="96">
        <f>SUM(O53:O55)</f>
        <v>13463.872397659032</v>
      </c>
      <c r="P56" s="96">
        <f t="shared" si="21"/>
        <v>16436.20565010055</v>
      </c>
      <c r="Q56" s="96">
        <f t="shared" si="21"/>
        <v>18434.366115296441</v>
      </c>
      <c r="R56" s="97">
        <f t="shared" si="21"/>
        <v>211733.24345386185</v>
      </c>
    </row>
    <row r="58" spans="1:21">
      <c r="B58" s="37" t="s">
        <v>272</v>
      </c>
    </row>
    <row r="59" spans="1:21">
      <c r="C59" s="37" t="s">
        <v>0</v>
      </c>
      <c r="F59" s="46"/>
      <c r="G59" s="46"/>
      <c r="H59" s="46"/>
      <c r="I59" s="46"/>
      <c r="J59" s="46"/>
      <c r="K59" s="46"/>
      <c r="L59" s="46"/>
      <c r="M59" s="46"/>
      <c r="N59" s="46"/>
      <c r="O59" s="46"/>
      <c r="P59" s="46"/>
      <c r="Q59" s="46"/>
      <c r="R59" s="46"/>
    </row>
    <row r="60" spans="1:21">
      <c r="D60" s="38" t="s">
        <v>259</v>
      </c>
      <c r="F60" s="46">
        <f t="shared" ref="F60:R60" si="22">F23</f>
        <v>233.68411299064337</v>
      </c>
      <c r="G60" s="46">
        <f t="shared" si="22"/>
        <v>218.94960190245828</v>
      </c>
      <c r="H60" s="46">
        <f t="shared" si="22"/>
        <v>244.13068029694793</v>
      </c>
      <c r="I60" s="46">
        <f t="shared" si="22"/>
        <v>244.57917184017472</v>
      </c>
      <c r="J60" s="46">
        <f t="shared" si="22"/>
        <v>232.78977009454272</v>
      </c>
      <c r="K60" s="46">
        <f t="shared" si="22"/>
        <v>246.47227468528953</v>
      </c>
      <c r="L60" s="46">
        <f t="shared" si="22"/>
        <v>234.31380172379946</v>
      </c>
      <c r="M60" s="46">
        <f t="shared" si="22"/>
        <v>222.06669074724127</v>
      </c>
      <c r="N60" s="46">
        <f t="shared" si="22"/>
        <v>223.69803483572559</v>
      </c>
      <c r="O60" s="46">
        <f t="shared" si="22"/>
        <v>195.22030473646362</v>
      </c>
      <c r="P60" s="46">
        <f t="shared" si="22"/>
        <v>225.68484392942736</v>
      </c>
      <c r="Q60" s="46">
        <f t="shared" si="22"/>
        <v>230.00403233724955</v>
      </c>
      <c r="R60" s="46">
        <f t="shared" si="22"/>
        <v>2751.5933201199632</v>
      </c>
    </row>
    <row r="61" spans="1:21">
      <c r="D61" s="38" t="s">
        <v>273</v>
      </c>
      <c r="F61" s="46">
        <f t="shared" ref="F61:R61" si="23">F27</f>
        <v>38.538144391546453</v>
      </c>
      <c r="G61" s="46">
        <f t="shared" si="23"/>
        <v>37.273745809976845</v>
      </c>
      <c r="H61" s="46">
        <f t="shared" si="23"/>
        <v>38.05925985893434</v>
      </c>
      <c r="I61" s="46">
        <f t="shared" si="23"/>
        <v>37.892356741372581</v>
      </c>
      <c r="J61" s="46">
        <f t="shared" si="23"/>
        <v>40.813547428851408</v>
      </c>
      <c r="K61" s="46">
        <f t="shared" si="23"/>
        <v>35.512843751462015</v>
      </c>
      <c r="L61" s="46">
        <f t="shared" si="23"/>
        <v>35.324977305861864</v>
      </c>
      <c r="M61" s="46">
        <f t="shared" si="23"/>
        <v>39.774607684821639</v>
      </c>
      <c r="N61" s="46">
        <f t="shared" si="23"/>
        <v>41.575871940353011</v>
      </c>
      <c r="O61" s="46">
        <f t="shared" si="23"/>
        <v>32.671518622794352</v>
      </c>
      <c r="P61" s="46">
        <f t="shared" si="23"/>
        <v>38.450136033744172</v>
      </c>
      <c r="Q61" s="46">
        <f t="shared" si="23"/>
        <v>32.116096797017377</v>
      </c>
      <c r="R61" s="46">
        <f t="shared" si="23"/>
        <v>448.00310636673601</v>
      </c>
    </row>
    <row r="62" spans="1:21">
      <c r="C62" s="37" t="s">
        <v>265</v>
      </c>
      <c r="D62" s="37"/>
      <c r="E62" s="37"/>
      <c r="F62" s="98">
        <f t="shared" ref="F62:R62" si="24">SUM(F60:F61)</f>
        <v>272.22225738218981</v>
      </c>
      <c r="G62" s="98">
        <f t="shared" si="24"/>
        <v>256.22334771243516</v>
      </c>
      <c r="H62" s="98">
        <f t="shared" si="24"/>
        <v>282.18994015588225</v>
      </c>
      <c r="I62" s="98">
        <f t="shared" si="24"/>
        <v>282.47152858154732</v>
      </c>
      <c r="J62" s="98">
        <f t="shared" si="24"/>
        <v>273.60331752339414</v>
      </c>
      <c r="K62" s="98">
        <f t="shared" si="24"/>
        <v>281.98511843675158</v>
      </c>
      <c r="L62" s="98">
        <f t="shared" si="24"/>
        <v>269.63877902966135</v>
      </c>
      <c r="M62" s="98">
        <f t="shared" si="24"/>
        <v>261.8412984320629</v>
      </c>
      <c r="N62" s="98">
        <f t="shared" si="24"/>
        <v>265.2739067760786</v>
      </c>
      <c r="O62" s="98">
        <f t="shared" si="24"/>
        <v>227.89182335925796</v>
      </c>
      <c r="P62" s="98">
        <f t="shared" si="24"/>
        <v>264.13497996317153</v>
      </c>
      <c r="Q62" s="98">
        <f t="shared" si="24"/>
        <v>262.1201291342669</v>
      </c>
      <c r="R62" s="98">
        <f t="shared" si="24"/>
        <v>3199.5964264866993</v>
      </c>
    </row>
    <row r="63" spans="1:21" ht="7.5" customHeight="1">
      <c r="C63" s="37"/>
      <c r="D63" s="37"/>
      <c r="E63" s="37"/>
      <c r="F63" s="99"/>
      <c r="G63" s="99"/>
      <c r="H63" s="99"/>
      <c r="I63" s="99"/>
      <c r="J63" s="99"/>
      <c r="K63" s="99"/>
      <c r="L63" s="99"/>
      <c r="M63" s="99"/>
      <c r="N63" s="99"/>
      <c r="O63" s="99"/>
      <c r="P63" s="99"/>
      <c r="Q63" s="99"/>
      <c r="R63" s="99"/>
    </row>
    <row r="64" spans="1:21">
      <c r="C64" s="37" t="s">
        <v>1</v>
      </c>
      <c r="F64" s="46"/>
      <c r="G64" s="46"/>
      <c r="H64" s="46"/>
      <c r="I64" s="46"/>
      <c r="J64" s="46"/>
      <c r="K64" s="46"/>
      <c r="L64" s="46"/>
      <c r="M64" s="46"/>
      <c r="N64" s="46"/>
      <c r="O64" s="46"/>
      <c r="P64" s="46"/>
      <c r="Q64" s="46"/>
      <c r="R64" s="46"/>
    </row>
    <row r="65" spans="1:18">
      <c r="D65" s="38" t="s">
        <v>259</v>
      </c>
      <c r="F65" s="46">
        <f t="shared" ref="F65:R65" si="25">F34</f>
        <v>599.80197971880398</v>
      </c>
      <c r="G65" s="46">
        <f t="shared" si="25"/>
        <v>530.17078093277416</v>
      </c>
      <c r="H65" s="46">
        <f t="shared" si="25"/>
        <v>582.48426266432477</v>
      </c>
      <c r="I65" s="46">
        <f t="shared" si="25"/>
        <v>592.85288192996597</v>
      </c>
      <c r="J65" s="46">
        <f t="shared" si="25"/>
        <v>552.52718831555262</v>
      </c>
      <c r="K65" s="46">
        <f t="shared" si="25"/>
        <v>578.68381221844788</v>
      </c>
      <c r="L65" s="46">
        <f t="shared" si="25"/>
        <v>528.15354593290067</v>
      </c>
      <c r="M65" s="46">
        <f t="shared" si="25"/>
        <v>548.78039284403178</v>
      </c>
      <c r="N65" s="46">
        <f t="shared" si="25"/>
        <v>599.74437874509863</v>
      </c>
      <c r="O65" s="46">
        <f t="shared" si="25"/>
        <v>459.35752363420113</v>
      </c>
      <c r="P65" s="46">
        <f t="shared" si="25"/>
        <v>504.87486675474531</v>
      </c>
      <c r="Q65" s="46">
        <f t="shared" si="25"/>
        <v>525.47505943550266</v>
      </c>
      <c r="R65" s="46">
        <f t="shared" si="25"/>
        <v>6602.9066731263492</v>
      </c>
    </row>
    <row r="66" spans="1:18">
      <c r="D66" s="38" t="s">
        <v>262</v>
      </c>
      <c r="F66" s="46">
        <f t="shared" ref="F66:R66" si="26">F38</f>
        <v>367.06714354459132</v>
      </c>
      <c r="G66" s="46">
        <f t="shared" si="26"/>
        <v>328.09427317867534</v>
      </c>
      <c r="H66" s="46">
        <f t="shared" si="26"/>
        <v>329.54465918054211</v>
      </c>
      <c r="I66" s="46">
        <f t="shared" si="26"/>
        <v>352.68192301906163</v>
      </c>
      <c r="J66" s="46">
        <f t="shared" si="26"/>
        <v>340.36527590577344</v>
      </c>
      <c r="K66" s="46">
        <f t="shared" si="26"/>
        <v>377.20065671579005</v>
      </c>
      <c r="L66" s="46">
        <f t="shared" si="26"/>
        <v>325.09833698607571</v>
      </c>
      <c r="M66" s="46">
        <f t="shared" si="26"/>
        <v>364.37754628092375</v>
      </c>
      <c r="N66" s="46">
        <f t="shared" si="26"/>
        <v>417.94401388106837</v>
      </c>
      <c r="O66" s="46">
        <f t="shared" si="26"/>
        <v>307.11192879136638</v>
      </c>
      <c r="P66" s="46">
        <f t="shared" si="26"/>
        <v>331.6498929372994</v>
      </c>
      <c r="Q66" s="46">
        <f t="shared" si="26"/>
        <v>360.60799571360258</v>
      </c>
      <c r="R66" s="46">
        <f t="shared" si="26"/>
        <v>4201.7436461347697</v>
      </c>
    </row>
    <row r="67" spans="1:18">
      <c r="D67" s="38" t="s">
        <v>268</v>
      </c>
      <c r="F67" s="46">
        <f t="shared" ref="F67:R67" si="27">F42</f>
        <v>859.42000000000007</v>
      </c>
      <c r="G67" s="46">
        <f t="shared" si="27"/>
        <v>604.19000000000005</v>
      </c>
      <c r="H67" s="46">
        <f t="shared" si="27"/>
        <v>595.79999999999995</v>
      </c>
      <c r="I67" s="46">
        <f t="shared" si="27"/>
        <v>499.4</v>
      </c>
      <c r="J67" s="46">
        <f t="shared" si="27"/>
        <v>532.79</v>
      </c>
      <c r="K67" s="46">
        <f t="shared" si="27"/>
        <v>658.32999999999993</v>
      </c>
      <c r="L67" s="46">
        <f t="shared" si="27"/>
        <v>976.85999999999979</v>
      </c>
      <c r="M67" s="46">
        <f t="shared" si="27"/>
        <v>440.7</v>
      </c>
      <c r="N67" s="46">
        <f t="shared" si="27"/>
        <v>432.02000000000004</v>
      </c>
      <c r="O67" s="46">
        <f t="shared" si="27"/>
        <v>298.38000000000005</v>
      </c>
      <c r="P67" s="46">
        <f t="shared" si="27"/>
        <v>531.53</v>
      </c>
      <c r="Q67" s="46">
        <f t="shared" si="27"/>
        <v>742.08999999999992</v>
      </c>
      <c r="R67" s="46">
        <f t="shared" si="27"/>
        <v>7171.51</v>
      </c>
    </row>
    <row r="68" spans="1:18">
      <c r="B68" s="37"/>
      <c r="C68" s="37" t="s">
        <v>269</v>
      </c>
      <c r="D68" s="37"/>
      <c r="E68" s="37"/>
      <c r="F68" s="98">
        <f t="shared" ref="F68:R68" si="28">SUM(F65:F67)</f>
        <v>1826.2891232633954</v>
      </c>
      <c r="G68" s="98">
        <f t="shared" si="28"/>
        <v>1462.4550541114495</v>
      </c>
      <c r="H68" s="98">
        <f t="shared" si="28"/>
        <v>1507.8289218448667</v>
      </c>
      <c r="I68" s="98">
        <f t="shared" si="28"/>
        <v>1444.9348049490277</v>
      </c>
      <c r="J68" s="98">
        <f t="shared" si="28"/>
        <v>1425.682464221326</v>
      </c>
      <c r="K68" s="98">
        <f t="shared" si="28"/>
        <v>1614.2144689342379</v>
      </c>
      <c r="L68" s="98">
        <f t="shared" si="28"/>
        <v>1830.1118829189763</v>
      </c>
      <c r="M68" s="98">
        <f t="shared" si="28"/>
        <v>1353.8579391249555</v>
      </c>
      <c r="N68" s="98">
        <f t="shared" si="28"/>
        <v>1449.7083926261671</v>
      </c>
      <c r="O68" s="98">
        <f t="shared" si="28"/>
        <v>1064.8494524255675</v>
      </c>
      <c r="P68" s="98">
        <f t="shared" si="28"/>
        <v>1368.0547596920446</v>
      </c>
      <c r="Q68" s="98">
        <f t="shared" si="28"/>
        <v>1628.173055149105</v>
      </c>
      <c r="R68" s="98">
        <f t="shared" si="28"/>
        <v>17976.160319261122</v>
      </c>
    </row>
    <row r="69" spans="1:18" ht="7.5" customHeight="1">
      <c r="C69" s="37"/>
      <c r="D69" s="37"/>
      <c r="E69" s="37"/>
      <c r="F69" s="99"/>
      <c r="G69" s="99"/>
      <c r="H69" s="99"/>
      <c r="I69" s="99"/>
      <c r="J69" s="99"/>
      <c r="K69" s="99"/>
      <c r="L69" s="99"/>
      <c r="M69" s="99"/>
      <c r="N69" s="99"/>
      <c r="O69" s="99"/>
      <c r="P69" s="99"/>
      <c r="Q69" s="99"/>
      <c r="R69" s="99"/>
    </row>
    <row r="70" spans="1:18">
      <c r="C70" s="37" t="s">
        <v>257</v>
      </c>
      <c r="F70" s="46"/>
      <c r="G70" s="46"/>
      <c r="H70" s="46"/>
      <c r="I70" s="46"/>
      <c r="J70" s="46"/>
      <c r="K70" s="46"/>
      <c r="L70" s="46"/>
      <c r="M70" s="46"/>
      <c r="N70" s="46"/>
      <c r="O70" s="46"/>
      <c r="P70" s="46"/>
      <c r="Q70" s="46"/>
      <c r="R70" s="46"/>
    </row>
    <row r="71" spans="1:18">
      <c r="D71" s="38" t="s">
        <v>259</v>
      </c>
      <c r="F71" s="46">
        <f>F48</f>
        <v>110.8435434115674</v>
      </c>
      <c r="G71" s="46">
        <f t="shared" ref="G71:R71" si="29">G48</f>
        <v>114.34516508467013</v>
      </c>
      <c r="H71" s="46">
        <f t="shared" si="29"/>
        <v>100.41244887789065</v>
      </c>
      <c r="I71" s="46">
        <f t="shared" si="29"/>
        <v>123.60987785877725</v>
      </c>
      <c r="J71" s="46">
        <f t="shared" si="29"/>
        <v>106.93044925942105</v>
      </c>
      <c r="K71" s="46">
        <f t="shared" si="29"/>
        <v>87.706460251965936</v>
      </c>
      <c r="L71" s="46">
        <f t="shared" si="29"/>
        <v>106.95860195358431</v>
      </c>
      <c r="M71" s="46">
        <f t="shared" si="29"/>
        <v>124.77417423359402</v>
      </c>
      <c r="N71" s="46">
        <f t="shared" si="29"/>
        <v>105.31727381655674</v>
      </c>
      <c r="O71" s="46">
        <f t="shared" si="29"/>
        <v>96.383615871962036</v>
      </c>
      <c r="P71" s="46">
        <f t="shared" si="29"/>
        <v>89.447756520582487</v>
      </c>
      <c r="Q71" s="46">
        <f t="shared" si="29"/>
        <v>85.689762859428214</v>
      </c>
      <c r="R71" s="46">
        <f t="shared" si="29"/>
        <v>1252.4191300000002</v>
      </c>
    </row>
    <row r="72" spans="1:18" s="37" customFormat="1">
      <c r="C72" s="37" t="s">
        <v>270</v>
      </c>
      <c r="F72" s="98">
        <f t="shared" ref="F72:R72" si="30">SUM(F71)</f>
        <v>110.8435434115674</v>
      </c>
      <c r="G72" s="98">
        <f t="shared" si="30"/>
        <v>114.34516508467013</v>
      </c>
      <c r="H72" s="98">
        <f t="shared" si="30"/>
        <v>100.41244887789065</v>
      </c>
      <c r="I72" s="98">
        <f t="shared" si="30"/>
        <v>123.60987785877725</v>
      </c>
      <c r="J72" s="98">
        <f t="shared" si="30"/>
        <v>106.93044925942105</v>
      </c>
      <c r="K72" s="98">
        <f t="shared" si="30"/>
        <v>87.706460251965936</v>
      </c>
      <c r="L72" s="98">
        <f t="shared" si="30"/>
        <v>106.95860195358431</v>
      </c>
      <c r="M72" s="98">
        <f t="shared" si="30"/>
        <v>124.77417423359402</v>
      </c>
      <c r="N72" s="98">
        <f t="shared" si="30"/>
        <v>105.31727381655674</v>
      </c>
      <c r="O72" s="98">
        <f t="shared" si="30"/>
        <v>96.383615871962036</v>
      </c>
      <c r="P72" s="98">
        <f t="shared" si="30"/>
        <v>89.447756520582487</v>
      </c>
      <c r="Q72" s="98">
        <f t="shared" si="30"/>
        <v>85.689762859428214</v>
      </c>
      <c r="R72" s="98">
        <f t="shared" si="30"/>
        <v>1252.4191300000002</v>
      </c>
    </row>
    <row r="73" spans="1:18" ht="7.5" customHeight="1" thickBot="1">
      <c r="C73" s="37"/>
      <c r="D73" s="37"/>
      <c r="E73" s="37"/>
      <c r="F73" s="99"/>
      <c r="G73" s="99"/>
      <c r="H73" s="99"/>
      <c r="I73" s="99"/>
      <c r="J73" s="99"/>
      <c r="K73" s="99"/>
      <c r="L73" s="99"/>
      <c r="M73" s="99"/>
      <c r="N73" s="99"/>
      <c r="O73" s="99"/>
      <c r="P73" s="99"/>
      <c r="Q73" s="99"/>
      <c r="R73" s="99"/>
    </row>
    <row r="74" spans="1:18" ht="13.5" thickBot="1">
      <c r="B74" s="81" t="s">
        <v>272</v>
      </c>
      <c r="C74" s="82"/>
      <c r="D74" s="82"/>
      <c r="E74" s="82"/>
      <c r="F74" s="83">
        <f t="shared" ref="F74:R74" si="31">F62+F68+F72</f>
        <v>2209.3549240571524</v>
      </c>
      <c r="G74" s="83">
        <f t="shared" si="31"/>
        <v>1833.0235669085546</v>
      </c>
      <c r="H74" s="83">
        <f t="shared" si="31"/>
        <v>1890.4313108786396</v>
      </c>
      <c r="I74" s="83">
        <f t="shared" si="31"/>
        <v>1851.0162113893523</v>
      </c>
      <c r="J74" s="83">
        <f t="shared" si="31"/>
        <v>1806.2162310041413</v>
      </c>
      <c r="K74" s="83">
        <f t="shared" si="31"/>
        <v>1983.9060476229552</v>
      </c>
      <c r="L74" s="83">
        <f t="shared" si="31"/>
        <v>2206.7092639022217</v>
      </c>
      <c r="M74" s="83">
        <f t="shared" si="31"/>
        <v>1740.4734117906125</v>
      </c>
      <c r="N74" s="83">
        <f t="shared" si="31"/>
        <v>1820.2995732188024</v>
      </c>
      <c r="O74" s="83">
        <f t="shared" si="31"/>
        <v>1389.1248916567877</v>
      </c>
      <c r="P74" s="83">
        <f t="shared" si="31"/>
        <v>1721.6374961757988</v>
      </c>
      <c r="Q74" s="83">
        <f t="shared" si="31"/>
        <v>1975.9829471428</v>
      </c>
      <c r="R74" s="84">
        <f t="shared" si="31"/>
        <v>22428.175875747824</v>
      </c>
    </row>
    <row r="77" spans="1:18" ht="18">
      <c r="A77" s="44" t="s">
        <v>5</v>
      </c>
    </row>
    <row r="78" spans="1:18">
      <c r="E78" s="37"/>
      <c r="F78" s="58"/>
      <c r="G78" s="58"/>
      <c r="H78" s="58"/>
      <c r="I78" s="58"/>
      <c r="J78" s="58"/>
      <c r="K78" s="58"/>
      <c r="L78" s="58"/>
      <c r="M78" s="58"/>
      <c r="N78" s="58"/>
      <c r="O78" s="58"/>
      <c r="P78" s="58"/>
      <c r="Q78" s="58"/>
      <c r="R78" s="46"/>
    </row>
    <row r="79" spans="1:18">
      <c r="B79" s="38" t="s">
        <v>0</v>
      </c>
      <c r="F79" s="59"/>
      <c r="G79" s="59"/>
      <c r="H79" s="59"/>
      <c r="I79" s="59"/>
      <c r="J79" s="59"/>
      <c r="K79" s="59"/>
      <c r="L79" s="59"/>
      <c r="M79" s="59"/>
      <c r="N79" s="59"/>
      <c r="O79" s="59"/>
      <c r="P79" s="59"/>
      <c r="Q79" s="59"/>
      <c r="R79" s="46"/>
    </row>
    <row r="80" spans="1:18">
      <c r="C80" s="38" t="s">
        <v>260</v>
      </c>
      <c r="F80" s="100">
        <v>120.17</v>
      </c>
      <c r="G80" s="101">
        <f>F80</f>
        <v>120.17</v>
      </c>
      <c r="H80" s="101">
        <f t="shared" ref="H80:Q80" si="32">G80</f>
        <v>120.17</v>
      </c>
      <c r="I80" s="101">
        <f t="shared" si="32"/>
        <v>120.17</v>
      </c>
      <c r="J80" s="101">
        <f t="shared" si="32"/>
        <v>120.17</v>
      </c>
      <c r="K80" s="101">
        <f t="shared" si="32"/>
        <v>120.17</v>
      </c>
      <c r="L80" s="101">
        <f t="shared" si="32"/>
        <v>120.17</v>
      </c>
      <c r="M80" s="101">
        <f t="shared" si="32"/>
        <v>120.17</v>
      </c>
      <c r="N80" s="101">
        <f t="shared" si="32"/>
        <v>120.17</v>
      </c>
      <c r="O80" s="101">
        <f t="shared" si="32"/>
        <v>120.17</v>
      </c>
      <c r="P80" s="101">
        <f t="shared" si="32"/>
        <v>120.17</v>
      </c>
      <c r="Q80" s="101">
        <f t="shared" si="32"/>
        <v>120.17</v>
      </c>
      <c r="R80" s="102">
        <f>AVERAGE(F80:Q80)</f>
        <v>120.17000000000002</v>
      </c>
    </row>
    <row r="81" spans="2:18">
      <c r="C81" s="38" t="s">
        <v>261</v>
      </c>
      <c r="F81" s="101">
        <f>F80</f>
        <v>120.17</v>
      </c>
      <c r="G81" s="101">
        <f t="shared" ref="G81:Q81" si="33">G80</f>
        <v>120.17</v>
      </c>
      <c r="H81" s="101">
        <f t="shared" si="33"/>
        <v>120.17</v>
      </c>
      <c r="I81" s="101">
        <f t="shared" si="33"/>
        <v>120.17</v>
      </c>
      <c r="J81" s="101">
        <f t="shared" si="33"/>
        <v>120.17</v>
      </c>
      <c r="K81" s="101">
        <f t="shared" si="33"/>
        <v>120.17</v>
      </c>
      <c r="L81" s="101">
        <f t="shared" si="33"/>
        <v>120.17</v>
      </c>
      <c r="M81" s="101">
        <f t="shared" si="33"/>
        <v>120.17</v>
      </c>
      <c r="N81" s="101">
        <f t="shared" si="33"/>
        <v>120.17</v>
      </c>
      <c r="O81" s="101">
        <f t="shared" si="33"/>
        <v>120.17</v>
      </c>
      <c r="P81" s="101">
        <f t="shared" si="33"/>
        <v>120.17</v>
      </c>
      <c r="Q81" s="101">
        <f t="shared" si="33"/>
        <v>120.17</v>
      </c>
      <c r="R81" s="102">
        <f>AVERAGE(F81:Q81)</f>
        <v>120.17000000000002</v>
      </c>
    </row>
    <row r="82" spans="2:18">
      <c r="C82" s="60" t="s">
        <v>274</v>
      </c>
      <c r="F82" s="100">
        <v>68.39</v>
      </c>
      <c r="G82" s="101">
        <v>68.39</v>
      </c>
      <c r="H82" s="101">
        <v>68.39</v>
      </c>
      <c r="I82" s="101">
        <v>68.39</v>
      </c>
      <c r="J82" s="101">
        <v>68.39</v>
      </c>
      <c r="K82" s="101">
        <v>68.39</v>
      </c>
      <c r="L82" s="101">
        <v>68.39</v>
      </c>
      <c r="M82" s="101">
        <v>68.39</v>
      </c>
      <c r="N82" s="101">
        <v>68.39</v>
      </c>
      <c r="O82" s="101">
        <v>68.39</v>
      </c>
      <c r="P82" s="101">
        <v>68.39</v>
      </c>
      <c r="Q82" s="101">
        <v>68.39</v>
      </c>
      <c r="R82" s="102">
        <f>AVERAGE(F82:Q82)</f>
        <v>68.39</v>
      </c>
    </row>
    <row r="83" spans="2:18">
      <c r="C83" s="38" t="s">
        <v>275</v>
      </c>
      <c r="F83" s="103">
        <f>F82</f>
        <v>68.39</v>
      </c>
      <c r="G83" s="103">
        <f t="shared" ref="G83:Q83" si="34">G82</f>
        <v>68.39</v>
      </c>
      <c r="H83" s="103">
        <f t="shared" si="34"/>
        <v>68.39</v>
      </c>
      <c r="I83" s="103">
        <f t="shared" si="34"/>
        <v>68.39</v>
      </c>
      <c r="J83" s="103">
        <f t="shared" si="34"/>
        <v>68.39</v>
      </c>
      <c r="K83" s="103">
        <f t="shared" si="34"/>
        <v>68.39</v>
      </c>
      <c r="L83" s="103">
        <f t="shared" si="34"/>
        <v>68.39</v>
      </c>
      <c r="M83" s="103">
        <f t="shared" si="34"/>
        <v>68.39</v>
      </c>
      <c r="N83" s="103">
        <f t="shared" si="34"/>
        <v>68.39</v>
      </c>
      <c r="O83" s="103">
        <f t="shared" si="34"/>
        <v>68.39</v>
      </c>
      <c r="P83" s="103">
        <f t="shared" si="34"/>
        <v>68.39</v>
      </c>
      <c r="Q83" s="103">
        <f t="shared" si="34"/>
        <v>68.39</v>
      </c>
      <c r="R83" s="102">
        <f>AVERAGE(F83:Q83)</f>
        <v>68.39</v>
      </c>
    </row>
    <row r="84" spans="2:18">
      <c r="C84" s="38" t="s">
        <v>276</v>
      </c>
      <c r="F84" s="104">
        <v>51.81</v>
      </c>
      <c r="G84" s="103">
        <v>51.81</v>
      </c>
      <c r="H84" s="103">
        <v>51.81</v>
      </c>
      <c r="I84" s="103">
        <v>51.81</v>
      </c>
      <c r="J84" s="103">
        <v>51.81</v>
      </c>
      <c r="K84" s="103">
        <v>51.81</v>
      </c>
      <c r="L84" s="103">
        <v>51.81</v>
      </c>
      <c r="M84" s="103">
        <v>51.81</v>
      </c>
      <c r="N84" s="103">
        <v>51.81</v>
      </c>
      <c r="O84" s="103">
        <v>51.81</v>
      </c>
      <c r="P84" s="103">
        <v>51.81</v>
      </c>
      <c r="Q84" s="103">
        <v>51.81</v>
      </c>
      <c r="R84" s="102">
        <f>AVERAGE(F84:Q84)</f>
        <v>51.81</v>
      </c>
    </row>
    <row r="85" spans="2:18">
      <c r="B85" s="38" t="s">
        <v>265</v>
      </c>
      <c r="F85" s="50"/>
      <c r="G85" s="50"/>
      <c r="H85" s="50"/>
      <c r="I85" s="50"/>
      <c r="J85" s="50"/>
      <c r="K85" s="50"/>
      <c r="L85" s="50"/>
      <c r="M85" s="50"/>
      <c r="N85" s="50"/>
      <c r="O85" s="50"/>
      <c r="P85" s="50"/>
      <c r="Q85" s="50"/>
    </row>
    <row r="86" spans="2:18">
      <c r="G86" s="46"/>
      <c r="H86" s="46"/>
      <c r="I86" s="46"/>
      <c r="J86" s="46"/>
      <c r="K86" s="46"/>
      <c r="L86" s="46"/>
      <c r="M86" s="46"/>
      <c r="N86" s="46"/>
      <c r="O86" s="46"/>
      <c r="P86" s="46"/>
      <c r="Q86" s="46"/>
      <c r="R86" s="46"/>
    </row>
    <row r="87" spans="2:18">
      <c r="B87" s="38" t="s">
        <v>1</v>
      </c>
      <c r="G87" s="46"/>
      <c r="H87" s="46"/>
      <c r="I87" s="46"/>
      <c r="J87" s="46"/>
      <c r="K87" s="46"/>
      <c r="L87" s="46"/>
      <c r="M87" s="46"/>
      <c r="N87" s="46"/>
      <c r="O87" s="46"/>
      <c r="P87" s="46"/>
      <c r="Q87" s="46"/>
      <c r="R87" s="46"/>
    </row>
    <row r="88" spans="2:18">
      <c r="C88" s="38" t="s">
        <v>259</v>
      </c>
      <c r="G88" s="46"/>
      <c r="H88" s="46"/>
      <c r="I88" s="46"/>
      <c r="J88" s="46"/>
      <c r="K88" s="46"/>
      <c r="L88" s="46"/>
      <c r="M88" s="46"/>
      <c r="N88" s="46"/>
      <c r="O88" s="46"/>
      <c r="P88" s="46"/>
      <c r="Q88" s="46"/>
      <c r="R88" s="46"/>
    </row>
    <row r="89" spans="2:18">
      <c r="D89" s="38" t="s">
        <v>266</v>
      </c>
      <c r="F89" s="101">
        <f>F80</f>
        <v>120.17</v>
      </c>
      <c r="G89" s="101">
        <f t="shared" ref="G89:Q89" si="35">G80</f>
        <v>120.17</v>
      </c>
      <c r="H89" s="101">
        <f t="shared" si="35"/>
        <v>120.17</v>
      </c>
      <c r="I89" s="101">
        <f t="shared" si="35"/>
        <v>120.17</v>
      </c>
      <c r="J89" s="101">
        <f t="shared" si="35"/>
        <v>120.17</v>
      </c>
      <c r="K89" s="101">
        <f t="shared" si="35"/>
        <v>120.17</v>
      </c>
      <c r="L89" s="101">
        <f t="shared" si="35"/>
        <v>120.17</v>
      </c>
      <c r="M89" s="101">
        <f t="shared" si="35"/>
        <v>120.17</v>
      </c>
      <c r="N89" s="101">
        <f t="shared" si="35"/>
        <v>120.17</v>
      </c>
      <c r="O89" s="101">
        <f t="shared" si="35"/>
        <v>120.17</v>
      </c>
      <c r="P89" s="101">
        <f t="shared" si="35"/>
        <v>120.17</v>
      </c>
      <c r="Q89" s="101">
        <f t="shared" si="35"/>
        <v>120.17</v>
      </c>
      <c r="R89" s="105">
        <f>AVERAGE(F89:Q89)</f>
        <v>120.17000000000002</v>
      </c>
    </row>
    <row r="90" spans="2:18">
      <c r="D90" s="38" t="s">
        <v>267</v>
      </c>
      <c r="F90" s="101">
        <f>F80</f>
        <v>120.17</v>
      </c>
      <c r="G90" s="101">
        <f t="shared" ref="G90:Q90" si="36">G80</f>
        <v>120.17</v>
      </c>
      <c r="H90" s="101">
        <f t="shared" si="36"/>
        <v>120.17</v>
      </c>
      <c r="I90" s="101">
        <f t="shared" si="36"/>
        <v>120.17</v>
      </c>
      <c r="J90" s="101">
        <f t="shared" si="36"/>
        <v>120.17</v>
      </c>
      <c r="K90" s="101">
        <f t="shared" si="36"/>
        <v>120.17</v>
      </c>
      <c r="L90" s="101">
        <f t="shared" si="36"/>
        <v>120.17</v>
      </c>
      <c r="M90" s="101">
        <f t="shared" si="36"/>
        <v>120.17</v>
      </c>
      <c r="N90" s="101">
        <f t="shared" si="36"/>
        <v>120.17</v>
      </c>
      <c r="O90" s="101">
        <f t="shared" si="36"/>
        <v>120.17</v>
      </c>
      <c r="P90" s="101">
        <f t="shared" si="36"/>
        <v>120.17</v>
      </c>
      <c r="Q90" s="101">
        <f t="shared" si="36"/>
        <v>120.17</v>
      </c>
      <c r="R90" s="105">
        <f>AVERAGE(F90:Q90)</f>
        <v>120.17000000000002</v>
      </c>
    </row>
    <row r="91" spans="2:18">
      <c r="C91" s="38" t="s">
        <v>2</v>
      </c>
      <c r="F91" s="106"/>
      <c r="G91" s="106"/>
      <c r="H91" s="106"/>
      <c r="I91" s="106"/>
      <c r="J91" s="106"/>
      <c r="K91" s="106"/>
      <c r="L91" s="106"/>
      <c r="M91" s="106"/>
      <c r="N91" s="106"/>
      <c r="O91" s="106"/>
      <c r="P91" s="106"/>
      <c r="Q91" s="106"/>
      <c r="R91" s="106"/>
    </row>
    <row r="92" spans="2:18">
      <c r="C92" s="38" t="s">
        <v>262</v>
      </c>
      <c r="F92" s="107"/>
      <c r="G92" s="107"/>
      <c r="H92" s="107"/>
      <c r="I92" s="107"/>
      <c r="J92" s="107"/>
      <c r="K92" s="107"/>
      <c r="L92" s="107"/>
      <c r="M92" s="107"/>
      <c r="N92" s="107"/>
      <c r="O92" s="107"/>
      <c r="P92" s="107"/>
      <c r="Q92" s="107"/>
      <c r="R92" s="107"/>
    </row>
    <row r="93" spans="2:18">
      <c r="D93" s="38" t="s">
        <v>277</v>
      </c>
      <c r="F93" s="108">
        <f>F82</f>
        <v>68.39</v>
      </c>
      <c r="G93" s="108">
        <f t="shared" ref="G93:Q93" si="37">G82</f>
        <v>68.39</v>
      </c>
      <c r="H93" s="108">
        <f t="shared" si="37"/>
        <v>68.39</v>
      </c>
      <c r="I93" s="108">
        <f t="shared" si="37"/>
        <v>68.39</v>
      </c>
      <c r="J93" s="108">
        <f t="shared" si="37"/>
        <v>68.39</v>
      </c>
      <c r="K93" s="108">
        <f t="shared" si="37"/>
        <v>68.39</v>
      </c>
      <c r="L93" s="108">
        <f t="shared" si="37"/>
        <v>68.39</v>
      </c>
      <c r="M93" s="108">
        <f t="shared" si="37"/>
        <v>68.39</v>
      </c>
      <c r="N93" s="108">
        <f t="shared" si="37"/>
        <v>68.39</v>
      </c>
      <c r="O93" s="108">
        <f t="shared" si="37"/>
        <v>68.39</v>
      </c>
      <c r="P93" s="108">
        <f t="shared" si="37"/>
        <v>68.39</v>
      </c>
      <c r="Q93" s="108">
        <f t="shared" si="37"/>
        <v>68.39</v>
      </c>
      <c r="R93" s="105">
        <f>AVERAGE(F93:Q93)</f>
        <v>68.39</v>
      </c>
    </row>
    <row r="94" spans="2:18">
      <c r="D94" s="38" t="s">
        <v>267</v>
      </c>
      <c r="F94" s="108">
        <f>F82</f>
        <v>68.39</v>
      </c>
      <c r="G94" s="108">
        <f t="shared" ref="G94:Q94" si="38">G82</f>
        <v>68.39</v>
      </c>
      <c r="H94" s="108">
        <f t="shared" si="38"/>
        <v>68.39</v>
      </c>
      <c r="I94" s="108">
        <f t="shared" si="38"/>
        <v>68.39</v>
      </c>
      <c r="J94" s="108">
        <f t="shared" si="38"/>
        <v>68.39</v>
      </c>
      <c r="K94" s="108">
        <f t="shared" si="38"/>
        <v>68.39</v>
      </c>
      <c r="L94" s="108">
        <f t="shared" si="38"/>
        <v>68.39</v>
      </c>
      <c r="M94" s="108">
        <f t="shared" si="38"/>
        <v>68.39</v>
      </c>
      <c r="N94" s="108">
        <f t="shared" si="38"/>
        <v>68.39</v>
      </c>
      <c r="O94" s="108">
        <f t="shared" si="38"/>
        <v>68.39</v>
      </c>
      <c r="P94" s="108">
        <f t="shared" si="38"/>
        <v>68.39</v>
      </c>
      <c r="Q94" s="108">
        <f t="shared" si="38"/>
        <v>68.39</v>
      </c>
      <c r="R94" s="105">
        <f>AVERAGE(F94:Q94)</f>
        <v>68.39</v>
      </c>
    </row>
    <row r="95" spans="2:18">
      <c r="C95" s="38" t="s">
        <v>3</v>
      </c>
      <c r="F95" s="106"/>
      <c r="G95" s="106"/>
      <c r="H95" s="106"/>
      <c r="I95" s="106"/>
      <c r="J95" s="106"/>
      <c r="K95" s="106"/>
      <c r="L95" s="106"/>
      <c r="M95" s="106"/>
      <c r="N95" s="106"/>
      <c r="O95" s="106"/>
      <c r="P95" s="106"/>
      <c r="Q95" s="106"/>
      <c r="R95" s="106"/>
    </row>
    <row r="96" spans="2:18">
      <c r="C96" s="38" t="s">
        <v>268</v>
      </c>
      <c r="E96" s="109"/>
      <c r="F96" s="107"/>
      <c r="G96" s="107"/>
      <c r="H96" s="107"/>
      <c r="I96" s="107"/>
      <c r="J96" s="107"/>
      <c r="K96" s="107"/>
      <c r="L96" s="107"/>
      <c r="M96" s="107"/>
      <c r="N96" s="107"/>
      <c r="O96" s="107"/>
      <c r="P96" s="107"/>
      <c r="Q96" s="107"/>
      <c r="R96" s="107"/>
    </row>
    <row r="97" spans="1:18">
      <c r="D97" s="38" t="s">
        <v>266</v>
      </c>
      <c r="F97" s="110">
        <v>36.770000000000003</v>
      </c>
      <c r="G97" s="110">
        <v>36.770000000000003</v>
      </c>
      <c r="H97" s="110">
        <v>36.770000000000003</v>
      </c>
      <c r="I97" s="110">
        <v>36.770000000000003</v>
      </c>
      <c r="J97" s="110">
        <v>36.770000000000003</v>
      </c>
      <c r="K97" s="110">
        <v>36.770000000000003</v>
      </c>
      <c r="L97" s="110">
        <v>39.54</v>
      </c>
      <c r="M97" s="110">
        <v>39.54</v>
      </c>
      <c r="N97" s="110">
        <v>39.54</v>
      </c>
      <c r="O97" s="110">
        <v>39.54</v>
      </c>
      <c r="P97" s="110">
        <v>39.54</v>
      </c>
      <c r="Q97" s="110">
        <v>39.54</v>
      </c>
      <c r="R97" s="111">
        <f>+'[1]Yardwaste Analysis'!O18</f>
        <v>38.09158730867</v>
      </c>
    </row>
    <row r="98" spans="1:18">
      <c r="D98" s="38" t="s">
        <v>267</v>
      </c>
      <c r="F98" s="110">
        <v>52.379084318527255</v>
      </c>
      <c r="G98" s="110">
        <v>52.428546181364489</v>
      </c>
      <c r="H98" s="110">
        <v>45.284609311105051</v>
      </c>
      <c r="I98" s="110">
        <v>37.176303348307613</v>
      </c>
      <c r="J98" s="110">
        <v>38.945500112867649</v>
      </c>
      <c r="K98" s="110">
        <v>38.684988029026158</v>
      </c>
      <c r="L98" s="110">
        <v>48.337397122861169</v>
      </c>
      <c r="M98" s="110">
        <v>42.304023534916624</v>
      </c>
      <c r="N98" s="110">
        <v>40.519115787459967</v>
      </c>
      <c r="O98" s="110">
        <v>35.64614771023232</v>
      </c>
      <c r="P98" s="110">
        <v>36.402823130059062</v>
      </c>
      <c r="Q98" s="110">
        <v>38.281218469717814</v>
      </c>
      <c r="R98" s="111">
        <f>'[1]Yardwaste Analysis'!O23</f>
        <v>43.731908716894083</v>
      </c>
    </row>
    <row r="99" spans="1:18">
      <c r="C99" s="38" t="s">
        <v>4</v>
      </c>
      <c r="F99" s="106"/>
      <c r="G99" s="106"/>
      <c r="H99" s="106"/>
      <c r="I99" s="106"/>
      <c r="J99" s="106"/>
      <c r="K99" s="106"/>
      <c r="L99" s="106"/>
      <c r="M99" s="106"/>
      <c r="N99" s="106"/>
      <c r="O99" s="106"/>
      <c r="P99" s="106"/>
      <c r="Q99" s="106"/>
      <c r="R99" s="106"/>
    </row>
    <row r="100" spans="1:18">
      <c r="B100" s="38" t="s">
        <v>269</v>
      </c>
      <c r="F100" s="106"/>
      <c r="G100" s="106"/>
      <c r="H100" s="106"/>
      <c r="I100" s="106"/>
      <c r="J100" s="106"/>
      <c r="K100" s="106"/>
      <c r="L100" s="106"/>
      <c r="M100" s="106"/>
      <c r="N100" s="106"/>
      <c r="O100" s="106"/>
      <c r="P100" s="106"/>
      <c r="Q100" s="106"/>
      <c r="R100" s="106"/>
    </row>
    <row r="101" spans="1:18">
      <c r="F101" s="107"/>
      <c r="G101" s="107"/>
      <c r="H101" s="107"/>
      <c r="I101" s="107"/>
      <c r="J101" s="107"/>
      <c r="K101" s="107"/>
      <c r="L101" s="107"/>
      <c r="M101" s="107"/>
      <c r="N101" s="107"/>
      <c r="O101" s="107"/>
      <c r="P101" s="107"/>
      <c r="Q101" s="107"/>
      <c r="R101" s="107"/>
    </row>
    <row r="102" spans="1:18">
      <c r="B102" s="38" t="s">
        <v>257</v>
      </c>
      <c r="F102" s="107"/>
      <c r="G102" s="107"/>
      <c r="H102" s="107"/>
      <c r="I102" s="107"/>
      <c r="J102" s="107"/>
      <c r="K102" s="107"/>
      <c r="L102" s="107"/>
      <c r="M102" s="107"/>
      <c r="N102" s="107"/>
      <c r="O102" s="107"/>
      <c r="P102" s="107"/>
      <c r="Q102" s="107"/>
      <c r="R102" s="107"/>
    </row>
    <row r="103" spans="1:18">
      <c r="C103" s="38" t="s">
        <v>260</v>
      </c>
      <c r="F103" s="101">
        <f>F80</f>
        <v>120.17</v>
      </c>
      <c r="G103" s="101">
        <f t="shared" ref="G103:Q103" si="39">G80</f>
        <v>120.17</v>
      </c>
      <c r="H103" s="101">
        <f t="shared" si="39"/>
        <v>120.17</v>
      </c>
      <c r="I103" s="101">
        <f t="shared" si="39"/>
        <v>120.17</v>
      </c>
      <c r="J103" s="101">
        <f t="shared" si="39"/>
        <v>120.17</v>
      </c>
      <c r="K103" s="101">
        <f t="shared" si="39"/>
        <v>120.17</v>
      </c>
      <c r="L103" s="101">
        <f t="shared" si="39"/>
        <v>120.17</v>
      </c>
      <c r="M103" s="101">
        <f t="shared" si="39"/>
        <v>120.17</v>
      </c>
      <c r="N103" s="101">
        <f t="shared" si="39"/>
        <v>120.17</v>
      </c>
      <c r="O103" s="101">
        <f t="shared" si="39"/>
        <v>120.17</v>
      </c>
      <c r="P103" s="101">
        <f t="shared" si="39"/>
        <v>120.17</v>
      </c>
      <c r="Q103" s="101">
        <f t="shared" si="39"/>
        <v>120.17</v>
      </c>
      <c r="R103" s="105">
        <f>AVERAGE(F103:Q103)</f>
        <v>120.17000000000002</v>
      </c>
    </row>
    <row r="104" spans="1:18">
      <c r="C104" s="38" t="s">
        <v>261</v>
      </c>
      <c r="F104" s="108">
        <v>85.078488941231726</v>
      </c>
      <c r="G104" s="108">
        <v>83.981186639716498</v>
      </c>
      <c r="H104" s="108">
        <v>88.470539879773114</v>
      </c>
      <c r="I104" s="108">
        <v>81.142031519601787</v>
      </c>
      <c r="J104" s="108">
        <v>82.871109901518352</v>
      </c>
      <c r="K104" s="108">
        <v>67.485742080752146</v>
      </c>
      <c r="L104" s="108">
        <v>76.689628157729587</v>
      </c>
      <c r="M104" s="108">
        <v>81.76922076341198</v>
      </c>
      <c r="N104" s="108">
        <v>79.252229603243677</v>
      </c>
      <c r="O104" s="108">
        <v>85.200455508643131</v>
      </c>
      <c r="P104" s="108">
        <v>78.118841906150934</v>
      </c>
      <c r="Q104" s="108">
        <v>82.097528817503346</v>
      </c>
      <c r="R104" s="105">
        <f>AVERAGE(F104:Q104)</f>
        <v>81.013083643273021</v>
      </c>
    </row>
    <row r="105" spans="1:18">
      <c r="B105" s="38" t="s">
        <v>270</v>
      </c>
      <c r="F105" s="50"/>
      <c r="G105" s="50"/>
      <c r="H105" s="50"/>
      <c r="I105" s="50"/>
      <c r="J105" s="50"/>
      <c r="K105" s="50"/>
      <c r="L105" s="50"/>
      <c r="M105" s="50"/>
      <c r="N105" s="50"/>
      <c r="O105" s="50"/>
      <c r="P105" s="50"/>
      <c r="Q105" s="50"/>
      <c r="R105" s="50"/>
    </row>
    <row r="106" spans="1:18">
      <c r="F106" s="95"/>
      <c r="G106" s="95"/>
      <c r="H106" s="95"/>
      <c r="I106" s="95"/>
      <c r="J106" s="95"/>
      <c r="K106" s="95"/>
      <c r="L106" s="95"/>
      <c r="M106" s="95"/>
      <c r="N106" s="95"/>
      <c r="O106" s="95"/>
      <c r="P106" s="95"/>
      <c r="Q106" s="95"/>
    </row>
    <row r="108" spans="1:18">
      <c r="F108" s="112"/>
      <c r="G108" s="112"/>
      <c r="H108" s="112"/>
      <c r="I108" s="112"/>
      <c r="J108" s="112"/>
      <c r="K108" s="112"/>
      <c r="L108" s="112"/>
      <c r="M108" s="112"/>
      <c r="N108" s="112"/>
      <c r="O108" s="112"/>
      <c r="P108" s="112"/>
      <c r="Q108" s="112"/>
      <c r="R108" s="112"/>
    </row>
    <row r="109" spans="1:18" ht="18.75">
      <c r="A109" s="44" t="s">
        <v>6</v>
      </c>
      <c r="F109" s="113"/>
      <c r="G109" s="114"/>
      <c r="H109" s="114"/>
      <c r="I109" s="114"/>
      <c r="J109" s="114"/>
      <c r="K109" s="114"/>
      <c r="L109" s="114"/>
      <c r="M109" s="114"/>
      <c r="N109" s="114"/>
      <c r="O109" s="114"/>
      <c r="P109" s="114"/>
      <c r="Q109" s="114"/>
    </row>
    <row r="110" spans="1:18" s="37" customFormat="1">
      <c r="A110" s="37" t="s">
        <v>254</v>
      </c>
      <c r="F110" s="115">
        <f>'[1]Income Statement'!N43+'[1]Income Statement'!N44+'[1]Income Statement'!N45</f>
        <v>1660865</v>
      </c>
      <c r="G110" s="115">
        <f>'[1]Income Statement'!M43+'[1]Income Statement'!M44+'[1]Income Statement'!M45</f>
        <v>1509369</v>
      </c>
      <c r="H110" s="115">
        <f>'[1]Income Statement'!L43+'[1]Income Statement'!L44+'[1]Income Statement'!L45</f>
        <v>1573219</v>
      </c>
      <c r="I110" s="115">
        <f>'[1]Income Statement'!K43+'[1]Income Statement'!K44+'[1]Income Statement'!K45</f>
        <v>1455731</v>
      </c>
      <c r="J110" s="115">
        <f>'[1]Income Statement'!J43+'[1]Income Statement'!J44+'[1]Income Statement'!J45</f>
        <v>1432520</v>
      </c>
      <c r="K110" s="115">
        <f>'[1]Income Statement'!I43+'[1]Income Statement'!I44+'[1]Income Statement'!I45</f>
        <v>1534205</v>
      </c>
      <c r="L110" s="115">
        <f>'[1]Income Statement'!H43+'[1]Income Statement'!H44+'[1]Income Statement'!H45</f>
        <v>1594864</v>
      </c>
      <c r="M110" s="115">
        <f>'[1]Income Statement'!G43+'[1]Income Statement'!G44+'[1]Income Statement'!G45</f>
        <v>1432228</v>
      </c>
      <c r="N110" s="115">
        <f>'[1]Income Statement'!F43+'[1]Income Statement'!F44+'[1]Income Statement'!F45</f>
        <v>1448345</v>
      </c>
      <c r="O110" s="115">
        <f>'[1]Income Statement'!E43+'[1]Income Statement'!E44+'[1]Income Statement'!E45</f>
        <v>1193278</v>
      </c>
      <c r="P110" s="115">
        <f>'[1]Income Statement'!D43+'[1]Income Statement'!D44+'[1]Income Statement'!D45</f>
        <v>1370723</v>
      </c>
      <c r="Q110" s="115">
        <f>'[1]Income Statement'!C43+'[1]Income Statement'!C44+'[1]Income Statement'!C45</f>
        <v>1499382</v>
      </c>
      <c r="R110" s="116">
        <f>SUM(F110:Q110)</f>
        <v>17704729</v>
      </c>
    </row>
    <row r="111" spans="1:18">
      <c r="F111" s="46"/>
      <c r="G111" s="46"/>
      <c r="H111" s="46"/>
      <c r="I111" s="46"/>
      <c r="J111" s="46"/>
      <c r="K111" s="46"/>
      <c r="L111" s="46"/>
      <c r="M111" s="46"/>
      <c r="N111" s="46"/>
      <c r="O111" s="46"/>
      <c r="P111" s="46"/>
      <c r="Q111" s="46"/>
      <c r="R111" s="46"/>
    </row>
    <row r="112" spans="1:18">
      <c r="A112" s="37" t="s">
        <v>278</v>
      </c>
      <c r="F112" s="46"/>
      <c r="G112" s="46"/>
      <c r="H112" s="46"/>
      <c r="I112" s="46"/>
      <c r="J112" s="46"/>
      <c r="K112" s="46"/>
      <c r="L112" s="46"/>
      <c r="M112" s="46"/>
      <c r="N112" s="46"/>
      <c r="O112" s="46"/>
      <c r="P112" s="46"/>
      <c r="Q112" s="46"/>
      <c r="R112" s="46"/>
    </row>
    <row r="113" spans="1:21">
      <c r="B113" s="38" t="s">
        <v>0</v>
      </c>
      <c r="F113" s="46">
        <f>F125</f>
        <v>476762.11720216827</v>
      </c>
      <c r="G113" s="46">
        <f t="shared" ref="G113:R113" si="40">G125</f>
        <v>446004.18058487069</v>
      </c>
      <c r="H113" s="46">
        <f t="shared" si="40"/>
        <v>484643.22227083141</v>
      </c>
      <c r="I113" s="46">
        <f t="shared" si="40"/>
        <v>462367.61661041173</v>
      </c>
      <c r="J113" s="46">
        <f t="shared" si="40"/>
        <v>455792.45959478064</v>
      </c>
      <c r="K113" s="46">
        <f t="shared" si="40"/>
        <v>477261.01237835211</v>
      </c>
      <c r="L113" s="46">
        <f t="shared" si="40"/>
        <v>455116.11215299566</v>
      </c>
      <c r="M113" s="46">
        <f t="shared" si="40"/>
        <v>445648.61213138205</v>
      </c>
      <c r="N113" s="46">
        <f t="shared" si="40"/>
        <v>458731.20600419783</v>
      </c>
      <c r="O113" s="46">
        <f t="shared" si="40"/>
        <v>404446.9594253418</v>
      </c>
      <c r="P113" s="46">
        <f t="shared" si="40"/>
        <v>461989.31056820753</v>
      </c>
      <c r="Q113" s="46">
        <f t="shared" si="40"/>
        <v>463374.04315185075</v>
      </c>
      <c r="R113" s="46">
        <f t="shared" si="40"/>
        <v>5492136.8520753896</v>
      </c>
      <c r="S113" s="46"/>
      <c r="T113" s="63"/>
      <c r="U113" s="95"/>
    </row>
    <row r="114" spans="1:21">
      <c r="B114" s="38" t="s">
        <v>1</v>
      </c>
      <c r="F114" s="46">
        <f>F143</f>
        <v>824056.32741947542</v>
      </c>
      <c r="G114" s="46">
        <f t="shared" ref="G114:R114" si="41">G143</f>
        <v>721904.08791851602</v>
      </c>
      <c r="H114" s="46">
        <f t="shared" si="41"/>
        <v>739825.65617204574</v>
      </c>
      <c r="I114" s="46">
        <f t="shared" si="41"/>
        <v>635606.91170576005</v>
      </c>
      <c r="J114" s="46">
        <f t="shared" si="41"/>
        <v>642167.53437726363</v>
      </c>
      <c r="K114" s="46">
        <f t="shared" si="41"/>
        <v>671827.57931330346</v>
      </c>
      <c r="L114" s="46">
        <f t="shared" si="41"/>
        <v>784828.8023915519</v>
      </c>
      <c r="M114" s="46">
        <f t="shared" si="41"/>
        <v>640656.89245124138</v>
      </c>
      <c r="N114" s="46">
        <f t="shared" si="41"/>
        <v>652714.29705919162</v>
      </c>
      <c r="O114" s="46">
        <f t="shared" si="41"/>
        <v>487513.98503049999</v>
      </c>
      <c r="P114" s="46">
        <f t="shared" si="41"/>
        <v>586576.84413806093</v>
      </c>
      <c r="Q114" s="46">
        <f t="shared" si="41"/>
        <v>675757.72374905576</v>
      </c>
      <c r="R114" s="46">
        <f t="shared" si="41"/>
        <v>8063436.6417259658</v>
      </c>
      <c r="S114" s="46"/>
      <c r="T114" s="63"/>
      <c r="U114" s="95"/>
    </row>
    <row r="115" spans="1:21">
      <c r="B115" s="38" t="s">
        <v>257</v>
      </c>
      <c r="F115" s="46">
        <f>F148</f>
        <v>353392.10000000003</v>
      </c>
      <c r="G115" s="46">
        <f t="shared" ref="G115:R115" si="42">G148</f>
        <v>329985.01999999996</v>
      </c>
      <c r="H115" s="46">
        <f t="shared" si="42"/>
        <v>384933.39999999997</v>
      </c>
      <c r="I115" s="46">
        <f t="shared" si="42"/>
        <v>359009.21</v>
      </c>
      <c r="J115" s="46">
        <f t="shared" si="42"/>
        <v>336467.28</v>
      </c>
      <c r="K115" s="46">
        <f t="shared" si="42"/>
        <v>379773.99000000005</v>
      </c>
      <c r="L115" s="46">
        <f t="shared" si="42"/>
        <v>340781.24</v>
      </c>
      <c r="M115" s="46">
        <f t="shared" si="42"/>
        <v>339064</v>
      </c>
      <c r="N115" s="46">
        <f t="shared" si="42"/>
        <v>335662.92000000004</v>
      </c>
      <c r="O115" s="46">
        <f t="shared" si="42"/>
        <v>304298.5</v>
      </c>
      <c r="P115" s="46">
        <f t="shared" si="42"/>
        <v>318892.78999999998</v>
      </c>
      <c r="Q115" s="46">
        <f t="shared" si="42"/>
        <v>356445.99</v>
      </c>
      <c r="R115" s="46">
        <f t="shared" si="42"/>
        <v>4138706.44</v>
      </c>
      <c r="S115" s="46"/>
      <c r="T115" s="63"/>
      <c r="U115" s="95"/>
    </row>
    <row r="116" spans="1:21" s="37" customFormat="1">
      <c r="A116" s="37" t="s">
        <v>7</v>
      </c>
      <c r="F116" s="98">
        <f t="shared" ref="F116:R116" si="43">SUM(F113:F115)</f>
        <v>1654210.5446216438</v>
      </c>
      <c r="G116" s="98">
        <f t="shared" si="43"/>
        <v>1497893.2885033868</v>
      </c>
      <c r="H116" s="98">
        <f t="shared" si="43"/>
        <v>1609402.2784428771</v>
      </c>
      <c r="I116" s="98">
        <f t="shared" si="43"/>
        <v>1456983.7383161718</v>
      </c>
      <c r="J116" s="98">
        <f t="shared" si="43"/>
        <v>1434427.2739720442</v>
      </c>
      <c r="K116" s="98">
        <f t="shared" si="43"/>
        <v>1528862.5816916556</v>
      </c>
      <c r="L116" s="98">
        <f t="shared" si="43"/>
        <v>1580726.1545445474</v>
      </c>
      <c r="M116" s="98">
        <f t="shared" si="43"/>
        <v>1425369.5045826235</v>
      </c>
      <c r="N116" s="98">
        <f t="shared" si="43"/>
        <v>1447108.4230633895</v>
      </c>
      <c r="O116" s="98">
        <f t="shared" si="43"/>
        <v>1196259.4444558418</v>
      </c>
      <c r="P116" s="98">
        <f t="shared" si="43"/>
        <v>1367458.9447062684</v>
      </c>
      <c r="Q116" s="98">
        <f t="shared" si="43"/>
        <v>1495577.7569009066</v>
      </c>
      <c r="R116" s="98">
        <f t="shared" si="43"/>
        <v>17694279.933801357</v>
      </c>
      <c r="S116" s="117"/>
      <c r="T116" s="118"/>
    </row>
    <row r="117" spans="1:21" s="51" customFormat="1" ht="12">
      <c r="A117" s="51" t="s">
        <v>258</v>
      </c>
      <c r="F117" s="119">
        <f>F116-F110</f>
        <v>-6654.4553783561569</v>
      </c>
      <c r="G117" s="119">
        <f t="shared" ref="G117:Q117" si="44">G116-G110</f>
        <v>-11475.711496613221</v>
      </c>
      <c r="H117" s="119">
        <f t="shared" si="44"/>
        <v>36183.278442877112</v>
      </c>
      <c r="I117" s="119">
        <f t="shared" si="44"/>
        <v>1252.7383161718026</v>
      </c>
      <c r="J117" s="119">
        <f t="shared" si="44"/>
        <v>1907.2739720442332</v>
      </c>
      <c r="K117" s="119">
        <f t="shared" si="44"/>
        <v>-5342.4183083444368</v>
      </c>
      <c r="L117" s="119">
        <f t="shared" si="44"/>
        <v>-14137.845455452567</v>
      </c>
      <c r="M117" s="119">
        <f t="shared" si="44"/>
        <v>-6858.4954173765145</v>
      </c>
      <c r="N117" s="119">
        <f t="shared" si="44"/>
        <v>-1236.5769366105087</v>
      </c>
      <c r="O117" s="119">
        <f t="shared" si="44"/>
        <v>2981.444455841789</v>
      </c>
      <c r="P117" s="119">
        <f t="shared" si="44"/>
        <v>-3264.0552937316243</v>
      </c>
      <c r="Q117" s="119">
        <f t="shared" si="44"/>
        <v>-3804.2430990934372</v>
      </c>
      <c r="R117" s="119">
        <f>R116-R110</f>
        <v>-10449.066198643297</v>
      </c>
      <c r="S117" s="57"/>
    </row>
    <row r="118" spans="1:21">
      <c r="F118" s="57">
        <f t="shared" ref="F118:Q118" si="45">+F117/F110</f>
        <v>-4.0066202721811568E-3</v>
      </c>
      <c r="G118" s="57">
        <f t="shared" si="45"/>
        <v>-7.6029860800196783E-3</v>
      </c>
      <c r="H118" s="57">
        <f t="shared" si="45"/>
        <v>2.2999517831196491E-2</v>
      </c>
      <c r="I118" s="57">
        <f t="shared" si="45"/>
        <v>8.6055618529233947E-4</v>
      </c>
      <c r="J118" s="57">
        <f t="shared" si="45"/>
        <v>1.3314117583309365E-3</v>
      </c>
      <c r="K118" s="57">
        <f t="shared" si="45"/>
        <v>-3.4822062946897169E-3</v>
      </c>
      <c r="L118" s="57">
        <f t="shared" si="45"/>
        <v>-8.8646088039184331E-3</v>
      </c>
      <c r="M118" s="57">
        <f t="shared" si="45"/>
        <v>-4.7886896621044377E-3</v>
      </c>
      <c r="N118" s="57">
        <f t="shared" si="45"/>
        <v>-8.5378617429584017E-4</v>
      </c>
      <c r="O118" s="57">
        <f t="shared" si="45"/>
        <v>2.4985329955314597E-3</v>
      </c>
      <c r="P118" s="57">
        <f t="shared" si="45"/>
        <v>-2.3812654297999118E-3</v>
      </c>
      <c r="Q118" s="57">
        <f t="shared" si="45"/>
        <v>-2.5372073955092413E-3</v>
      </c>
      <c r="R118" s="57">
        <f>+R117/R110</f>
        <v>-5.9018504031568613E-4</v>
      </c>
    </row>
    <row r="119" spans="1:21">
      <c r="E119" s="37"/>
      <c r="F119" s="37"/>
      <c r="G119" s="116"/>
      <c r="H119" s="116"/>
      <c r="I119" s="116"/>
      <c r="J119" s="116"/>
      <c r="K119" s="116"/>
      <c r="L119" s="116"/>
      <c r="M119" s="116"/>
      <c r="N119" s="116"/>
      <c r="O119" s="116"/>
      <c r="P119" s="116"/>
      <c r="Q119" s="116"/>
      <c r="R119" s="46"/>
    </row>
    <row r="120" spans="1:21">
      <c r="B120" s="37" t="s">
        <v>0</v>
      </c>
      <c r="F120" s="59"/>
      <c r="G120" s="59"/>
      <c r="H120" s="59"/>
      <c r="I120" s="59"/>
      <c r="J120" s="59"/>
      <c r="K120" s="59"/>
      <c r="L120" s="59"/>
      <c r="M120" s="59"/>
      <c r="N120" s="59"/>
      <c r="O120" s="59"/>
      <c r="P120" s="59"/>
      <c r="Q120" s="59"/>
      <c r="R120" s="59"/>
    </row>
    <row r="121" spans="1:21">
      <c r="C121" s="38" t="s">
        <v>260</v>
      </c>
      <c r="F121" s="65">
        <f>+F23*F80</f>
        <v>28081.819858085615</v>
      </c>
      <c r="G121" s="65">
        <f t="shared" ref="G121:Q121" si="46">+G23*G80</f>
        <v>26311.173660618413</v>
      </c>
      <c r="H121" s="65">
        <f t="shared" si="46"/>
        <v>29337.183851284233</v>
      </c>
      <c r="I121" s="65">
        <f t="shared" si="46"/>
        <v>29391.079080033796</v>
      </c>
      <c r="J121" s="65">
        <f t="shared" si="46"/>
        <v>27974.346672261199</v>
      </c>
      <c r="K121" s="65">
        <f t="shared" si="46"/>
        <v>29618.573248931243</v>
      </c>
      <c r="L121" s="65">
        <f t="shared" si="46"/>
        <v>28157.489553148982</v>
      </c>
      <c r="M121" s="65">
        <f t="shared" si="46"/>
        <v>26685.754227095982</v>
      </c>
      <c r="N121" s="65">
        <f t="shared" si="46"/>
        <v>26881.792846209144</v>
      </c>
      <c r="O121" s="65">
        <f t="shared" si="46"/>
        <v>23459.624020180832</v>
      </c>
      <c r="P121" s="65">
        <f t="shared" si="46"/>
        <v>27120.547694999284</v>
      </c>
      <c r="Q121" s="65">
        <f t="shared" si="46"/>
        <v>27639.584565967278</v>
      </c>
      <c r="R121" s="65">
        <f>SUM(F121:Q121)</f>
        <v>330658.96927881596</v>
      </c>
    </row>
    <row r="122" spans="1:21">
      <c r="C122" s="38" t="s">
        <v>261</v>
      </c>
      <c r="F122" s="65">
        <f t="shared" ref="F122:Q122" si="47">+F24*F81</f>
        <v>384172.11223068391</v>
      </c>
      <c r="G122" s="65">
        <f t="shared" si="47"/>
        <v>357893.24384971667</v>
      </c>
      <c r="H122" s="65">
        <f t="shared" si="47"/>
        <v>391975.25237198803</v>
      </c>
      <c r="I122" s="65">
        <f t="shared" si="47"/>
        <v>371161.38112659048</v>
      </c>
      <c r="J122" s="65">
        <f t="shared" si="47"/>
        <v>364916.72059582308</v>
      </c>
      <c r="K122" s="65">
        <f t="shared" si="47"/>
        <v>383524.79253963137</v>
      </c>
      <c r="L122" s="65">
        <f t="shared" si="47"/>
        <v>366417.14213159209</v>
      </c>
      <c r="M122" s="65">
        <f t="shared" si="47"/>
        <v>356136.49957028514</v>
      </c>
      <c r="N122" s="65">
        <f t="shared" si="47"/>
        <v>367751.65405694139</v>
      </c>
      <c r="O122" s="65">
        <f t="shared" si="47"/>
        <v>325191.25415084756</v>
      </c>
      <c r="P122" s="65">
        <f t="shared" si="47"/>
        <v>372190.95131431863</v>
      </c>
      <c r="Q122" s="65">
        <f t="shared" si="47"/>
        <v>373496.61791680614</v>
      </c>
      <c r="R122" s="65">
        <f>SUM(F122:Q122)</f>
        <v>4414827.6218552236</v>
      </c>
    </row>
    <row r="123" spans="1:21">
      <c r="C123" s="38" t="s">
        <v>279</v>
      </c>
      <c r="F123" s="65">
        <f t="shared" ref="F123:Q123" si="48">+F27*F82</f>
        <v>2635.6236949378617</v>
      </c>
      <c r="G123" s="65">
        <f t="shared" si="48"/>
        <v>2549.1514759443166</v>
      </c>
      <c r="H123" s="65">
        <f t="shared" si="48"/>
        <v>2602.8727817525196</v>
      </c>
      <c r="I123" s="65">
        <f t="shared" si="48"/>
        <v>2591.458277542471</v>
      </c>
      <c r="J123" s="65">
        <f t="shared" si="48"/>
        <v>2791.238508659148</v>
      </c>
      <c r="K123" s="65">
        <f t="shared" si="48"/>
        <v>2428.723384162487</v>
      </c>
      <c r="L123" s="65">
        <f t="shared" si="48"/>
        <v>2415.875197947893</v>
      </c>
      <c r="M123" s="65">
        <f t="shared" si="48"/>
        <v>2720.1854195649521</v>
      </c>
      <c r="N123" s="65">
        <f t="shared" si="48"/>
        <v>2843.3738820007425</v>
      </c>
      <c r="O123" s="65">
        <f t="shared" si="48"/>
        <v>2234.4051586129058</v>
      </c>
      <c r="P123" s="65">
        <f t="shared" si="48"/>
        <v>2629.6048033477641</v>
      </c>
      <c r="Q123" s="65">
        <f t="shared" si="48"/>
        <v>2196.4198599480183</v>
      </c>
      <c r="R123" s="65">
        <f>SUM(F123:Q123)</f>
        <v>30638.932444421076</v>
      </c>
    </row>
    <row r="124" spans="1:21">
      <c r="C124" s="60" t="s">
        <v>280</v>
      </c>
      <c r="F124" s="65">
        <f>+F28*F84</f>
        <v>61872.561418460937</v>
      </c>
      <c r="G124" s="65">
        <f t="shared" ref="G124:Q124" si="49">+G28*G84</f>
        <v>59250.611598591277</v>
      </c>
      <c r="H124" s="65">
        <f t="shared" si="49"/>
        <v>60727.913265806681</v>
      </c>
      <c r="I124" s="65">
        <f t="shared" si="49"/>
        <v>59223.698126244919</v>
      </c>
      <c r="J124" s="65">
        <f t="shared" si="49"/>
        <v>60110.153818037259</v>
      </c>
      <c r="K124" s="65">
        <f t="shared" si="49"/>
        <v>61688.923205626998</v>
      </c>
      <c r="L124" s="65">
        <f t="shared" si="49"/>
        <v>58125.605270306711</v>
      </c>
      <c r="M124" s="65">
        <f t="shared" si="49"/>
        <v>60106.172914435985</v>
      </c>
      <c r="N124" s="65">
        <f t="shared" si="49"/>
        <v>61254.385219046584</v>
      </c>
      <c r="O124" s="65">
        <f t="shared" si="49"/>
        <v>53561.676095700524</v>
      </c>
      <c r="P124" s="65">
        <f t="shared" si="49"/>
        <v>60048.206755541833</v>
      </c>
      <c r="Q124" s="65">
        <f t="shared" si="49"/>
        <v>60041.420809129289</v>
      </c>
      <c r="R124" s="65">
        <f>SUM(F124:Q124)</f>
        <v>716011.32849692891</v>
      </c>
    </row>
    <row r="125" spans="1:21">
      <c r="B125" s="37" t="s">
        <v>265</v>
      </c>
      <c r="C125" s="37"/>
      <c r="D125" s="37"/>
      <c r="E125" s="37"/>
      <c r="F125" s="98">
        <f t="shared" ref="F125:R125" si="50">SUM(F121:F124)</f>
        <v>476762.11720216827</v>
      </c>
      <c r="G125" s="98">
        <f t="shared" si="50"/>
        <v>446004.18058487069</v>
      </c>
      <c r="H125" s="98">
        <f t="shared" si="50"/>
        <v>484643.22227083141</v>
      </c>
      <c r="I125" s="98">
        <f t="shared" si="50"/>
        <v>462367.61661041173</v>
      </c>
      <c r="J125" s="98">
        <f t="shared" si="50"/>
        <v>455792.45959478064</v>
      </c>
      <c r="K125" s="98">
        <f t="shared" si="50"/>
        <v>477261.01237835211</v>
      </c>
      <c r="L125" s="98">
        <f t="shared" si="50"/>
        <v>455116.11215299566</v>
      </c>
      <c r="M125" s="98">
        <f t="shared" si="50"/>
        <v>445648.61213138205</v>
      </c>
      <c r="N125" s="98">
        <f t="shared" si="50"/>
        <v>458731.20600419783</v>
      </c>
      <c r="O125" s="98">
        <f t="shared" si="50"/>
        <v>404446.9594253418</v>
      </c>
      <c r="P125" s="98">
        <f t="shared" si="50"/>
        <v>461989.31056820753</v>
      </c>
      <c r="Q125" s="98">
        <f t="shared" si="50"/>
        <v>463374.04315185075</v>
      </c>
      <c r="R125" s="98">
        <f t="shared" si="50"/>
        <v>5492136.8520753896</v>
      </c>
      <c r="T125" s="95"/>
    </row>
    <row r="126" spans="1:21">
      <c r="G126" s="46"/>
      <c r="H126" s="46"/>
      <c r="I126" s="46"/>
      <c r="J126" s="46"/>
      <c r="K126" s="46"/>
      <c r="L126" s="46"/>
      <c r="M126" s="46"/>
      <c r="N126" s="46"/>
      <c r="O126" s="46"/>
      <c r="P126" s="46"/>
      <c r="Q126" s="46"/>
      <c r="R126" s="46"/>
    </row>
    <row r="127" spans="1:21">
      <c r="B127" s="37" t="s">
        <v>1</v>
      </c>
      <c r="G127" s="46"/>
      <c r="H127" s="46"/>
      <c r="I127" s="46"/>
      <c r="J127" s="46"/>
      <c r="K127" s="46"/>
      <c r="L127" s="46"/>
      <c r="M127" s="46"/>
      <c r="N127" s="46"/>
      <c r="O127" s="46"/>
      <c r="P127" s="46"/>
      <c r="Q127" s="46"/>
      <c r="R127" s="46"/>
    </row>
    <row r="128" spans="1:21">
      <c r="C128" s="38" t="s">
        <v>259</v>
      </c>
      <c r="G128" s="46"/>
      <c r="H128" s="46"/>
      <c r="I128" s="46"/>
      <c r="J128" s="46"/>
      <c r="K128" s="46"/>
      <c r="L128" s="46"/>
      <c r="M128" s="46"/>
      <c r="N128" s="46"/>
      <c r="O128" s="46"/>
      <c r="P128" s="46"/>
      <c r="Q128" s="46"/>
      <c r="R128" s="46"/>
    </row>
    <row r="129" spans="2:20">
      <c r="D129" s="38" t="s">
        <v>266</v>
      </c>
      <c r="F129" s="65">
        <f>+F34*F89</f>
        <v>72078.203902808673</v>
      </c>
      <c r="G129" s="65">
        <f t="shared" ref="G129:Q130" si="51">+G34*G89</f>
        <v>63710.622744691471</v>
      </c>
      <c r="H129" s="65">
        <f t="shared" si="51"/>
        <v>69997.133844371914</v>
      </c>
      <c r="I129" s="65">
        <f t="shared" si="51"/>
        <v>71243.130821524013</v>
      </c>
      <c r="J129" s="65">
        <f t="shared" si="51"/>
        <v>66397.192219879958</v>
      </c>
      <c r="K129" s="65">
        <f t="shared" si="51"/>
        <v>69540.433714290877</v>
      </c>
      <c r="L129" s="65">
        <f t="shared" si="51"/>
        <v>63468.211614756678</v>
      </c>
      <c r="M129" s="65">
        <f t="shared" si="51"/>
        <v>65946.939808067298</v>
      </c>
      <c r="N129" s="65">
        <f t="shared" si="51"/>
        <v>72071.281993798504</v>
      </c>
      <c r="O129" s="65">
        <f t="shared" si="51"/>
        <v>55200.993615121952</v>
      </c>
      <c r="P129" s="65">
        <f t="shared" si="51"/>
        <v>60670.812737917746</v>
      </c>
      <c r="Q129" s="65">
        <f t="shared" si="51"/>
        <v>63146.337892364354</v>
      </c>
      <c r="R129" s="65">
        <f>SUM(F129:Q129)</f>
        <v>793471.29490959342</v>
      </c>
    </row>
    <row r="130" spans="2:20">
      <c r="D130" s="38" t="s">
        <v>267</v>
      </c>
      <c r="F130" s="74">
        <f>+F35*F90</f>
        <v>315096.31886938866</v>
      </c>
      <c r="G130" s="74">
        <f t="shared" si="51"/>
        <v>288160.4272598066</v>
      </c>
      <c r="H130" s="74">
        <f t="shared" si="51"/>
        <v>331076.31344793923</v>
      </c>
      <c r="I130" s="74">
        <f t="shared" si="51"/>
        <v>306485.7820096045</v>
      </c>
      <c r="J130" s="74">
        <f t="shared" si="51"/>
        <v>301448.25121521973</v>
      </c>
      <c r="K130" s="74">
        <f t="shared" si="51"/>
        <v>298888.2889389288</v>
      </c>
      <c r="L130" s="74">
        <f t="shared" si="51"/>
        <v>286687.04253257788</v>
      </c>
      <c r="M130" s="74">
        <f t="shared" si="51"/>
        <v>302777.54785783228</v>
      </c>
      <c r="N130" s="74">
        <f t="shared" si="51"/>
        <v>309553.81025039044</v>
      </c>
      <c r="O130" s="74">
        <f t="shared" si="51"/>
        <v>246373.1676815208</v>
      </c>
      <c r="P130" s="74">
        <f t="shared" si="51"/>
        <v>272877.68736747978</v>
      </c>
      <c r="Q130" s="74">
        <f t="shared" si="51"/>
        <v>291364.82303226035</v>
      </c>
      <c r="R130" s="74">
        <f>SUM(F130:Q130)</f>
        <v>3550789.4604629488</v>
      </c>
    </row>
    <row r="131" spans="2:20" s="37" customFormat="1">
      <c r="C131" s="37" t="s">
        <v>2</v>
      </c>
      <c r="F131" s="98">
        <f t="shared" ref="F131:R131" si="52">SUM(F129:F130)</f>
        <v>387174.52277219732</v>
      </c>
      <c r="G131" s="98">
        <f t="shared" si="52"/>
        <v>351871.0500044981</v>
      </c>
      <c r="H131" s="98">
        <f t="shared" si="52"/>
        <v>401073.44729231112</v>
      </c>
      <c r="I131" s="98">
        <f t="shared" si="52"/>
        <v>377728.91283112852</v>
      </c>
      <c r="J131" s="98">
        <f t="shared" si="52"/>
        <v>367845.44343509967</v>
      </c>
      <c r="K131" s="98">
        <f t="shared" si="52"/>
        <v>368428.72265321971</v>
      </c>
      <c r="L131" s="98">
        <f t="shared" si="52"/>
        <v>350155.25414733455</v>
      </c>
      <c r="M131" s="98">
        <f t="shared" si="52"/>
        <v>368724.48766589956</v>
      </c>
      <c r="N131" s="98">
        <f t="shared" si="52"/>
        <v>381625.09224418894</v>
      </c>
      <c r="O131" s="98">
        <f t="shared" si="52"/>
        <v>301574.16129664273</v>
      </c>
      <c r="P131" s="98">
        <f t="shared" si="52"/>
        <v>333548.50010539754</v>
      </c>
      <c r="Q131" s="98">
        <f t="shared" si="52"/>
        <v>354511.16092462471</v>
      </c>
      <c r="R131" s="98">
        <f t="shared" si="52"/>
        <v>4344260.755372542</v>
      </c>
    </row>
    <row r="132" spans="2:20" ht="7.5" customHeight="1">
      <c r="C132" s="37"/>
      <c r="D132" s="37"/>
      <c r="E132" s="37"/>
      <c r="F132" s="99"/>
      <c r="G132" s="99"/>
      <c r="H132" s="99"/>
      <c r="I132" s="99"/>
      <c r="J132" s="99"/>
      <c r="K132" s="99"/>
      <c r="L132" s="99"/>
      <c r="M132" s="99"/>
      <c r="N132" s="99"/>
      <c r="O132" s="99"/>
      <c r="P132" s="99"/>
      <c r="Q132" s="99"/>
      <c r="R132" s="99"/>
    </row>
    <row r="133" spans="2:20">
      <c r="C133" s="38" t="s">
        <v>262</v>
      </c>
      <c r="F133" s="46"/>
      <c r="G133" s="46"/>
      <c r="H133" s="46"/>
      <c r="I133" s="46"/>
      <c r="J133" s="46"/>
      <c r="K133" s="46"/>
      <c r="L133" s="46"/>
      <c r="M133" s="46"/>
      <c r="N133" s="46"/>
      <c r="O133" s="46"/>
      <c r="P133" s="46"/>
      <c r="Q133" s="46"/>
      <c r="R133" s="46"/>
    </row>
    <row r="134" spans="2:20">
      <c r="D134" s="38" t="s">
        <v>281</v>
      </c>
      <c r="F134" s="74">
        <f t="shared" ref="F134:Q135" si="53">+F38*F93</f>
        <v>25103.721947014601</v>
      </c>
      <c r="G134" s="74">
        <f t="shared" si="53"/>
        <v>22438.367342689606</v>
      </c>
      <c r="H134" s="74">
        <f t="shared" si="53"/>
        <v>22537.559241357274</v>
      </c>
      <c r="I134" s="74">
        <f t="shared" si="53"/>
        <v>24119.916715273626</v>
      </c>
      <c r="J134" s="74">
        <f t="shared" si="53"/>
        <v>23277.581219195847</v>
      </c>
      <c r="K134" s="74">
        <f t="shared" si="53"/>
        <v>25796.752912792883</v>
      </c>
      <c r="L134" s="74">
        <f t="shared" si="53"/>
        <v>22233.475266477719</v>
      </c>
      <c r="M134" s="74">
        <f t="shared" si="53"/>
        <v>24919.780390152377</v>
      </c>
      <c r="N134" s="74">
        <f t="shared" si="53"/>
        <v>28583.191109326268</v>
      </c>
      <c r="O134" s="74">
        <f t="shared" si="53"/>
        <v>21003.384810041545</v>
      </c>
      <c r="P134" s="74">
        <f t="shared" si="53"/>
        <v>22681.536177981907</v>
      </c>
      <c r="Q134" s="74">
        <f t="shared" si="53"/>
        <v>24661.98082685328</v>
      </c>
      <c r="R134" s="74">
        <f>SUM(F134:Q134)</f>
        <v>287357.24795915699</v>
      </c>
    </row>
    <row r="135" spans="2:20">
      <c r="D135" s="38" t="s">
        <v>267</v>
      </c>
      <c r="F135" s="74">
        <f t="shared" si="53"/>
        <v>132067.96270026357</v>
      </c>
      <c r="G135" s="74">
        <f t="shared" si="53"/>
        <v>119468.11057132827</v>
      </c>
      <c r="H135" s="74">
        <f t="shared" si="53"/>
        <v>134288.02963837725</v>
      </c>
      <c r="I135" s="74">
        <f t="shared" si="53"/>
        <v>123784.18215935776</v>
      </c>
      <c r="J135" s="74">
        <f t="shared" si="53"/>
        <v>124486.88972296812</v>
      </c>
      <c r="K135" s="74">
        <f t="shared" si="53"/>
        <v>127848.98374729088</v>
      </c>
      <c r="L135" s="74">
        <f t="shared" si="53"/>
        <v>123722.65297773956</v>
      </c>
      <c r="M135" s="74">
        <f t="shared" si="53"/>
        <v>144601.52439518942</v>
      </c>
      <c r="N135" s="74">
        <f t="shared" si="53"/>
        <v>140702.52370567649</v>
      </c>
      <c r="O135" s="74">
        <f t="shared" si="53"/>
        <v>107735.63892381563</v>
      </c>
      <c r="P135" s="74">
        <f t="shared" si="53"/>
        <v>117317.60785468154</v>
      </c>
      <c r="Q135" s="74">
        <f t="shared" si="53"/>
        <v>124387.17199757774</v>
      </c>
      <c r="R135" s="74">
        <f>SUM(F135:Q135)</f>
        <v>1520411.2783942663</v>
      </c>
    </row>
    <row r="136" spans="2:20" s="37" customFormat="1">
      <c r="C136" s="37" t="s">
        <v>3</v>
      </c>
      <c r="F136" s="98">
        <f t="shared" ref="F136:R136" si="54">SUM(F134:F135)</f>
        <v>157171.68464727816</v>
      </c>
      <c r="G136" s="98">
        <f t="shared" si="54"/>
        <v>141906.47791401789</v>
      </c>
      <c r="H136" s="98">
        <f t="shared" si="54"/>
        <v>156825.58887973451</v>
      </c>
      <c r="I136" s="98">
        <f t="shared" si="54"/>
        <v>147904.0988746314</v>
      </c>
      <c r="J136" s="98">
        <f t="shared" si="54"/>
        <v>147764.47094216396</v>
      </c>
      <c r="K136" s="98">
        <f t="shared" si="54"/>
        <v>153645.73666008376</v>
      </c>
      <c r="L136" s="98">
        <f t="shared" si="54"/>
        <v>145956.12824421728</v>
      </c>
      <c r="M136" s="98">
        <f t="shared" si="54"/>
        <v>169521.30478534181</v>
      </c>
      <c r="N136" s="98">
        <f t="shared" si="54"/>
        <v>169285.71481500275</v>
      </c>
      <c r="O136" s="98">
        <f t="shared" si="54"/>
        <v>128739.02373385718</v>
      </c>
      <c r="P136" s="98">
        <f t="shared" si="54"/>
        <v>139999.14403266343</v>
      </c>
      <c r="Q136" s="98">
        <f t="shared" si="54"/>
        <v>149049.15282443102</v>
      </c>
      <c r="R136" s="98">
        <f t="shared" si="54"/>
        <v>1807768.5263534233</v>
      </c>
    </row>
    <row r="137" spans="2:20" ht="7.5" customHeight="1">
      <c r="C137" s="37"/>
      <c r="D137" s="37"/>
      <c r="E137" s="37"/>
      <c r="F137" s="99"/>
      <c r="G137" s="99"/>
      <c r="H137" s="99"/>
      <c r="I137" s="99"/>
      <c r="J137" s="99"/>
      <c r="K137" s="99"/>
      <c r="L137" s="99"/>
      <c r="M137" s="99"/>
      <c r="N137" s="99"/>
      <c r="O137" s="99"/>
      <c r="P137" s="99"/>
      <c r="Q137" s="99"/>
      <c r="R137" s="99"/>
    </row>
    <row r="138" spans="2:20">
      <c r="C138" s="38" t="s">
        <v>268</v>
      </c>
      <c r="E138" s="109"/>
      <c r="F138" s="46"/>
      <c r="G138" s="46"/>
      <c r="H138" s="46"/>
      <c r="I138" s="46"/>
      <c r="J138" s="46"/>
      <c r="K138" s="46"/>
      <c r="L138" s="46"/>
      <c r="M138" s="46"/>
      <c r="N138" s="46"/>
      <c r="O138" s="46"/>
      <c r="P138" s="46"/>
      <c r="Q138" s="46"/>
      <c r="R138" s="46"/>
    </row>
    <row r="139" spans="2:20">
      <c r="D139" s="38" t="s">
        <v>266</v>
      </c>
      <c r="F139" s="65">
        <f>+F42*F97</f>
        <v>31600.873400000004</v>
      </c>
      <c r="G139" s="65">
        <f t="shared" ref="G139:P139" si="55">+G42*G97</f>
        <v>22216.066300000002</v>
      </c>
      <c r="H139" s="65">
        <f t="shared" si="55"/>
        <v>21907.565999999999</v>
      </c>
      <c r="I139" s="65">
        <f t="shared" si="55"/>
        <v>18362.938000000002</v>
      </c>
      <c r="J139" s="65">
        <f t="shared" si="55"/>
        <v>19590.688300000002</v>
      </c>
      <c r="K139" s="65">
        <f t="shared" si="55"/>
        <v>24206.794099999999</v>
      </c>
      <c r="L139" s="65">
        <f t="shared" si="55"/>
        <v>38625.044399999992</v>
      </c>
      <c r="M139" s="65">
        <f t="shared" si="55"/>
        <v>17425.277999999998</v>
      </c>
      <c r="N139" s="65">
        <f t="shared" si="55"/>
        <v>17082.070800000001</v>
      </c>
      <c r="O139" s="65">
        <f t="shared" si="55"/>
        <v>11797.945200000002</v>
      </c>
      <c r="P139" s="65">
        <f t="shared" si="55"/>
        <v>21016.696199999998</v>
      </c>
      <c r="Q139" s="65">
        <f>+Q42*Q97</f>
        <v>29342.238599999997</v>
      </c>
      <c r="R139" s="65">
        <f>SUM(F139:Q139)</f>
        <v>273174.19929999998</v>
      </c>
      <c r="S139" s="59"/>
    </row>
    <row r="140" spans="2:20">
      <c r="D140" s="38" t="s">
        <v>267</v>
      </c>
      <c r="F140" s="65">
        <f t="shared" ref="F140:Q140" si="56">+F43*F98</f>
        <v>248109.24659999987</v>
      </c>
      <c r="G140" s="65">
        <f t="shared" si="56"/>
        <v>205910.49370000011</v>
      </c>
      <c r="H140" s="65">
        <f t="shared" si="56"/>
        <v>160019.05400000006</v>
      </c>
      <c r="I140" s="65">
        <f t="shared" si="56"/>
        <v>91610.962000000087</v>
      </c>
      <c r="J140" s="65">
        <f t="shared" si="56"/>
        <v>106966.93170000003</v>
      </c>
      <c r="K140" s="65">
        <f t="shared" si="56"/>
        <v>125546.32589999998</v>
      </c>
      <c r="L140" s="65">
        <f t="shared" si="56"/>
        <v>250092.37560000003</v>
      </c>
      <c r="M140" s="65">
        <f t="shared" si="56"/>
        <v>84985.822000000015</v>
      </c>
      <c r="N140" s="65">
        <f t="shared" si="56"/>
        <v>84721.419200000018</v>
      </c>
      <c r="O140" s="65">
        <f t="shared" si="56"/>
        <v>45402.854800000023</v>
      </c>
      <c r="P140" s="65">
        <f t="shared" si="56"/>
        <v>92012.503799999919</v>
      </c>
      <c r="Q140" s="65">
        <f t="shared" si="56"/>
        <v>142855.17140000011</v>
      </c>
      <c r="R140" s="65">
        <f>SUM(F140:Q140)</f>
        <v>1638233.1607000001</v>
      </c>
      <c r="S140" s="59"/>
    </row>
    <row r="141" spans="2:20" s="37" customFormat="1">
      <c r="C141" s="37" t="s">
        <v>4</v>
      </c>
      <c r="F141" s="98">
        <f t="shared" ref="F141:R141" si="57">SUM(F139:F140)</f>
        <v>279710.11999999988</v>
      </c>
      <c r="G141" s="98">
        <f t="shared" si="57"/>
        <v>228126.56000000011</v>
      </c>
      <c r="H141" s="98">
        <f t="shared" si="57"/>
        <v>181926.62000000005</v>
      </c>
      <c r="I141" s="98">
        <f t="shared" si="57"/>
        <v>109973.90000000008</v>
      </c>
      <c r="J141" s="98">
        <f t="shared" si="57"/>
        <v>126557.62000000002</v>
      </c>
      <c r="K141" s="98">
        <f t="shared" si="57"/>
        <v>149753.12</v>
      </c>
      <c r="L141" s="98">
        <f t="shared" si="57"/>
        <v>288717.42000000004</v>
      </c>
      <c r="M141" s="98">
        <f t="shared" si="57"/>
        <v>102411.1</v>
      </c>
      <c r="N141" s="98">
        <f t="shared" si="57"/>
        <v>101803.49000000002</v>
      </c>
      <c r="O141" s="98">
        <f t="shared" si="57"/>
        <v>57200.800000000025</v>
      </c>
      <c r="P141" s="98">
        <f t="shared" si="57"/>
        <v>113029.19999999992</v>
      </c>
      <c r="Q141" s="98">
        <f t="shared" si="57"/>
        <v>172197.41000000009</v>
      </c>
      <c r="R141" s="98">
        <f t="shared" si="57"/>
        <v>1911407.36</v>
      </c>
    </row>
    <row r="142" spans="2:20" ht="7.5" customHeight="1">
      <c r="C142" s="37"/>
      <c r="D142" s="37"/>
      <c r="E142" s="37"/>
      <c r="F142" s="99"/>
      <c r="G142" s="99"/>
      <c r="H142" s="99"/>
      <c r="I142" s="99"/>
      <c r="J142" s="99"/>
      <c r="K142" s="99"/>
      <c r="L142" s="99"/>
      <c r="M142" s="99"/>
      <c r="N142" s="99"/>
      <c r="O142" s="99"/>
      <c r="P142" s="99"/>
      <c r="Q142" s="99"/>
      <c r="R142" s="99"/>
    </row>
    <row r="143" spans="2:20" s="37" customFormat="1">
      <c r="B143" s="37" t="s">
        <v>269</v>
      </c>
      <c r="F143" s="98">
        <f t="shared" ref="F143:P143" si="58">F131+F136+F141</f>
        <v>824056.32741947542</v>
      </c>
      <c r="G143" s="98">
        <f t="shared" si="58"/>
        <v>721904.08791851602</v>
      </c>
      <c r="H143" s="98">
        <f t="shared" si="58"/>
        <v>739825.65617204574</v>
      </c>
      <c r="I143" s="98">
        <f t="shared" si="58"/>
        <v>635606.91170576005</v>
      </c>
      <c r="J143" s="98">
        <f t="shared" si="58"/>
        <v>642167.53437726363</v>
      </c>
      <c r="K143" s="98">
        <f t="shared" si="58"/>
        <v>671827.57931330346</v>
      </c>
      <c r="L143" s="98">
        <f t="shared" si="58"/>
        <v>784828.8023915519</v>
      </c>
      <c r="M143" s="98">
        <f t="shared" si="58"/>
        <v>640656.89245124138</v>
      </c>
      <c r="N143" s="98">
        <f t="shared" si="58"/>
        <v>652714.29705919162</v>
      </c>
      <c r="O143" s="98">
        <f>O131+O136+O141</f>
        <v>487513.98503049999</v>
      </c>
      <c r="P143" s="98">
        <f t="shared" si="58"/>
        <v>586576.84413806093</v>
      </c>
      <c r="Q143" s="98">
        <f>Q131+Q136+Q141</f>
        <v>675757.72374905576</v>
      </c>
      <c r="R143" s="98">
        <f>R131+R136+R141</f>
        <v>8063436.6417259658</v>
      </c>
      <c r="S143" s="117"/>
      <c r="T143" s="118"/>
    </row>
    <row r="144" spans="2:20">
      <c r="G144" s="46"/>
      <c r="H144" s="46"/>
      <c r="I144" s="46"/>
      <c r="J144" s="46"/>
      <c r="K144" s="46"/>
      <c r="L144" s="46"/>
      <c r="M144" s="46"/>
      <c r="N144" s="46"/>
      <c r="O144" s="46"/>
      <c r="P144" s="46"/>
      <c r="Q144" s="46"/>
      <c r="R144" s="46"/>
    </row>
    <row r="145" spans="2:20">
      <c r="B145" s="37" t="s">
        <v>257</v>
      </c>
      <c r="G145" s="46"/>
      <c r="H145" s="46"/>
      <c r="I145" s="46"/>
      <c r="J145" s="46"/>
      <c r="K145" s="46"/>
      <c r="L145" s="46"/>
      <c r="M145" s="46"/>
      <c r="N145" s="46"/>
      <c r="O145" s="46"/>
      <c r="P145" s="46"/>
      <c r="Q145" s="46"/>
      <c r="R145" s="46"/>
    </row>
    <row r="146" spans="2:20">
      <c r="C146" s="38" t="s">
        <v>260</v>
      </c>
      <c r="F146" s="74">
        <f t="shared" ref="F146:Q147" si="59">+F48*F103</f>
        <v>13320.068611768054</v>
      </c>
      <c r="G146" s="74">
        <f t="shared" si="59"/>
        <v>13740.858488224809</v>
      </c>
      <c r="H146" s="74">
        <f t="shared" si="59"/>
        <v>12066.56398165612</v>
      </c>
      <c r="I146" s="74">
        <f t="shared" si="59"/>
        <v>14854.199022289262</v>
      </c>
      <c r="J146" s="74">
        <f t="shared" si="59"/>
        <v>12849.832087504628</v>
      </c>
      <c r="K146" s="74">
        <f t="shared" si="59"/>
        <v>10539.685328478747</v>
      </c>
      <c r="L146" s="74">
        <f t="shared" si="59"/>
        <v>12853.215196762227</v>
      </c>
      <c r="M146" s="74">
        <f t="shared" si="59"/>
        <v>14994.112517650994</v>
      </c>
      <c r="N146" s="74">
        <f t="shared" si="59"/>
        <v>12655.976794535623</v>
      </c>
      <c r="O146" s="74">
        <f t="shared" si="59"/>
        <v>11582.419119333677</v>
      </c>
      <c r="P146" s="74">
        <f t="shared" si="59"/>
        <v>10748.936901078398</v>
      </c>
      <c r="Q146" s="74">
        <f t="shared" si="59"/>
        <v>10297.338802817489</v>
      </c>
      <c r="R146" s="74">
        <f>SUM(F146:Q146)</f>
        <v>150503.20685210003</v>
      </c>
    </row>
    <row r="147" spans="2:20">
      <c r="C147" s="38" t="s">
        <v>261</v>
      </c>
      <c r="F147" s="74">
        <f>+F49*F104</f>
        <v>340072.03138823196</v>
      </c>
      <c r="G147" s="74">
        <f t="shared" si="59"/>
        <v>316244.16151177516</v>
      </c>
      <c r="H147" s="74">
        <f t="shared" si="59"/>
        <v>372866.83601834386</v>
      </c>
      <c r="I147" s="74">
        <f t="shared" si="59"/>
        <v>344155.01097771077</v>
      </c>
      <c r="J147" s="74">
        <f t="shared" si="59"/>
        <v>323617.44791249541</v>
      </c>
      <c r="K147" s="74">
        <f t="shared" si="59"/>
        <v>369234.3046715213</v>
      </c>
      <c r="L147" s="74">
        <f t="shared" si="59"/>
        <v>327928.02480323776</v>
      </c>
      <c r="M147" s="74">
        <f t="shared" si="59"/>
        <v>324069.887482349</v>
      </c>
      <c r="N147" s="74">
        <f t="shared" si="59"/>
        <v>323006.9432054644</v>
      </c>
      <c r="O147" s="74">
        <f t="shared" si="59"/>
        <v>292716.08088066633</v>
      </c>
      <c r="P147" s="74">
        <f t="shared" si="59"/>
        <v>308143.85309892159</v>
      </c>
      <c r="Q147" s="74">
        <f t="shared" si="59"/>
        <v>346148.65119718248</v>
      </c>
      <c r="R147" s="74">
        <f>SUM(F147:Q147)</f>
        <v>3988203.2331479001</v>
      </c>
    </row>
    <row r="148" spans="2:20" s="37" customFormat="1">
      <c r="B148" s="37" t="s">
        <v>270</v>
      </c>
      <c r="F148" s="98">
        <f t="shared" ref="F148:R148" si="60">SUM(F146:F147)</f>
        <v>353392.10000000003</v>
      </c>
      <c r="G148" s="98">
        <f t="shared" si="60"/>
        <v>329985.01999999996</v>
      </c>
      <c r="H148" s="98">
        <f t="shared" si="60"/>
        <v>384933.39999999997</v>
      </c>
      <c r="I148" s="98">
        <f t="shared" si="60"/>
        <v>359009.21</v>
      </c>
      <c r="J148" s="98">
        <f t="shared" si="60"/>
        <v>336467.28</v>
      </c>
      <c r="K148" s="98">
        <f t="shared" si="60"/>
        <v>379773.99000000005</v>
      </c>
      <c r="L148" s="98">
        <f t="shared" si="60"/>
        <v>340781.24</v>
      </c>
      <c r="M148" s="98">
        <f t="shared" si="60"/>
        <v>339064</v>
      </c>
      <c r="N148" s="98">
        <f t="shared" si="60"/>
        <v>335662.92000000004</v>
      </c>
      <c r="O148" s="98">
        <f t="shared" si="60"/>
        <v>304298.5</v>
      </c>
      <c r="P148" s="98">
        <f t="shared" si="60"/>
        <v>318892.78999999998</v>
      </c>
      <c r="Q148" s="98">
        <f t="shared" si="60"/>
        <v>356445.99</v>
      </c>
      <c r="R148" s="98">
        <f t="shared" si="60"/>
        <v>4138706.44</v>
      </c>
      <c r="S148" s="117"/>
      <c r="T148" s="118"/>
    </row>
    <row r="151" spans="2:20">
      <c r="B151" s="37" t="s">
        <v>272</v>
      </c>
    </row>
    <row r="152" spans="2:20">
      <c r="C152" s="37" t="s">
        <v>0</v>
      </c>
      <c r="F152" s="46"/>
      <c r="G152" s="46"/>
      <c r="H152" s="46"/>
      <c r="I152" s="46"/>
      <c r="J152" s="46"/>
      <c r="K152" s="46"/>
      <c r="L152" s="46"/>
      <c r="M152" s="46"/>
      <c r="N152" s="46"/>
      <c r="O152" s="46"/>
      <c r="P152" s="46"/>
      <c r="Q152" s="46"/>
      <c r="R152" s="46"/>
    </row>
    <row r="153" spans="2:20">
      <c r="D153" s="38" t="s">
        <v>259</v>
      </c>
      <c r="F153" s="46">
        <f t="shared" ref="F153:R153" si="61">F121</f>
        <v>28081.819858085615</v>
      </c>
      <c r="G153" s="46">
        <f t="shared" si="61"/>
        <v>26311.173660618413</v>
      </c>
      <c r="H153" s="46">
        <f t="shared" si="61"/>
        <v>29337.183851284233</v>
      </c>
      <c r="I153" s="46">
        <f t="shared" si="61"/>
        <v>29391.079080033796</v>
      </c>
      <c r="J153" s="46">
        <f t="shared" si="61"/>
        <v>27974.346672261199</v>
      </c>
      <c r="K153" s="46">
        <f t="shared" si="61"/>
        <v>29618.573248931243</v>
      </c>
      <c r="L153" s="46">
        <f t="shared" si="61"/>
        <v>28157.489553148982</v>
      </c>
      <c r="M153" s="46">
        <f t="shared" si="61"/>
        <v>26685.754227095982</v>
      </c>
      <c r="N153" s="46">
        <f t="shared" si="61"/>
        <v>26881.792846209144</v>
      </c>
      <c r="O153" s="46">
        <f t="shared" si="61"/>
        <v>23459.624020180832</v>
      </c>
      <c r="P153" s="46">
        <f t="shared" si="61"/>
        <v>27120.547694999284</v>
      </c>
      <c r="Q153" s="46">
        <f t="shared" si="61"/>
        <v>27639.584565967278</v>
      </c>
      <c r="R153" s="74">
        <f t="shared" si="61"/>
        <v>330658.96927881596</v>
      </c>
      <c r="S153" s="120"/>
    </row>
    <row r="154" spans="2:20">
      <c r="D154" s="38" t="s">
        <v>273</v>
      </c>
      <c r="F154" s="46">
        <f t="shared" ref="F154:R154" si="62">F123</f>
        <v>2635.6236949378617</v>
      </c>
      <c r="G154" s="46">
        <f t="shared" si="62"/>
        <v>2549.1514759443166</v>
      </c>
      <c r="H154" s="46">
        <f t="shared" si="62"/>
        <v>2602.8727817525196</v>
      </c>
      <c r="I154" s="46">
        <f t="shared" si="62"/>
        <v>2591.458277542471</v>
      </c>
      <c r="J154" s="46">
        <f t="shared" si="62"/>
        <v>2791.238508659148</v>
      </c>
      <c r="K154" s="46">
        <f t="shared" si="62"/>
        <v>2428.723384162487</v>
      </c>
      <c r="L154" s="46">
        <f t="shared" si="62"/>
        <v>2415.875197947893</v>
      </c>
      <c r="M154" s="46">
        <f t="shared" si="62"/>
        <v>2720.1854195649521</v>
      </c>
      <c r="N154" s="46">
        <f t="shared" si="62"/>
        <v>2843.3738820007425</v>
      </c>
      <c r="O154" s="46">
        <f t="shared" si="62"/>
        <v>2234.4051586129058</v>
      </c>
      <c r="P154" s="46">
        <f t="shared" si="62"/>
        <v>2629.6048033477641</v>
      </c>
      <c r="Q154" s="46">
        <f t="shared" si="62"/>
        <v>2196.4198599480183</v>
      </c>
      <c r="R154" s="74">
        <f t="shared" si="62"/>
        <v>30638.932444421076</v>
      </c>
      <c r="S154" s="70"/>
    </row>
    <row r="155" spans="2:20" s="37" customFormat="1">
      <c r="C155" s="37" t="s">
        <v>265</v>
      </c>
      <c r="F155" s="98">
        <f t="shared" ref="F155:R155" si="63">SUM(F153:F154)</f>
        <v>30717.443553023477</v>
      </c>
      <c r="G155" s="98">
        <f t="shared" si="63"/>
        <v>28860.325136562729</v>
      </c>
      <c r="H155" s="98">
        <f t="shared" si="63"/>
        <v>31940.056633036751</v>
      </c>
      <c r="I155" s="98">
        <f t="shared" si="63"/>
        <v>31982.537357576268</v>
      </c>
      <c r="J155" s="98">
        <f t="shared" si="63"/>
        <v>30765.585180920349</v>
      </c>
      <c r="K155" s="98">
        <f t="shared" si="63"/>
        <v>32047.296633093731</v>
      </c>
      <c r="L155" s="98">
        <f t="shared" si="63"/>
        <v>30573.364751096873</v>
      </c>
      <c r="M155" s="98">
        <f t="shared" si="63"/>
        <v>29405.939646660932</v>
      </c>
      <c r="N155" s="98">
        <f t="shared" si="63"/>
        <v>29725.166728209886</v>
      </c>
      <c r="O155" s="98">
        <f t="shared" si="63"/>
        <v>25694.029178793739</v>
      </c>
      <c r="P155" s="98">
        <f t="shared" si="63"/>
        <v>29750.152498347048</v>
      </c>
      <c r="Q155" s="98">
        <f t="shared" si="63"/>
        <v>29836.004425915296</v>
      </c>
      <c r="R155" s="98">
        <f t="shared" si="63"/>
        <v>361297.90172323701</v>
      </c>
    </row>
    <row r="156" spans="2:20" ht="7.5" customHeight="1">
      <c r="C156" s="37"/>
      <c r="D156" s="37"/>
      <c r="E156" s="37"/>
      <c r="F156" s="99"/>
      <c r="G156" s="99"/>
      <c r="H156" s="99"/>
      <c r="I156" s="99"/>
      <c r="J156" s="99"/>
      <c r="K156" s="99"/>
      <c r="L156" s="99"/>
      <c r="M156" s="99"/>
      <c r="N156" s="99"/>
      <c r="O156" s="99"/>
      <c r="P156" s="99"/>
      <c r="Q156" s="99"/>
      <c r="R156" s="99"/>
    </row>
    <row r="157" spans="2:20">
      <c r="C157" s="37" t="s">
        <v>1</v>
      </c>
      <c r="F157" s="46"/>
      <c r="G157" s="46"/>
      <c r="H157" s="46"/>
      <c r="I157" s="46"/>
      <c r="J157" s="46"/>
      <c r="K157" s="46"/>
      <c r="L157" s="46"/>
      <c r="M157" s="46"/>
      <c r="N157" s="46"/>
      <c r="O157" s="46"/>
      <c r="P157" s="46"/>
      <c r="Q157" s="46"/>
      <c r="R157" s="46"/>
    </row>
    <row r="158" spans="2:20">
      <c r="D158" s="38" t="s">
        <v>259</v>
      </c>
      <c r="F158" s="46">
        <f t="shared" ref="F158:R158" si="64">F129</f>
        <v>72078.203902808673</v>
      </c>
      <c r="G158" s="46">
        <f t="shared" si="64"/>
        <v>63710.622744691471</v>
      </c>
      <c r="H158" s="46">
        <f t="shared" si="64"/>
        <v>69997.133844371914</v>
      </c>
      <c r="I158" s="46">
        <f t="shared" si="64"/>
        <v>71243.130821524013</v>
      </c>
      <c r="J158" s="46">
        <f t="shared" si="64"/>
        <v>66397.192219879958</v>
      </c>
      <c r="K158" s="46">
        <f t="shared" si="64"/>
        <v>69540.433714290877</v>
      </c>
      <c r="L158" s="46">
        <f t="shared" si="64"/>
        <v>63468.211614756678</v>
      </c>
      <c r="M158" s="46">
        <f t="shared" si="64"/>
        <v>65946.939808067298</v>
      </c>
      <c r="N158" s="46">
        <f t="shared" si="64"/>
        <v>72071.281993798504</v>
      </c>
      <c r="O158" s="46">
        <f t="shared" si="64"/>
        <v>55200.993615121952</v>
      </c>
      <c r="P158" s="46">
        <f t="shared" si="64"/>
        <v>60670.812737917746</v>
      </c>
      <c r="Q158" s="46">
        <f t="shared" si="64"/>
        <v>63146.337892364354</v>
      </c>
      <c r="R158" s="74">
        <f t="shared" si="64"/>
        <v>793471.29490959342</v>
      </c>
    </row>
    <row r="159" spans="2:20">
      <c r="D159" s="38" t="s">
        <v>262</v>
      </c>
      <c r="F159" s="46">
        <f t="shared" ref="F159:Q159" si="65">F134</f>
        <v>25103.721947014601</v>
      </c>
      <c r="G159" s="46">
        <f t="shared" si="65"/>
        <v>22438.367342689606</v>
      </c>
      <c r="H159" s="46">
        <f t="shared" si="65"/>
        <v>22537.559241357274</v>
      </c>
      <c r="I159" s="46">
        <f t="shared" si="65"/>
        <v>24119.916715273626</v>
      </c>
      <c r="J159" s="46">
        <f t="shared" si="65"/>
        <v>23277.581219195847</v>
      </c>
      <c r="K159" s="46">
        <f t="shared" si="65"/>
        <v>25796.752912792883</v>
      </c>
      <c r="L159" s="46">
        <f t="shared" si="65"/>
        <v>22233.475266477719</v>
      </c>
      <c r="M159" s="46">
        <f t="shared" si="65"/>
        <v>24919.780390152377</v>
      </c>
      <c r="N159" s="46">
        <f t="shared" si="65"/>
        <v>28583.191109326268</v>
      </c>
      <c r="O159" s="46">
        <f t="shared" si="65"/>
        <v>21003.384810041545</v>
      </c>
      <c r="P159" s="46">
        <f t="shared" si="65"/>
        <v>22681.536177981907</v>
      </c>
      <c r="Q159" s="46">
        <f t="shared" si="65"/>
        <v>24661.98082685328</v>
      </c>
      <c r="R159" s="74">
        <f>R134</f>
        <v>287357.24795915699</v>
      </c>
    </row>
    <row r="160" spans="2:20">
      <c r="D160" s="38" t="s">
        <v>268</v>
      </c>
      <c r="F160" s="46">
        <f>F139</f>
        <v>31600.873400000004</v>
      </c>
      <c r="G160" s="46">
        <f t="shared" ref="G160:R160" si="66">G139</f>
        <v>22216.066300000002</v>
      </c>
      <c r="H160" s="46">
        <f t="shared" si="66"/>
        <v>21907.565999999999</v>
      </c>
      <c r="I160" s="46">
        <f t="shared" si="66"/>
        <v>18362.938000000002</v>
      </c>
      <c r="J160" s="46">
        <f t="shared" si="66"/>
        <v>19590.688300000002</v>
      </c>
      <c r="K160" s="46">
        <f t="shared" si="66"/>
        <v>24206.794099999999</v>
      </c>
      <c r="L160" s="46">
        <f t="shared" si="66"/>
        <v>38625.044399999992</v>
      </c>
      <c r="M160" s="46">
        <f t="shared" si="66"/>
        <v>17425.277999999998</v>
      </c>
      <c r="N160" s="46">
        <f t="shared" si="66"/>
        <v>17082.070800000001</v>
      </c>
      <c r="O160" s="46">
        <f t="shared" si="66"/>
        <v>11797.945200000002</v>
      </c>
      <c r="P160" s="46">
        <f t="shared" si="66"/>
        <v>21016.696199999998</v>
      </c>
      <c r="Q160" s="46">
        <f t="shared" si="66"/>
        <v>29342.238599999997</v>
      </c>
      <c r="R160" s="74">
        <f t="shared" si="66"/>
        <v>273174.19929999998</v>
      </c>
    </row>
    <row r="161" spans="2:19" s="37" customFormat="1">
      <c r="C161" s="37" t="s">
        <v>269</v>
      </c>
      <c r="F161" s="98">
        <f t="shared" ref="F161:R161" si="67">SUM(F158:F160)</f>
        <v>128782.79924982329</v>
      </c>
      <c r="G161" s="98">
        <f t="shared" si="67"/>
        <v>108365.05638738108</v>
      </c>
      <c r="H161" s="98">
        <f t="shared" si="67"/>
        <v>114442.25908572919</v>
      </c>
      <c r="I161" s="98">
        <f t="shared" si="67"/>
        <v>113725.98553679764</v>
      </c>
      <c r="J161" s="98">
        <f t="shared" si="67"/>
        <v>109265.46173907581</v>
      </c>
      <c r="K161" s="98">
        <f t="shared" si="67"/>
        <v>119543.98072708376</v>
      </c>
      <c r="L161" s="98">
        <f t="shared" si="67"/>
        <v>124326.73128123439</v>
      </c>
      <c r="M161" s="98">
        <f t="shared" si="67"/>
        <v>108291.99819821966</v>
      </c>
      <c r="N161" s="98">
        <f t="shared" si="67"/>
        <v>117736.54390312477</v>
      </c>
      <c r="O161" s="98">
        <f t="shared" si="67"/>
        <v>88002.323625163495</v>
      </c>
      <c r="P161" s="98">
        <f t="shared" si="67"/>
        <v>104369.04511589964</v>
      </c>
      <c r="Q161" s="98">
        <f t="shared" si="67"/>
        <v>117150.55731921764</v>
      </c>
      <c r="R161" s="98">
        <f t="shared" si="67"/>
        <v>1354002.7421687504</v>
      </c>
    </row>
    <row r="162" spans="2:19" ht="7.5" customHeight="1">
      <c r="C162" s="37"/>
      <c r="D162" s="37"/>
      <c r="E162" s="37"/>
      <c r="F162" s="99"/>
      <c r="G162" s="99"/>
      <c r="H162" s="99"/>
      <c r="I162" s="99"/>
      <c r="J162" s="99"/>
      <c r="K162" s="99"/>
      <c r="L162" s="99"/>
      <c r="M162" s="99"/>
      <c r="N162" s="99"/>
      <c r="O162" s="99"/>
      <c r="P162" s="99"/>
      <c r="Q162" s="99"/>
      <c r="R162" s="99"/>
    </row>
    <row r="163" spans="2:19">
      <c r="C163" s="37" t="s">
        <v>257</v>
      </c>
      <c r="F163" s="46"/>
      <c r="G163" s="46"/>
      <c r="H163" s="46"/>
      <c r="I163" s="46"/>
      <c r="J163" s="46"/>
      <c r="K163" s="46"/>
      <c r="L163" s="46"/>
      <c r="M163" s="46"/>
      <c r="N163" s="46"/>
      <c r="O163" s="46"/>
      <c r="P163" s="46"/>
      <c r="Q163" s="46"/>
      <c r="R163" s="46"/>
    </row>
    <row r="164" spans="2:19">
      <c r="D164" s="38" t="s">
        <v>259</v>
      </c>
      <c r="F164" s="46">
        <f t="shared" ref="F164:R164" si="68">F146</f>
        <v>13320.068611768054</v>
      </c>
      <c r="G164" s="46">
        <f t="shared" si="68"/>
        <v>13740.858488224809</v>
      </c>
      <c r="H164" s="46">
        <f t="shared" si="68"/>
        <v>12066.56398165612</v>
      </c>
      <c r="I164" s="46">
        <f t="shared" si="68"/>
        <v>14854.199022289262</v>
      </c>
      <c r="J164" s="46">
        <f t="shared" si="68"/>
        <v>12849.832087504628</v>
      </c>
      <c r="K164" s="46">
        <f t="shared" si="68"/>
        <v>10539.685328478747</v>
      </c>
      <c r="L164" s="46">
        <f t="shared" si="68"/>
        <v>12853.215196762227</v>
      </c>
      <c r="M164" s="46">
        <f t="shared" si="68"/>
        <v>14994.112517650994</v>
      </c>
      <c r="N164" s="46">
        <f t="shared" si="68"/>
        <v>12655.976794535623</v>
      </c>
      <c r="O164" s="46">
        <f t="shared" si="68"/>
        <v>11582.419119333677</v>
      </c>
      <c r="P164" s="46">
        <f t="shared" si="68"/>
        <v>10748.936901078398</v>
      </c>
      <c r="Q164" s="46">
        <f t="shared" si="68"/>
        <v>10297.338802817489</v>
      </c>
      <c r="R164" s="74">
        <f t="shared" si="68"/>
        <v>150503.20685210003</v>
      </c>
    </row>
    <row r="165" spans="2:19">
      <c r="C165" s="37" t="s">
        <v>270</v>
      </c>
      <c r="F165" s="50">
        <f t="shared" ref="F165:R165" si="69">SUM(F164)</f>
        <v>13320.068611768054</v>
      </c>
      <c r="G165" s="50">
        <f t="shared" si="69"/>
        <v>13740.858488224809</v>
      </c>
      <c r="H165" s="50">
        <f t="shared" si="69"/>
        <v>12066.56398165612</v>
      </c>
      <c r="I165" s="50">
        <f t="shared" si="69"/>
        <v>14854.199022289262</v>
      </c>
      <c r="J165" s="50">
        <f t="shared" si="69"/>
        <v>12849.832087504628</v>
      </c>
      <c r="K165" s="50">
        <f t="shared" si="69"/>
        <v>10539.685328478747</v>
      </c>
      <c r="L165" s="50">
        <f t="shared" si="69"/>
        <v>12853.215196762227</v>
      </c>
      <c r="M165" s="50">
        <f t="shared" si="69"/>
        <v>14994.112517650994</v>
      </c>
      <c r="N165" s="50">
        <f t="shared" si="69"/>
        <v>12655.976794535623</v>
      </c>
      <c r="O165" s="50">
        <f t="shared" si="69"/>
        <v>11582.419119333677</v>
      </c>
      <c r="P165" s="50">
        <f t="shared" si="69"/>
        <v>10748.936901078398</v>
      </c>
      <c r="Q165" s="50">
        <f t="shared" si="69"/>
        <v>10297.338802817489</v>
      </c>
      <c r="R165" s="50">
        <f t="shared" si="69"/>
        <v>150503.20685210003</v>
      </c>
    </row>
    <row r="166" spans="2:19" ht="7.5" customHeight="1">
      <c r="C166" s="37"/>
      <c r="D166" s="37"/>
      <c r="E166" s="37"/>
      <c r="F166" s="121"/>
      <c r="G166" s="121"/>
      <c r="H166" s="121"/>
      <c r="I166" s="121"/>
      <c r="J166" s="121"/>
      <c r="K166" s="121"/>
      <c r="L166" s="121"/>
      <c r="M166" s="121"/>
      <c r="N166" s="121"/>
      <c r="O166" s="121"/>
      <c r="P166" s="121"/>
      <c r="Q166" s="121"/>
      <c r="R166" s="121"/>
    </row>
    <row r="167" spans="2:19" s="37" customFormat="1">
      <c r="B167" s="37" t="s">
        <v>272</v>
      </c>
      <c r="F167" s="98">
        <f t="shared" ref="F167:Q167" si="70">F155+F161+F165</f>
        <v>172820.31141461481</v>
      </c>
      <c r="G167" s="98">
        <f t="shared" si="70"/>
        <v>150966.24001216859</v>
      </c>
      <c r="H167" s="98">
        <f t="shared" si="70"/>
        <v>158448.87970042208</v>
      </c>
      <c r="I167" s="98">
        <f t="shared" si="70"/>
        <v>160562.72191666317</v>
      </c>
      <c r="J167" s="98">
        <f t="shared" si="70"/>
        <v>152880.87900750077</v>
      </c>
      <c r="K167" s="98">
        <f t="shared" si="70"/>
        <v>162130.96268865623</v>
      </c>
      <c r="L167" s="98">
        <f t="shared" si="70"/>
        <v>167753.3112290935</v>
      </c>
      <c r="M167" s="98">
        <f t="shared" si="70"/>
        <v>152692.05036253159</v>
      </c>
      <c r="N167" s="98">
        <f t="shared" si="70"/>
        <v>160117.68742587027</v>
      </c>
      <c r="O167" s="98">
        <f t="shared" si="70"/>
        <v>125278.77192329091</v>
      </c>
      <c r="P167" s="98">
        <f t="shared" si="70"/>
        <v>144868.13451532507</v>
      </c>
      <c r="Q167" s="98">
        <f t="shared" si="70"/>
        <v>157283.90054795041</v>
      </c>
      <c r="R167" s="98">
        <f>R155+R161+R165</f>
        <v>1865803.8507440875</v>
      </c>
      <c r="S167" s="117"/>
    </row>
    <row r="168" spans="2:19">
      <c r="S168" s="122"/>
    </row>
    <row r="169" spans="2:19">
      <c r="R169" s="59"/>
    </row>
  </sheetData>
  <mergeCells count="1">
    <mergeCell ref="A3:D3"/>
  </mergeCells>
  <pageMargins left="0.7" right="0.7" top="0.75" bottom="0.75" header="0.3" footer="0.3"/>
  <pageSetup paperSize="9" scale="79" fitToHeight="0" orientation="landscape"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7"/>
  <sheetViews>
    <sheetView tabSelected="1" workbookViewId="0">
      <selection activeCell="D81" sqref="D81:P81"/>
    </sheetView>
  </sheetViews>
  <sheetFormatPr defaultRowHeight="15"/>
  <cols>
    <col min="3" max="3" width="12.7109375" customWidth="1"/>
    <col min="4" max="4" width="3.7109375" customWidth="1"/>
    <col min="5" max="5" width="12.7109375" customWidth="1"/>
    <col min="6" max="6" width="3.7109375" customWidth="1"/>
    <col min="7" max="7" width="12.7109375" customWidth="1"/>
    <col min="8" max="8" width="3.7109375" customWidth="1"/>
    <col min="9" max="9" width="12.7109375" customWidth="1"/>
    <col min="12" max="12" width="18.5703125" bestFit="1" customWidth="1"/>
    <col min="13" max="13" width="12.5703125" bestFit="1" customWidth="1"/>
  </cols>
  <sheetData>
    <row r="1" spans="1:13" ht="23.25">
      <c r="A1" s="1" t="s">
        <v>10</v>
      </c>
    </row>
    <row r="2" spans="1:13" ht="23.25">
      <c r="A2" s="1" t="s">
        <v>22</v>
      </c>
    </row>
    <row r="3" spans="1:13" ht="15" customHeight="1">
      <c r="A3" s="1"/>
      <c r="I3" s="11"/>
    </row>
    <row r="4" spans="1:13">
      <c r="C4" s="12" t="s">
        <v>23</v>
      </c>
      <c r="D4" s="12"/>
      <c r="E4" s="12" t="s">
        <v>24</v>
      </c>
      <c r="G4" s="12" t="s">
        <v>25</v>
      </c>
      <c r="I4" s="13"/>
    </row>
    <row r="5" spans="1:13">
      <c r="C5" s="14" t="s">
        <v>26</v>
      </c>
      <c r="E5" s="14" t="s">
        <v>27</v>
      </c>
      <c r="G5" s="14" t="s">
        <v>28</v>
      </c>
      <c r="I5" s="13"/>
    </row>
    <row r="6" spans="1:13">
      <c r="I6" s="11"/>
    </row>
    <row r="7" spans="1:13">
      <c r="A7" t="s">
        <v>13</v>
      </c>
      <c r="C7" s="4">
        <f>SUM('Wage Details'!B6:N6)</f>
        <v>36286.25</v>
      </c>
      <c r="E7" s="4">
        <f>SUM('Wage Details'!B20:N20)+SUM('Wage Details'!B34:K34)</f>
        <v>66891</v>
      </c>
      <c r="G7" s="4">
        <f>(C7+E7)/36*16</f>
        <v>45856.555555555555</v>
      </c>
      <c r="I7" s="15"/>
      <c r="L7" s="126" t="s">
        <v>13</v>
      </c>
      <c r="M7" s="127">
        <f>(E7+C7)/36*16</f>
        <v>45856.555555555555</v>
      </c>
    </row>
    <row r="8" spans="1:13">
      <c r="A8" t="s">
        <v>14</v>
      </c>
      <c r="C8" s="4">
        <f>SUM('Wage Details'!B7:N7)</f>
        <v>4285</v>
      </c>
      <c r="E8" s="4">
        <f>SUM('Wage Details'!B21:N21)+SUM('Wage Details'!B35:K35)</f>
        <v>8634.25</v>
      </c>
      <c r="G8" s="4">
        <f>(C8+E8)/36*16</f>
        <v>5741.8888888888887</v>
      </c>
      <c r="I8" s="15"/>
      <c r="L8" s="126" t="s">
        <v>14</v>
      </c>
      <c r="M8" s="127">
        <f>(E8+C8)/36*16</f>
        <v>5741.8888888888887</v>
      </c>
    </row>
    <row r="9" spans="1:13">
      <c r="A9" t="s">
        <v>15</v>
      </c>
      <c r="C9" s="5">
        <f>SUM(C7:C8)</f>
        <v>40571.25</v>
      </c>
      <c r="E9" s="5">
        <f>SUM(E7:E8)</f>
        <v>75525.25</v>
      </c>
      <c r="G9" s="5">
        <f>SUM(G7:G8)</f>
        <v>51598.444444444445</v>
      </c>
      <c r="I9" s="15"/>
      <c r="L9" s="126" t="s">
        <v>15</v>
      </c>
      <c r="M9" s="128">
        <f>SUM(M7:M8)</f>
        <v>51598.444444444445</v>
      </c>
    </row>
    <row r="10" spans="1:13">
      <c r="I10" s="11"/>
      <c r="L10" s="126"/>
      <c r="M10" s="126"/>
    </row>
    <row r="11" spans="1:13">
      <c r="A11" t="s">
        <v>16</v>
      </c>
      <c r="C11" s="6">
        <f>SUM('Wage Details'!B10:N10)</f>
        <v>524026.24000000005</v>
      </c>
      <c r="E11" s="6">
        <f>SUM('Wage Details'!B24:N24)+SUM('Wage Details'!B38:K38)</f>
        <v>1097460.08</v>
      </c>
      <c r="G11" s="6">
        <f>G7*E15</f>
        <v>752354.41432366765</v>
      </c>
      <c r="I11" s="11"/>
      <c r="L11" s="126" t="s">
        <v>16</v>
      </c>
      <c r="M11" s="129">
        <f>E15*M7</f>
        <v>752354.41432366765</v>
      </c>
    </row>
    <row r="12" spans="1:13">
      <c r="A12" t="s">
        <v>17</v>
      </c>
      <c r="C12" s="6">
        <f>SUM('Wage Details'!B11:N11)</f>
        <v>89087.900000000009</v>
      </c>
      <c r="E12" s="6">
        <f>SUM('Wage Details'!B25:N25)+SUM('Wage Details'!B39:K39)</f>
        <v>206775.32</v>
      </c>
      <c r="G12" s="6">
        <f>G8*E16</f>
        <v>137508.28530612902</v>
      </c>
      <c r="L12" s="126" t="s">
        <v>17</v>
      </c>
      <c r="M12" s="129">
        <f>E16*M8</f>
        <v>137508.28530612902</v>
      </c>
    </row>
    <row r="13" spans="1:13">
      <c r="A13" t="s">
        <v>18</v>
      </c>
      <c r="C13" s="7">
        <f>SUM(C11:C12)</f>
        <v>613114.14</v>
      </c>
      <c r="E13" s="7">
        <f>SUM(E11:E12)</f>
        <v>1304235.4000000001</v>
      </c>
      <c r="G13" s="7">
        <f>SUM(G11:G12)</f>
        <v>889862.69962979667</v>
      </c>
      <c r="L13" s="126" t="s">
        <v>18</v>
      </c>
      <c r="M13" s="130">
        <f>SUM(M11:M12)</f>
        <v>889862.69962979667</v>
      </c>
    </row>
    <row r="14" spans="1:13" ht="15.75" customHeight="1">
      <c r="L14" s="126"/>
      <c r="M14" s="126"/>
    </row>
    <row r="15" spans="1:13" ht="45">
      <c r="A15" t="s">
        <v>19</v>
      </c>
      <c r="C15" s="8">
        <f>C11/C7</f>
        <v>14.441454821041029</v>
      </c>
      <c r="E15" s="8">
        <f>E11/E7</f>
        <v>16.406692679134714</v>
      </c>
      <c r="G15" s="8">
        <f>G11/G7</f>
        <v>16.406692679134714</v>
      </c>
      <c r="L15" s="124" t="s">
        <v>288</v>
      </c>
      <c r="M15" s="131">
        <f>G13-M13</f>
        <v>0</v>
      </c>
    </row>
    <row r="16" spans="1:13">
      <c r="A16" t="s">
        <v>20</v>
      </c>
      <c r="C16" s="8">
        <f>C12/C8</f>
        <v>20.790641773628941</v>
      </c>
      <c r="E16" s="8">
        <f>E12/E8</f>
        <v>23.948266496800535</v>
      </c>
      <c r="G16" s="8">
        <f>G12/G8</f>
        <v>23.948266496800535</v>
      </c>
    </row>
    <row r="17" spans="1:9">
      <c r="A17" t="s">
        <v>21</v>
      </c>
      <c r="C17" s="9">
        <f>C13/C9</f>
        <v>15.112034753674092</v>
      </c>
      <c r="E17" s="9">
        <f>E13/E9</f>
        <v>17.268865710474312</v>
      </c>
      <c r="G17" s="9">
        <f>G13/G9</f>
        <v>17.245921058490502</v>
      </c>
    </row>
    <row r="19" spans="1:9">
      <c r="A19" t="s">
        <v>29</v>
      </c>
    </row>
    <row r="20" spans="1:9" ht="45">
      <c r="C20" s="16" t="s">
        <v>30</v>
      </c>
      <c r="E20" s="17" t="s">
        <v>31</v>
      </c>
      <c r="G20" s="17" t="s">
        <v>32</v>
      </c>
      <c r="I20" s="17" t="s">
        <v>33</v>
      </c>
    </row>
    <row r="21" spans="1:9">
      <c r="A21" t="s">
        <v>13</v>
      </c>
      <c r="C21" s="18">
        <f>SUM(C7:G7)</f>
        <v>149033.80555555556</v>
      </c>
      <c r="E21" s="6">
        <f>C21*C15</f>
        <v>2152264.9697383693</v>
      </c>
      <c r="G21" s="6">
        <f>C21*E15</f>
        <v>2445151.8465519198</v>
      </c>
      <c r="I21" s="6">
        <f>C21*C38</f>
        <v>2889724.9095613598</v>
      </c>
    </row>
    <row r="22" spans="1:9">
      <c r="A22" t="s">
        <v>14</v>
      </c>
      <c r="C22" s="18">
        <f>SUM(C8:G8)</f>
        <v>18661.138888888891</v>
      </c>
      <c r="E22" s="6">
        <f>C22*C16</f>
        <v>387977.05372682493</v>
      </c>
      <c r="G22" s="6">
        <f>C22*E16</f>
        <v>446901.92724491941</v>
      </c>
      <c r="I22" s="6">
        <f>C22*G38</f>
        <v>528156.82310763199</v>
      </c>
    </row>
    <row r="23" spans="1:9">
      <c r="A23" t="s">
        <v>15</v>
      </c>
      <c r="C23" s="19">
        <f>SUM(C21:C22)</f>
        <v>167694.94444444444</v>
      </c>
      <c r="E23" s="7">
        <f>SUM(E21:E22)</f>
        <v>2540242.0234651943</v>
      </c>
      <c r="G23" s="7">
        <f>SUM(G21:G22)</f>
        <v>2892053.7737968392</v>
      </c>
      <c r="I23" s="7">
        <f>SUM(I21:I22)</f>
        <v>3417881.7326689917</v>
      </c>
    </row>
    <row r="25" spans="1:9">
      <c r="A25" t="s">
        <v>34</v>
      </c>
      <c r="G25" s="6">
        <f>G23-E23</f>
        <v>351811.7503316449</v>
      </c>
    </row>
    <row r="26" spans="1:9">
      <c r="A26" t="s">
        <v>35</v>
      </c>
      <c r="G26" s="4">
        <v>198000</v>
      </c>
    </row>
    <row r="27" spans="1:9">
      <c r="A27" t="s">
        <v>36</v>
      </c>
      <c r="G27" s="8">
        <f>G25/G26</f>
        <v>1.7768270218769944</v>
      </c>
    </row>
    <row r="29" spans="1:9">
      <c r="A29" t="s">
        <v>37</v>
      </c>
    </row>
    <row r="30" spans="1:9">
      <c r="A30" t="s">
        <v>38</v>
      </c>
    </row>
    <row r="31" spans="1:9">
      <c r="A31" t="s">
        <v>39</v>
      </c>
      <c r="C31" s="8">
        <v>11</v>
      </c>
      <c r="E31" t="s">
        <v>20</v>
      </c>
      <c r="G31" s="8">
        <f>C31*1.5</f>
        <v>16.5</v>
      </c>
    </row>
    <row r="32" spans="1:9">
      <c r="A32" t="s">
        <v>40</v>
      </c>
      <c r="C32" s="8">
        <f>E15</f>
        <v>16.406692679134714</v>
      </c>
      <c r="E32" t="s">
        <v>41</v>
      </c>
      <c r="G32" s="8">
        <f>E16</f>
        <v>23.948266496800535</v>
      </c>
    </row>
    <row r="33" spans="1:7">
      <c r="C33" s="20">
        <f>(C32-C31)/C31</f>
        <v>0.49151751628497403</v>
      </c>
      <c r="G33" s="20">
        <f>(G32-G31)/G31</f>
        <v>0.45141009071518395</v>
      </c>
    </row>
    <row r="35" spans="1:7">
      <c r="A35" t="s">
        <v>42</v>
      </c>
    </row>
    <row r="36" spans="1:7">
      <c r="A36" t="s">
        <v>38</v>
      </c>
    </row>
    <row r="37" spans="1:7">
      <c r="A37" t="s">
        <v>239</v>
      </c>
      <c r="C37" s="8">
        <v>13</v>
      </c>
      <c r="E37" t="s">
        <v>20</v>
      </c>
      <c r="G37" s="8">
        <f>C37*1.5</f>
        <v>19.5</v>
      </c>
    </row>
    <row r="38" spans="1:7">
      <c r="A38" t="s">
        <v>40</v>
      </c>
      <c r="C38" s="8">
        <f>C37*(1+C33)</f>
        <v>19.389727711704662</v>
      </c>
      <c r="E38" t="s">
        <v>41</v>
      </c>
      <c r="G38" s="8">
        <f>G37*(1+G33)</f>
        <v>28.302496768946085</v>
      </c>
    </row>
    <row r="39" spans="1:7">
      <c r="C39" s="20">
        <f>(C38-C37)/C37</f>
        <v>0.49151751628497398</v>
      </c>
      <c r="G39" s="20">
        <f>(G38-G37)/G37</f>
        <v>0.45141009071518384</v>
      </c>
    </row>
    <row r="41" spans="1:7">
      <c r="A41" t="s">
        <v>43</v>
      </c>
      <c r="G41" s="6">
        <f>I23-G23</f>
        <v>525827.95887215249</v>
      </c>
    </row>
    <row r="42" spans="1:7">
      <c r="A42" t="s">
        <v>44</v>
      </c>
      <c r="G42" s="4">
        <v>198000</v>
      </c>
    </row>
    <row r="43" spans="1:7">
      <c r="A43" t="s">
        <v>36</v>
      </c>
      <c r="G43" s="8">
        <f>G41/G42</f>
        <v>2.6556967619805683</v>
      </c>
    </row>
    <row r="45" spans="1:7">
      <c r="A45" t="s">
        <v>45</v>
      </c>
      <c r="G45" s="8">
        <f>G43+G27</f>
        <v>4.4325237838575626</v>
      </c>
    </row>
    <row r="46" spans="1:7">
      <c r="A46" t="s">
        <v>46</v>
      </c>
      <c r="G46" s="8">
        <v>68.39</v>
      </c>
    </row>
    <row r="47" spans="1:7">
      <c r="A47" t="s">
        <v>47</v>
      </c>
      <c r="G47" s="9">
        <f>SUM(G45:G46)</f>
        <v>72.822523783857562</v>
      </c>
    </row>
  </sheetData>
  <pageMargins left="0.7" right="0.7" top="0.25" bottom="0.25" header="0.3" footer="0.3"/>
  <pageSetup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58"/>
  <sheetViews>
    <sheetView tabSelected="1" topLeftCell="B1" zoomScaleNormal="100" workbookViewId="0">
      <selection activeCell="D81" sqref="D81:P81"/>
    </sheetView>
  </sheetViews>
  <sheetFormatPr defaultRowHeight="15"/>
  <cols>
    <col min="1" max="1" width="19.28515625" customWidth="1"/>
    <col min="2" max="25" width="10.7109375" customWidth="1"/>
  </cols>
  <sheetData>
    <row r="1" spans="1:32" ht="23.25">
      <c r="A1" s="1" t="s">
        <v>10</v>
      </c>
    </row>
    <row r="2" spans="1:32" ht="23.25">
      <c r="A2" s="1" t="s">
        <v>11</v>
      </c>
    </row>
    <row r="3" spans="1:32" ht="23.25">
      <c r="A3" s="1" t="s">
        <v>12</v>
      </c>
    </row>
    <row r="4" spans="1:32">
      <c r="B4" s="2">
        <v>42015</v>
      </c>
      <c r="C4" s="2">
        <f>B4+7</f>
        <v>42022</v>
      </c>
      <c r="D4" s="2">
        <f t="shared" ref="D4:N4" si="0">C4+7</f>
        <v>42029</v>
      </c>
      <c r="E4" s="2">
        <f t="shared" si="0"/>
        <v>42036</v>
      </c>
      <c r="F4" s="2">
        <f t="shared" si="0"/>
        <v>42043</v>
      </c>
      <c r="G4" s="2">
        <f t="shared" si="0"/>
        <v>42050</v>
      </c>
      <c r="H4" s="2">
        <f t="shared" si="0"/>
        <v>42057</v>
      </c>
      <c r="I4" s="2">
        <f t="shared" si="0"/>
        <v>42064</v>
      </c>
      <c r="J4" s="2">
        <f t="shared" si="0"/>
        <v>42071</v>
      </c>
      <c r="K4" s="2">
        <f t="shared" si="0"/>
        <v>42078</v>
      </c>
      <c r="L4" s="2">
        <f t="shared" si="0"/>
        <v>42085</v>
      </c>
      <c r="M4" s="2">
        <f t="shared" si="0"/>
        <v>42092</v>
      </c>
      <c r="N4" s="2">
        <f t="shared" si="0"/>
        <v>42099</v>
      </c>
      <c r="Z4" s="3"/>
      <c r="AA4" s="3"/>
      <c r="AB4" s="3"/>
      <c r="AC4" s="3"/>
      <c r="AD4" s="3"/>
      <c r="AE4" s="3"/>
      <c r="AF4" s="3"/>
    </row>
    <row r="5" spans="1:32" ht="7.5" customHeight="1"/>
    <row r="6" spans="1:32">
      <c r="A6" t="s">
        <v>13</v>
      </c>
      <c r="B6" s="4">
        <v>2819</v>
      </c>
      <c r="C6" s="4">
        <v>2841.75</v>
      </c>
      <c r="D6" s="4">
        <v>2857</v>
      </c>
      <c r="E6" s="4">
        <v>2752</v>
      </c>
      <c r="F6" s="4">
        <v>2655.75</v>
      </c>
      <c r="G6" s="4">
        <v>2894</v>
      </c>
      <c r="H6" s="4">
        <v>2813.25</v>
      </c>
      <c r="I6" s="4">
        <v>2736.5</v>
      </c>
      <c r="J6" s="4">
        <v>2812.25</v>
      </c>
      <c r="K6" s="4">
        <v>2860.25</v>
      </c>
      <c r="L6" s="4">
        <v>2772.75</v>
      </c>
      <c r="M6" s="4">
        <v>2841.5</v>
      </c>
      <c r="N6" s="4">
        <v>2630.25</v>
      </c>
      <c r="O6" s="123"/>
    </row>
    <row r="7" spans="1:32">
      <c r="A7" t="s">
        <v>14</v>
      </c>
      <c r="B7" s="4">
        <v>529.5</v>
      </c>
      <c r="C7" s="4">
        <v>436.25</v>
      </c>
      <c r="D7" s="4">
        <v>439</v>
      </c>
      <c r="E7" s="4">
        <v>114</v>
      </c>
      <c r="F7" s="4">
        <v>180.25</v>
      </c>
      <c r="G7" s="4">
        <v>362.25</v>
      </c>
      <c r="H7" s="4">
        <v>363.5</v>
      </c>
      <c r="I7" s="4">
        <v>206.5</v>
      </c>
      <c r="J7" s="4">
        <v>387</v>
      </c>
      <c r="K7" s="4">
        <v>283.5</v>
      </c>
      <c r="L7" s="4">
        <v>370.25</v>
      </c>
      <c r="M7" s="4">
        <v>469.75</v>
      </c>
      <c r="N7" s="4">
        <v>143.25</v>
      </c>
    </row>
    <row r="8" spans="1:32">
      <c r="A8" t="s">
        <v>15</v>
      </c>
      <c r="B8" s="5">
        <f>SUM(B6:B7)</f>
        <v>3348.5</v>
      </c>
      <c r="C8" s="5">
        <f t="shared" ref="C8:N8" si="1">SUM(C6:C7)</f>
        <v>3278</v>
      </c>
      <c r="D8" s="5">
        <f t="shared" si="1"/>
        <v>3296</v>
      </c>
      <c r="E8" s="5">
        <f t="shared" si="1"/>
        <v>2866</v>
      </c>
      <c r="F8" s="5">
        <f t="shared" si="1"/>
        <v>2836</v>
      </c>
      <c r="G8" s="5">
        <f t="shared" si="1"/>
        <v>3256.25</v>
      </c>
      <c r="H8" s="5">
        <f t="shared" si="1"/>
        <v>3176.75</v>
      </c>
      <c r="I8" s="5">
        <f t="shared" si="1"/>
        <v>2943</v>
      </c>
      <c r="J8" s="5">
        <f t="shared" si="1"/>
        <v>3199.25</v>
      </c>
      <c r="K8" s="5">
        <f t="shared" si="1"/>
        <v>3143.75</v>
      </c>
      <c r="L8" s="5">
        <f t="shared" si="1"/>
        <v>3143</v>
      </c>
      <c r="M8" s="5">
        <f t="shared" si="1"/>
        <v>3311.25</v>
      </c>
      <c r="N8" s="5">
        <f t="shared" si="1"/>
        <v>2773.5</v>
      </c>
    </row>
    <row r="9" spans="1:32" ht="8.25" customHeight="1"/>
    <row r="10" spans="1:32">
      <c r="A10" t="s">
        <v>16</v>
      </c>
      <c r="B10" s="6">
        <v>40955.39</v>
      </c>
      <c r="C10" s="6">
        <v>41016.33</v>
      </c>
      <c r="D10" s="6">
        <v>41235.32</v>
      </c>
      <c r="E10" s="6">
        <v>39738.839999999997</v>
      </c>
      <c r="F10" s="6">
        <v>38358.17</v>
      </c>
      <c r="G10" s="6">
        <v>41779.440000000002</v>
      </c>
      <c r="H10" s="6">
        <v>40592.269999999997</v>
      </c>
      <c r="I10" s="6">
        <v>39493.879999999997</v>
      </c>
      <c r="J10" s="6">
        <v>40591.64</v>
      </c>
      <c r="K10" s="6">
        <v>41294.79</v>
      </c>
      <c r="L10" s="6">
        <v>39987.97</v>
      </c>
      <c r="M10" s="6">
        <v>40995.94</v>
      </c>
      <c r="N10" s="6">
        <v>37986.26</v>
      </c>
    </row>
    <row r="11" spans="1:32">
      <c r="A11" t="s">
        <v>17</v>
      </c>
      <c r="B11" s="6">
        <v>11091.86</v>
      </c>
      <c r="C11" s="6">
        <v>9045.4</v>
      </c>
      <c r="D11" s="6">
        <v>9117.59</v>
      </c>
      <c r="E11" s="6">
        <v>2364.5100000000002</v>
      </c>
      <c r="F11" s="6">
        <v>3731.19</v>
      </c>
      <c r="G11" s="6">
        <v>7542.81</v>
      </c>
      <c r="H11" s="6">
        <v>7567.47</v>
      </c>
      <c r="I11" s="6">
        <v>4273.1400000000003</v>
      </c>
      <c r="J11" s="6">
        <v>8046.79</v>
      </c>
      <c r="K11" s="6">
        <v>5900.17</v>
      </c>
      <c r="L11" s="6">
        <v>7685.8</v>
      </c>
      <c r="M11" s="6">
        <v>9757.93</v>
      </c>
      <c r="N11" s="6">
        <v>2963.24</v>
      </c>
    </row>
    <row r="12" spans="1:32">
      <c r="A12" t="s">
        <v>18</v>
      </c>
      <c r="B12" s="7">
        <f>SUM(B10:B11)</f>
        <v>52047.25</v>
      </c>
      <c r="C12" s="7">
        <f t="shared" ref="C12:N12" si="2">SUM(C10:C11)</f>
        <v>50061.73</v>
      </c>
      <c r="D12" s="7">
        <f t="shared" si="2"/>
        <v>50352.91</v>
      </c>
      <c r="E12" s="7">
        <f t="shared" si="2"/>
        <v>42103.35</v>
      </c>
      <c r="F12" s="7">
        <f t="shared" si="2"/>
        <v>42089.36</v>
      </c>
      <c r="G12" s="7">
        <f t="shared" si="2"/>
        <v>49322.25</v>
      </c>
      <c r="H12" s="7">
        <f t="shared" si="2"/>
        <v>48159.74</v>
      </c>
      <c r="I12" s="7">
        <f t="shared" si="2"/>
        <v>43767.02</v>
      </c>
      <c r="J12" s="7">
        <f t="shared" si="2"/>
        <v>48638.43</v>
      </c>
      <c r="K12" s="7">
        <f t="shared" si="2"/>
        <v>47194.96</v>
      </c>
      <c r="L12" s="7">
        <f t="shared" si="2"/>
        <v>47673.770000000004</v>
      </c>
      <c r="M12" s="7">
        <f t="shared" si="2"/>
        <v>50753.87</v>
      </c>
      <c r="N12" s="7">
        <f t="shared" si="2"/>
        <v>40949.5</v>
      </c>
    </row>
    <row r="13" spans="1:32" ht="7.5" customHeight="1"/>
    <row r="14" spans="1:32">
      <c r="A14" t="s">
        <v>19</v>
      </c>
      <c r="B14" s="8">
        <f>B10/B6</f>
        <v>14.528339836821567</v>
      </c>
      <c r="C14" s="8">
        <f t="shared" ref="C14:N16" si="3">C10/C6</f>
        <v>14.43347585114806</v>
      </c>
      <c r="D14" s="8">
        <f t="shared" si="3"/>
        <v>14.43308365418271</v>
      </c>
      <c r="E14" s="8">
        <f t="shared" si="3"/>
        <v>14.439985465116278</v>
      </c>
      <c r="F14" s="8">
        <f t="shared" si="3"/>
        <v>14.443441589004989</v>
      </c>
      <c r="G14" s="8">
        <f t="shared" si="3"/>
        <v>14.436572218382862</v>
      </c>
      <c r="H14" s="8">
        <f t="shared" si="3"/>
        <v>14.428959388607481</v>
      </c>
      <c r="I14" s="8">
        <f t="shared" si="3"/>
        <v>14.432260186369449</v>
      </c>
      <c r="J14" s="8">
        <f t="shared" si="3"/>
        <v>14.433866121433017</v>
      </c>
      <c r="K14" s="8">
        <f t="shared" si="3"/>
        <v>14.437475745127175</v>
      </c>
      <c r="L14" s="8">
        <f t="shared" si="3"/>
        <v>14.421772608421243</v>
      </c>
      <c r="M14" s="8">
        <f t="shared" si="3"/>
        <v>14.427569945451348</v>
      </c>
      <c r="N14" s="8">
        <f t="shared" si="3"/>
        <v>14.442072046383425</v>
      </c>
    </row>
    <row r="15" spans="1:32">
      <c r="A15" t="s">
        <v>20</v>
      </c>
      <c r="B15" s="8">
        <f>B11/B7</f>
        <v>20.947799811142588</v>
      </c>
      <c r="C15" s="8">
        <f t="shared" si="3"/>
        <v>20.734441260744983</v>
      </c>
      <c r="D15" s="8">
        <f t="shared" si="3"/>
        <v>20.768997722095673</v>
      </c>
      <c r="E15" s="8">
        <f t="shared" si="3"/>
        <v>20.741315789473685</v>
      </c>
      <c r="F15" s="8">
        <f t="shared" si="3"/>
        <v>20.700083217753122</v>
      </c>
      <c r="G15" s="8">
        <f t="shared" si="3"/>
        <v>20.822111801242237</v>
      </c>
      <c r="H15" s="8">
        <f t="shared" si="3"/>
        <v>20.818349381017882</v>
      </c>
      <c r="I15" s="8">
        <f t="shared" si="3"/>
        <v>20.693171912832931</v>
      </c>
      <c r="J15" s="8">
        <f t="shared" si="3"/>
        <v>20.792739018087854</v>
      </c>
      <c r="K15" s="8">
        <f t="shared" si="3"/>
        <v>20.811887125220458</v>
      </c>
      <c r="L15" s="8">
        <f t="shared" si="3"/>
        <v>20.758406482106686</v>
      </c>
      <c r="M15" s="8">
        <f t="shared" si="3"/>
        <v>20.772602448110696</v>
      </c>
      <c r="N15" s="8">
        <f t="shared" si="3"/>
        <v>20.685794066317627</v>
      </c>
    </row>
    <row r="16" spans="1:32">
      <c r="A16" t="s">
        <v>21</v>
      </c>
      <c r="B16" s="9">
        <f>B12/B8</f>
        <v>15.543452292071077</v>
      </c>
      <c r="C16" s="9">
        <f t="shared" si="3"/>
        <v>15.272034777303235</v>
      </c>
      <c r="D16" s="9">
        <f t="shared" si="3"/>
        <v>15.276975121359225</v>
      </c>
      <c r="E16" s="9">
        <f t="shared" si="3"/>
        <v>14.690631542219121</v>
      </c>
      <c r="F16" s="9">
        <f t="shared" si="3"/>
        <v>14.841100141043723</v>
      </c>
      <c r="G16" s="9">
        <f t="shared" si="3"/>
        <v>15.146948176583493</v>
      </c>
      <c r="H16" s="9">
        <f t="shared" si="3"/>
        <v>15.160066105296293</v>
      </c>
      <c r="I16" s="9">
        <f t="shared" si="3"/>
        <v>14.871566428814134</v>
      </c>
      <c r="J16" s="9">
        <f t="shared" si="3"/>
        <v>15.203072595139487</v>
      </c>
      <c r="K16" s="9">
        <f t="shared" si="3"/>
        <v>15.012313320079523</v>
      </c>
      <c r="L16" s="9">
        <f t="shared" si="3"/>
        <v>15.1682373528476</v>
      </c>
      <c r="M16" s="9">
        <f t="shared" si="3"/>
        <v>15.327707059267649</v>
      </c>
      <c r="N16" s="9">
        <f t="shared" si="3"/>
        <v>14.764557418424374</v>
      </c>
    </row>
    <row r="17" spans="1:18" ht="7.5" customHeight="1"/>
    <row r="18" spans="1:18">
      <c r="B18" s="2">
        <f>N4+7</f>
        <v>42106</v>
      </c>
      <c r="C18" s="2">
        <f t="shared" ref="C18:N18" si="4">B18+7</f>
        <v>42113</v>
      </c>
      <c r="D18" s="2">
        <f t="shared" si="4"/>
        <v>42120</v>
      </c>
      <c r="E18" s="2">
        <f t="shared" si="4"/>
        <v>42127</v>
      </c>
      <c r="F18" s="2">
        <f t="shared" si="4"/>
        <v>42134</v>
      </c>
      <c r="G18" s="2">
        <f t="shared" si="4"/>
        <v>42141</v>
      </c>
      <c r="H18" s="2">
        <f t="shared" si="4"/>
        <v>42148</v>
      </c>
      <c r="I18" s="2">
        <f t="shared" si="4"/>
        <v>42155</v>
      </c>
      <c r="J18" s="2">
        <f t="shared" si="4"/>
        <v>42162</v>
      </c>
      <c r="K18" s="2">
        <f t="shared" si="4"/>
        <v>42169</v>
      </c>
      <c r="L18" s="2">
        <f t="shared" si="4"/>
        <v>42176</v>
      </c>
      <c r="M18" s="2">
        <f t="shared" si="4"/>
        <v>42183</v>
      </c>
      <c r="N18" s="2">
        <f t="shared" si="4"/>
        <v>42190</v>
      </c>
    </row>
    <row r="19" spans="1:18" ht="7.5" customHeight="1"/>
    <row r="20" spans="1:18">
      <c r="A20" t="s">
        <v>13</v>
      </c>
      <c r="B20" s="4">
        <v>2589</v>
      </c>
      <c r="C20" s="4">
        <v>2832.5</v>
      </c>
      <c r="D20" s="4">
        <v>2562.75</v>
      </c>
      <c r="E20" s="4">
        <v>2822.25</v>
      </c>
      <c r="F20" s="4">
        <v>2776.75</v>
      </c>
      <c r="G20" s="4">
        <v>2683</v>
      </c>
      <c r="H20" s="4">
        <v>2862</v>
      </c>
      <c r="I20" s="4">
        <v>2847.75</v>
      </c>
      <c r="J20" s="4">
        <v>2642.25</v>
      </c>
      <c r="K20" s="4">
        <v>2770.5</v>
      </c>
      <c r="L20" s="4">
        <v>2785.75</v>
      </c>
      <c r="M20" s="4">
        <v>2672</v>
      </c>
      <c r="N20" s="4">
        <v>2892.25</v>
      </c>
      <c r="P20" s="18" t="s">
        <v>286</v>
      </c>
    </row>
    <row r="21" spans="1:18">
      <c r="A21" t="s">
        <v>14</v>
      </c>
      <c r="B21" s="4">
        <v>128.5</v>
      </c>
      <c r="C21" s="4">
        <v>502.5</v>
      </c>
      <c r="D21" s="4">
        <v>164.25</v>
      </c>
      <c r="E21" s="4">
        <v>508</v>
      </c>
      <c r="F21" s="4">
        <v>357.5</v>
      </c>
      <c r="G21" s="4">
        <v>159.75</v>
      </c>
      <c r="H21" s="4">
        <v>260.5</v>
      </c>
      <c r="I21" s="4">
        <v>410</v>
      </c>
      <c r="J21" s="4">
        <v>194.75</v>
      </c>
      <c r="K21" s="4">
        <v>423.25</v>
      </c>
      <c r="L21" s="4">
        <v>575</v>
      </c>
      <c r="M21" s="4">
        <v>209.75</v>
      </c>
      <c r="N21" s="4">
        <v>646</v>
      </c>
      <c r="P21" s="18">
        <f>AVERAGE(B6:N6)</f>
        <v>2791.25</v>
      </c>
      <c r="Q21" t="s">
        <v>285</v>
      </c>
      <c r="R21" s="18">
        <f>AVERAGE(B7:N7)</f>
        <v>329.61538461538464</v>
      </c>
    </row>
    <row r="22" spans="1:18">
      <c r="A22" t="s">
        <v>15</v>
      </c>
      <c r="B22" s="5">
        <f t="shared" ref="B22:N22" si="5">SUM(B20:B21)</f>
        <v>2717.5</v>
      </c>
      <c r="C22" s="5">
        <f t="shared" si="5"/>
        <v>3335</v>
      </c>
      <c r="D22" s="5">
        <f t="shared" si="5"/>
        <v>2727</v>
      </c>
      <c r="E22" s="5">
        <f t="shared" si="5"/>
        <v>3330.25</v>
      </c>
      <c r="F22" s="5">
        <f t="shared" si="5"/>
        <v>3134.25</v>
      </c>
      <c r="G22" s="5">
        <f t="shared" si="5"/>
        <v>2842.75</v>
      </c>
      <c r="H22" s="5">
        <f t="shared" si="5"/>
        <v>3122.5</v>
      </c>
      <c r="I22" s="5">
        <f t="shared" si="5"/>
        <v>3257.75</v>
      </c>
      <c r="J22" s="5">
        <f t="shared" si="5"/>
        <v>2837</v>
      </c>
      <c r="K22" s="5">
        <f t="shared" si="5"/>
        <v>3193.75</v>
      </c>
      <c r="L22" s="5">
        <f t="shared" si="5"/>
        <v>3360.75</v>
      </c>
      <c r="M22" s="5">
        <f t="shared" si="5"/>
        <v>2881.75</v>
      </c>
      <c r="N22" s="5">
        <f t="shared" si="5"/>
        <v>3538.25</v>
      </c>
    </row>
    <row r="23" spans="1:18" ht="8.25" customHeight="1"/>
    <row r="24" spans="1:18">
      <c r="A24" t="s">
        <v>16</v>
      </c>
      <c r="B24" s="6">
        <v>43088.5</v>
      </c>
      <c r="C24" s="6">
        <v>47135.39</v>
      </c>
      <c r="D24" s="6">
        <v>42033.63</v>
      </c>
      <c r="E24" s="6">
        <v>46270.46</v>
      </c>
      <c r="F24" s="6">
        <v>45529.279999999999</v>
      </c>
      <c r="G24" s="6">
        <v>44002.1</v>
      </c>
      <c r="H24" s="6">
        <v>46918.03</v>
      </c>
      <c r="I24" s="6">
        <v>46685.89</v>
      </c>
      <c r="J24" s="6">
        <v>43338.33</v>
      </c>
      <c r="K24" s="6">
        <v>45298.720000000001</v>
      </c>
      <c r="L24" s="6">
        <v>45641.11</v>
      </c>
      <c r="M24" s="6">
        <v>43822.89</v>
      </c>
      <c r="N24" s="6">
        <v>47358.23</v>
      </c>
      <c r="P24" t="s">
        <v>287</v>
      </c>
    </row>
    <row r="25" spans="1:18">
      <c r="A25" t="s">
        <v>17</v>
      </c>
      <c r="B25" s="6">
        <v>3183.03</v>
      </c>
      <c r="C25" s="6">
        <v>12456.24</v>
      </c>
      <c r="D25" s="6">
        <v>3947.31</v>
      </c>
      <c r="E25" s="6">
        <v>12145.97</v>
      </c>
      <c r="F25" s="6">
        <v>8573.32</v>
      </c>
      <c r="G25" s="6">
        <v>3862.77</v>
      </c>
      <c r="H25" s="6">
        <v>6309.29</v>
      </c>
      <c r="I25" s="6">
        <v>9763.7199999999993</v>
      </c>
      <c r="J25" s="6">
        <v>4685.3599999999997</v>
      </c>
      <c r="K25" s="6">
        <v>10011.52</v>
      </c>
      <c r="L25" s="6">
        <v>13604.5</v>
      </c>
      <c r="M25" s="6">
        <v>5039.1899999999996</v>
      </c>
      <c r="N25" s="6">
        <v>15391.07</v>
      </c>
      <c r="P25" s="18">
        <f>AVERAGE(B20:N20,B34:K34)</f>
        <v>2908.304347826087</v>
      </c>
      <c r="Q25" t="s">
        <v>285</v>
      </c>
      <c r="R25" s="18">
        <f>AVERAGE(B21:N21,B35:K35)</f>
        <v>375.4021739130435</v>
      </c>
    </row>
    <row r="26" spans="1:18">
      <c r="A26" t="s">
        <v>18</v>
      </c>
      <c r="B26" s="7">
        <f t="shared" ref="B26:N26" si="6">SUM(B24:B25)</f>
        <v>46271.53</v>
      </c>
      <c r="C26" s="7">
        <f t="shared" si="6"/>
        <v>59591.63</v>
      </c>
      <c r="D26" s="7">
        <f t="shared" si="6"/>
        <v>45980.939999999995</v>
      </c>
      <c r="E26" s="7">
        <f t="shared" si="6"/>
        <v>58416.43</v>
      </c>
      <c r="F26" s="7">
        <f t="shared" si="6"/>
        <v>54102.6</v>
      </c>
      <c r="G26" s="7">
        <f t="shared" si="6"/>
        <v>47864.869999999995</v>
      </c>
      <c r="H26" s="7">
        <f t="shared" si="6"/>
        <v>53227.32</v>
      </c>
      <c r="I26" s="7">
        <f t="shared" si="6"/>
        <v>56449.61</v>
      </c>
      <c r="J26" s="7">
        <f t="shared" si="6"/>
        <v>48023.69</v>
      </c>
      <c r="K26" s="7">
        <f t="shared" si="6"/>
        <v>55310.240000000005</v>
      </c>
      <c r="L26" s="7">
        <f t="shared" si="6"/>
        <v>59245.61</v>
      </c>
      <c r="M26" s="7">
        <f t="shared" si="6"/>
        <v>48862.080000000002</v>
      </c>
      <c r="N26" s="7">
        <f t="shared" si="6"/>
        <v>62749.3</v>
      </c>
    </row>
    <row r="27" spans="1:18" ht="7.5" customHeight="1"/>
    <row r="28" spans="1:18">
      <c r="A28" t="s">
        <v>19</v>
      </c>
      <c r="B28" s="8">
        <f t="shared" ref="B28:N28" si="7">B24/B20</f>
        <v>16.642912321359599</v>
      </c>
      <c r="C28" s="8">
        <f t="shared" si="7"/>
        <v>16.640914386584289</v>
      </c>
      <c r="D28" s="8">
        <f t="shared" si="7"/>
        <v>16.401767632426104</v>
      </c>
      <c r="E28" s="8">
        <f t="shared" si="7"/>
        <v>16.394883514926033</v>
      </c>
      <c r="F28" s="8">
        <f t="shared" si="7"/>
        <v>16.396607544791571</v>
      </c>
      <c r="G28" s="8">
        <f t="shared" si="7"/>
        <v>16.400335445396944</v>
      </c>
      <c r="H28" s="8">
        <f t="shared" si="7"/>
        <v>16.393441649196365</v>
      </c>
      <c r="I28" s="8">
        <f t="shared" si="7"/>
        <v>16.393956632429109</v>
      </c>
      <c r="J28" s="8">
        <f t="shared" si="7"/>
        <v>16.402055066704513</v>
      </c>
      <c r="K28" s="8">
        <f t="shared" si="7"/>
        <v>16.350377188233171</v>
      </c>
      <c r="L28" s="8">
        <f t="shared" si="7"/>
        <v>16.383778156690298</v>
      </c>
      <c r="M28" s="8">
        <f t="shared" si="7"/>
        <v>16.400782185628742</v>
      </c>
      <c r="N28" s="8">
        <f t="shared" si="7"/>
        <v>16.374182729708707</v>
      </c>
    </row>
    <row r="29" spans="1:18">
      <c r="A29" t="s">
        <v>20</v>
      </c>
      <c r="B29" s="8">
        <f t="shared" ref="B29:N30" si="8">B25/B21</f>
        <v>24.770661478599223</v>
      </c>
      <c r="C29" s="8">
        <f t="shared" si="8"/>
        <v>24.788537313432837</v>
      </c>
      <c r="D29" s="8">
        <f t="shared" si="8"/>
        <v>24.032328767123289</v>
      </c>
      <c r="E29" s="8">
        <f t="shared" si="8"/>
        <v>23.909389763779526</v>
      </c>
      <c r="F29" s="8">
        <f t="shared" si="8"/>
        <v>23.981314685314686</v>
      </c>
      <c r="G29" s="8">
        <f t="shared" si="8"/>
        <v>24.180093896713615</v>
      </c>
      <c r="H29" s="8">
        <f t="shared" si="8"/>
        <v>24.219923224568138</v>
      </c>
      <c r="I29" s="8">
        <f t="shared" si="8"/>
        <v>23.813951219512195</v>
      </c>
      <c r="J29" s="8">
        <f t="shared" si="8"/>
        <v>24.058331193838253</v>
      </c>
      <c r="K29" s="8">
        <f t="shared" si="8"/>
        <v>23.6539161252215</v>
      </c>
      <c r="L29" s="8">
        <f t="shared" si="8"/>
        <v>23.66</v>
      </c>
      <c r="M29" s="8">
        <f t="shared" si="8"/>
        <v>24.024743742550655</v>
      </c>
      <c r="N29" s="8">
        <f t="shared" si="8"/>
        <v>23.825185758513932</v>
      </c>
    </row>
    <row r="30" spans="1:18">
      <c r="A30" t="s">
        <v>21</v>
      </c>
      <c r="B30" s="9">
        <f t="shared" si="8"/>
        <v>17.027241950321987</v>
      </c>
      <c r="C30" s="9">
        <f t="shared" si="8"/>
        <v>17.868554722638681</v>
      </c>
      <c r="D30" s="9">
        <f t="shared" si="8"/>
        <v>16.861364136413641</v>
      </c>
      <c r="E30" s="9">
        <f t="shared" si="8"/>
        <v>17.541154567975376</v>
      </c>
      <c r="F30" s="9">
        <f t="shared" si="8"/>
        <v>17.261737257717158</v>
      </c>
      <c r="G30" s="9">
        <f t="shared" si="8"/>
        <v>16.837523524755955</v>
      </c>
      <c r="H30" s="9">
        <f t="shared" si="8"/>
        <v>17.046379503602882</v>
      </c>
      <c r="I30" s="9">
        <f t="shared" si="8"/>
        <v>17.327790653058091</v>
      </c>
      <c r="J30" s="9">
        <f t="shared" si="8"/>
        <v>16.927631300669724</v>
      </c>
      <c r="K30" s="9">
        <f t="shared" si="8"/>
        <v>17.318274755381605</v>
      </c>
      <c r="L30" s="9">
        <f t="shared" si="8"/>
        <v>17.628687049021796</v>
      </c>
      <c r="M30" s="9">
        <f t="shared" si="8"/>
        <v>16.955697059078684</v>
      </c>
      <c r="N30" s="9">
        <f t="shared" si="8"/>
        <v>17.734558044230905</v>
      </c>
    </row>
    <row r="31" spans="1:18" ht="7.5" customHeight="1"/>
    <row r="32" spans="1:18">
      <c r="B32" s="2">
        <f>N18+7</f>
        <v>42197</v>
      </c>
      <c r="C32" s="2">
        <f t="shared" ref="C32:N32" si="9">B32+7</f>
        <v>42204</v>
      </c>
      <c r="D32" s="2">
        <f t="shared" si="9"/>
        <v>42211</v>
      </c>
      <c r="E32" s="2">
        <f t="shared" si="9"/>
        <v>42218</v>
      </c>
      <c r="F32" s="2">
        <f t="shared" si="9"/>
        <v>42225</v>
      </c>
      <c r="G32" s="2">
        <f t="shared" si="9"/>
        <v>42232</v>
      </c>
      <c r="H32" s="2">
        <f t="shared" si="9"/>
        <v>42239</v>
      </c>
      <c r="I32" s="2">
        <f t="shared" si="9"/>
        <v>42246</v>
      </c>
      <c r="J32" s="2">
        <f t="shared" si="9"/>
        <v>42253</v>
      </c>
      <c r="K32" s="2">
        <f t="shared" si="9"/>
        <v>42260</v>
      </c>
      <c r="L32" s="10">
        <f t="shared" si="9"/>
        <v>42267</v>
      </c>
      <c r="M32" s="10">
        <f t="shared" si="9"/>
        <v>42274</v>
      </c>
      <c r="N32" s="10">
        <f t="shared" si="9"/>
        <v>42281</v>
      </c>
    </row>
    <row r="33" spans="1:14" ht="6.75" customHeight="1"/>
    <row r="34" spans="1:14">
      <c r="A34" t="s">
        <v>13</v>
      </c>
      <c r="B34" s="4">
        <v>3017.25</v>
      </c>
      <c r="C34" s="4">
        <v>2990</v>
      </c>
      <c r="D34" s="4">
        <v>3170.25</v>
      </c>
      <c r="E34" s="4">
        <v>3092.75</v>
      </c>
      <c r="F34" s="4">
        <v>3184.5</v>
      </c>
      <c r="G34" s="4">
        <v>3208.5</v>
      </c>
      <c r="H34" s="4">
        <v>3110.75</v>
      </c>
      <c r="I34" s="4">
        <v>3151.25</v>
      </c>
      <c r="J34" s="4">
        <v>3202.75</v>
      </c>
      <c r="K34" s="4">
        <v>3024.25</v>
      </c>
      <c r="L34" s="4"/>
      <c r="M34" s="4"/>
      <c r="N34" s="4"/>
    </row>
    <row r="35" spans="1:14">
      <c r="A35" t="s">
        <v>14</v>
      </c>
      <c r="B35" s="4">
        <v>407.5</v>
      </c>
      <c r="C35" s="4">
        <v>349.5</v>
      </c>
      <c r="D35" s="4">
        <v>472.75</v>
      </c>
      <c r="E35" s="4">
        <v>356</v>
      </c>
      <c r="F35" s="4">
        <v>491.25</v>
      </c>
      <c r="G35" s="4">
        <v>520.25</v>
      </c>
      <c r="H35" s="4">
        <v>389</v>
      </c>
      <c r="I35" s="4">
        <v>424.75</v>
      </c>
      <c r="J35" s="4">
        <v>560.5</v>
      </c>
      <c r="K35" s="4">
        <v>123</v>
      </c>
      <c r="L35" s="4"/>
      <c r="M35" s="4"/>
      <c r="N35" s="4"/>
    </row>
    <row r="36" spans="1:14">
      <c r="A36" t="s">
        <v>15</v>
      </c>
      <c r="B36" s="5">
        <f t="shared" ref="B36:N36" si="10">SUM(B34:B35)</f>
        <v>3424.75</v>
      </c>
      <c r="C36" s="5">
        <f t="shared" si="10"/>
        <v>3339.5</v>
      </c>
      <c r="D36" s="5">
        <f t="shared" si="10"/>
        <v>3643</v>
      </c>
      <c r="E36" s="5">
        <f t="shared" si="10"/>
        <v>3448.75</v>
      </c>
      <c r="F36" s="5">
        <f t="shared" si="10"/>
        <v>3675.75</v>
      </c>
      <c r="G36" s="5">
        <f t="shared" si="10"/>
        <v>3728.75</v>
      </c>
      <c r="H36" s="5">
        <f t="shared" si="10"/>
        <v>3499.75</v>
      </c>
      <c r="I36" s="5">
        <f t="shared" si="10"/>
        <v>3576</v>
      </c>
      <c r="J36" s="5">
        <f t="shared" si="10"/>
        <v>3763.25</v>
      </c>
      <c r="K36" s="5">
        <f t="shared" si="10"/>
        <v>3147.25</v>
      </c>
      <c r="L36" s="5">
        <f t="shared" si="10"/>
        <v>0</v>
      </c>
      <c r="M36" s="5">
        <f t="shared" si="10"/>
        <v>0</v>
      </c>
      <c r="N36" s="5">
        <f t="shared" si="10"/>
        <v>0</v>
      </c>
    </row>
    <row r="37" spans="1:14" ht="6.75" customHeight="1"/>
    <row r="38" spans="1:14">
      <c r="A38" t="s">
        <v>16</v>
      </c>
      <c r="B38" s="6">
        <v>49445.18</v>
      </c>
      <c r="C38" s="6">
        <v>49003.11</v>
      </c>
      <c r="D38" s="6">
        <v>51880.19</v>
      </c>
      <c r="E38" s="6">
        <v>50622.19</v>
      </c>
      <c r="F38" s="6">
        <v>52218.16</v>
      </c>
      <c r="G38" s="6">
        <v>52562.47</v>
      </c>
      <c r="H38" s="6">
        <v>50970.13</v>
      </c>
      <c r="I38" s="6">
        <v>51653.54</v>
      </c>
      <c r="J38" s="6">
        <v>52468.800000000003</v>
      </c>
      <c r="K38" s="6">
        <v>49513.75</v>
      </c>
      <c r="L38" s="6"/>
      <c r="M38" s="6"/>
      <c r="N38" s="6"/>
    </row>
    <row r="39" spans="1:14">
      <c r="A39" t="s">
        <v>17</v>
      </c>
      <c r="B39" s="6">
        <v>9734.83</v>
      </c>
      <c r="C39" s="6">
        <v>8375.26</v>
      </c>
      <c r="D39" s="6">
        <v>11233.87</v>
      </c>
      <c r="E39" s="6">
        <v>8514.41</v>
      </c>
      <c r="F39" s="6">
        <v>11753.64</v>
      </c>
      <c r="G39" s="6">
        <v>12397</v>
      </c>
      <c r="H39" s="6">
        <v>9332.7999999999993</v>
      </c>
      <c r="I39" s="6">
        <v>10107.83</v>
      </c>
      <c r="J39" s="6">
        <v>13382.89</v>
      </c>
      <c r="K39" s="6">
        <v>2969.5</v>
      </c>
      <c r="L39" s="6"/>
      <c r="M39" s="6"/>
      <c r="N39" s="6"/>
    </row>
    <row r="40" spans="1:14">
      <c r="A40" t="s">
        <v>18</v>
      </c>
      <c r="B40" s="7">
        <f t="shared" ref="B40:N40" si="11">SUM(B38:B39)</f>
        <v>59180.01</v>
      </c>
      <c r="C40" s="7">
        <f t="shared" si="11"/>
        <v>57378.37</v>
      </c>
      <c r="D40" s="7">
        <f t="shared" si="11"/>
        <v>63114.060000000005</v>
      </c>
      <c r="E40" s="7">
        <f t="shared" si="11"/>
        <v>59136.600000000006</v>
      </c>
      <c r="F40" s="7">
        <f t="shared" si="11"/>
        <v>63971.8</v>
      </c>
      <c r="G40" s="7">
        <f t="shared" si="11"/>
        <v>64959.47</v>
      </c>
      <c r="H40" s="7">
        <f t="shared" si="11"/>
        <v>60302.929999999993</v>
      </c>
      <c r="I40" s="7">
        <f t="shared" si="11"/>
        <v>61761.37</v>
      </c>
      <c r="J40" s="7">
        <f t="shared" si="11"/>
        <v>65851.69</v>
      </c>
      <c r="K40" s="7">
        <f t="shared" si="11"/>
        <v>52483.25</v>
      </c>
      <c r="L40" s="7">
        <f t="shared" si="11"/>
        <v>0</v>
      </c>
      <c r="M40" s="7">
        <f t="shared" si="11"/>
        <v>0</v>
      </c>
      <c r="N40" s="7">
        <f t="shared" si="11"/>
        <v>0</v>
      </c>
    </row>
    <row r="41" spans="1:14" ht="8.25" customHeight="1"/>
    <row r="42" spans="1:14">
      <c r="A42" t="s">
        <v>19</v>
      </c>
      <c r="B42" s="8">
        <f t="shared" ref="B42:N44" si="12">B38/B34</f>
        <v>16.387498550004143</v>
      </c>
      <c r="C42" s="8">
        <f t="shared" si="12"/>
        <v>16.388999999999999</v>
      </c>
      <c r="D42" s="8">
        <f t="shared" si="12"/>
        <v>16.364699944799305</v>
      </c>
      <c r="E42" s="8">
        <f t="shared" si="12"/>
        <v>16.368018753536496</v>
      </c>
      <c r="F42" s="8">
        <f t="shared" si="12"/>
        <v>16.39760087925891</v>
      </c>
      <c r="G42" s="8">
        <f t="shared" si="12"/>
        <v>16.382256506155525</v>
      </c>
      <c r="H42" s="8">
        <f t="shared" si="12"/>
        <v>16.385157920115727</v>
      </c>
      <c r="I42" s="8">
        <f t="shared" si="12"/>
        <v>16.391444664815548</v>
      </c>
      <c r="J42" s="8">
        <f t="shared" si="12"/>
        <v>16.382421356646631</v>
      </c>
      <c r="K42" s="8">
        <f t="shared" si="12"/>
        <v>16.372241051500371</v>
      </c>
      <c r="L42" s="8" t="e">
        <f t="shared" si="12"/>
        <v>#DIV/0!</v>
      </c>
      <c r="M42" s="8" t="e">
        <f t="shared" si="12"/>
        <v>#DIV/0!</v>
      </c>
      <c r="N42" s="8" t="e">
        <f t="shared" si="12"/>
        <v>#DIV/0!</v>
      </c>
    </row>
    <row r="43" spans="1:14">
      <c r="A43" t="s">
        <v>20</v>
      </c>
      <c r="B43" s="8">
        <f t="shared" si="12"/>
        <v>23.889153374233128</v>
      </c>
      <c r="C43" s="8">
        <f t="shared" si="12"/>
        <v>23.963547925608012</v>
      </c>
      <c r="D43" s="8">
        <f t="shared" si="12"/>
        <v>23.762813326282391</v>
      </c>
      <c r="E43" s="8">
        <f t="shared" si="12"/>
        <v>23.91688202247191</v>
      </c>
      <c r="F43" s="8">
        <f t="shared" si="12"/>
        <v>23.925984732824425</v>
      </c>
      <c r="G43" s="8">
        <f t="shared" si="12"/>
        <v>23.828928399807786</v>
      </c>
      <c r="H43" s="8">
        <f t="shared" si="12"/>
        <v>23.991773778920308</v>
      </c>
      <c r="I43" s="8">
        <f t="shared" si="12"/>
        <v>23.797127722189522</v>
      </c>
      <c r="J43" s="8">
        <f t="shared" si="12"/>
        <v>23.876699375557536</v>
      </c>
      <c r="K43" s="8">
        <f t="shared" si="12"/>
        <v>24.142276422764226</v>
      </c>
      <c r="L43" s="8" t="e">
        <f t="shared" si="12"/>
        <v>#DIV/0!</v>
      </c>
      <c r="M43" s="8" t="e">
        <f t="shared" si="12"/>
        <v>#DIV/0!</v>
      </c>
      <c r="N43" s="8" t="e">
        <f t="shared" si="12"/>
        <v>#DIV/0!</v>
      </c>
    </row>
    <row r="44" spans="1:14">
      <c r="A44" t="s">
        <v>21</v>
      </c>
      <c r="B44" s="9">
        <f t="shared" si="12"/>
        <v>17.280096357398349</v>
      </c>
      <c r="C44" s="9">
        <f t="shared" si="12"/>
        <v>17.181724809103159</v>
      </c>
      <c r="D44" s="9">
        <f t="shared" si="12"/>
        <v>17.324748833379086</v>
      </c>
      <c r="E44" s="9">
        <f t="shared" si="12"/>
        <v>17.147256252265315</v>
      </c>
      <c r="F44" s="9">
        <f t="shared" si="12"/>
        <v>17.403740733183703</v>
      </c>
      <c r="G44" s="9">
        <f t="shared" si="12"/>
        <v>17.421245725779418</v>
      </c>
      <c r="H44" s="9">
        <f t="shared" si="12"/>
        <v>17.230639331380811</v>
      </c>
      <c r="I44" s="9">
        <f t="shared" si="12"/>
        <v>17.271076621923939</v>
      </c>
      <c r="J44" s="9">
        <f t="shared" si="12"/>
        <v>17.498622201554507</v>
      </c>
      <c r="K44" s="9">
        <f t="shared" si="12"/>
        <v>16.67590753832711</v>
      </c>
      <c r="L44" s="9" t="e">
        <f t="shared" si="12"/>
        <v>#DIV/0!</v>
      </c>
      <c r="M44" s="9" t="e">
        <f t="shared" si="12"/>
        <v>#DIV/0!</v>
      </c>
      <c r="N44" s="9" t="e">
        <f t="shared" si="12"/>
        <v>#DIV/0!</v>
      </c>
    </row>
    <row r="45" spans="1:14" ht="9" customHeight="1"/>
    <row r="46" spans="1:14">
      <c r="B46" s="10">
        <f>N32+7</f>
        <v>42288</v>
      </c>
      <c r="C46" s="10">
        <f t="shared" ref="C46:N46" si="13">B46+7</f>
        <v>42295</v>
      </c>
      <c r="D46" s="10">
        <f t="shared" si="13"/>
        <v>42302</v>
      </c>
      <c r="E46" s="10">
        <f t="shared" si="13"/>
        <v>42309</v>
      </c>
      <c r="F46" s="10">
        <f t="shared" si="13"/>
        <v>42316</v>
      </c>
      <c r="G46" s="10">
        <f t="shared" si="13"/>
        <v>42323</v>
      </c>
      <c r="H46" s="10">
        <f t="shared" si="13"/>
        <v>42330</v>
      </c>
      <c r="I46" s="10">
        <f t="shared" si="13"/>
        <v>42337</v>
      </c>
      <c r="J46" s="10">
        <f t="shared" si="13"/>
        <v>42344</v>
      </c>
      <c r="K46" s="10">
        <f t="shared" si="13"/>
        <v>42351</v>
      </c>
      <c r="L46" s="10">
        <f t="shared" si="13"/>
        <v>42358</v>
      </c>
      <c r="M46" s="10">
        <f t="shared" si="13"/>
        <v>42365</v>
      </c>
      <c r="N46" s="10">
        <f t="shared" si="13"/>
        <v>42372</v>
      </c>
    </row>
    <row r="47" spans="1:14" ht="7.5" customHeight="1"/>
    <row r="48" spans="1:14">
      <c r="A48" t="s">
        <v>13</v>
      </c>
      <c r="B48" s="4"/>
      <c r="C48" s="4"/>
      <c r="D48" s="4"/>
      <c r="E48" s="4"/>
      <c r="F48" s="4"/>
      <c r="G48" s="4"/>
      <c r="H48" s="4"/>
      <c r="I48" s="4"/>
      <c r="J48" s="4"/>
      <c r="K48" s="4"/>
      <c r="L48" s="4"/>
      <c r="M48" s="4"/>
      <c r="N48" s="4"/>
    </row>
    <row r="49" spans="1:14">
      <c r="A49" t="s">
        <v>14</v>
      </c>
      <c r="B49" s="4"/>
      <c r="C49" s="4"/>
      <c r="D49" s="4"/>
      <c r="E49" s="4"/>
      <c r="F49" s="4"/>
      <c r="G49" s="4"/>
      <c r="H49" s="4"/>
      <c r="I49" s="4"/>
      <c r="J49" s="4"/>
      <c r="K49" s="4"/>
      <c r="L49" s="4"/>
      <c r="M49" s="4"/>
      <c r="N49" s="4"/>
    </row>
    <row r="50" spans="1:14">
      <c r="A50" t="s">
        <v>15</v>
      </c>
      <c r="B50" s="5">
        <f t="shared" ref="B50:N50" si="14">SUM(B48:B49)</f>
        <v>0</v>
      </c>
      <c r="C50" s="5">
        <f t="shared" si="14"/>
        <v>0</v>
      </c>
      <c r="D50" s="5">
        <f t="shared" si="14"/>
        <v>0</v>
      </c>
      <c r="E50" s="5">
        <f t="shared" si="14"/>
        <v>0</v>
      </c>
      <c r="F50" s="5">
        <f t="shared" si="14"/>
        <v>0</v>
      </c>
      <c r="G50" s="5">
        <f t="shared" si="14"/>
        <v>0</v>
      </c>
      <c r="H50" s="5">
        <f t="shared" si="14"/>
        <v>0</v>
      </c>
      <c r="I50" s="5">
        <f t="shared" si="14"/>
        <v>0</v>
      </c>
      <c r="J50" s="5">
        <f t="shared" si="14"/>
        <v>0</v>
      </c>
      <c r="K50" s="5">
        <f t="shared" si="14"/>
        <v>0</v>
      </c>
      <c r="L50" s="5">
        <f t="shared" si="14"/>
        <v>0</v>
      </c>
      <c r="M50" s="5">
        <f t="shared" si="14"/>
        <v>0</v>
      </c>
      <c r="N50" s="5">
        <f t="shared" si="14"/>
        <v>0</v>
      </c>
    </row>
    <row r="51" spans="1:14" ht="6.75" customHeight="1"/>
    <row r="52" spans="1:14">
      <c r="A52" t="s">
        <v>16</v>
      </c>
      <c r="B52" s="6"/>
      <c r="C52" s="6"/>
      <c r="D52" s="6"/>
      <c r="E52" s="6"/>
      <c r="F52" s="6"/>
      <c r="G52" s="6"/>
      <c r="H52" s="6"/>
      <c r="I52" s="6"/>
      <c r="J52" s="6"/>
      <c r="K52" s="6"/>
      <c r="L52" s="6"/>
      <c r="M52" s="6"/>
      <c r="N52" s="6"/>
    </row>
    <row r="53" spans="1:14">
      <c r="A53" t="s">
        <v>17</v>
      </c>
      <c r="B53" s="6"/>
      <c r="C53" s="6"/>
      <c r="D53" s="6"/>
      <c r="E53" s="6"/>
      <c r="F53" s="6"/>
      <c r="G53" s="6"/>
      <c r="H53" s="6"/>
      <c r="I53" s="6"/>
      <c r="J53" s="6"/>
      <c r="K53" s="6"/>
      <c r="L53" s="6"/>
      <c r="M53" s="6"/>
      <c r="N53" s="6"/>
    </row>
    <row r="54" spans="1:14">
      <c r="A54" t="s">
        <v>18</v>
      </c>
      <c r="B54" s="7">
        <f t="shared" ref="B54:N54" si="15">SUM(B52:B53)</f>
        <v>0</v>
      </c>
      <c r="C54" s="7">
        <f t="shared" si="15"/>
        <v>0</v>
      </c>
      <c r="D54" s="7">
        <f t="shared" si="15"/>
        <v>0</v>
      </c>
      <c r="E54" s="7">
        <f t="shared" si="15"/>
        <v>0</v>
      </c>
      <c r="F54" s="7">
        <f t="shared" si="15"/>
        <v>0</v>
      </c>
      <c r="G54" s="7">
        <f t="shared" si="15"/>
        <v>0</v>
      </c>
      <c r="H54" s="7">
        <f t="shared" si="15"/>
        <v>0</v>
      </c>
      <c r="I54" s="7">
        <f t="shared" si="15"/>
        <v>0</v>
      </c>
      <c r="J54" s="7">
        <f t="shared" si="15"/>
        <v>0</v>
      </c>
      <c r="K54" s="7">
        <f t="shared" si="15"/>
        <v>0</v>
      </c>
      <c r="L54" s="7">
        <f t="shared" si="15"/>
        <v>0</v>
      </c>
      <c r="M54" s="7">
        <f t="shared" si="15"/>
        <v>0</v>
      </c>
      <c r="N54" s="7">
        <f t="shared" si="15"/>
        <v>0</v>
      </c>
    </row>
    <row r="55" spans="1:14" ht="8.25" customHeight="1"/>
    <row r="56" spans="1:14">
      <c r="A56" t="s">
        <v>19</v>
      </c>
      <c r="B56" s="8" t="e">
        <f t="shared" ref="B56:N58" si="16">B52/B48</f>
        <v>#DIV/0!</v>
      </c>
      <c r="C56" s="8" t="e">
        <f t="shared" si="16"/>
        <v>#DIV/0!</v>
      </c>
      <c r="D56" s="8" t="e">
        <f t="shared" si="16"/>
        <v>#DIV/0!</v>
      </c>
      <c r="E56" s="8" t="e">
        <f t="shared" si="16"/>
        <v>#DIV/0!</v>
      </c>
      <c r="F56" s="8" t="e">
        <f t="shared" si="16"/>
        <v>#DIV/0!</v>
      </c>
      <c r="G56" s="8" t="e">
        <f t="shared" si="16"/>
        <v>#DIV/0!</v>
      </c>
      <c r="H56" s="8" t="e">
        <f t="shared" si="16"/>
        <v>#DIV/0!</v>
      </c>
      <c r="I56" s="8" t="e">
        <f t="shared" si="16"/>
        <v>#DIV/0!</v>
      </c>
      <c r="J56" s="8" t="e">
        <f t="shared" si="16"/>
        <v>#DIV/0!</v>
      </c>
      <c r="K56" s="8" t="e">
        <f t="shared" si="16"/>
        <v>#DIV/0!</v>
      </c>
      <c r="L56" s="8" t="e">
        <f t="shared" si="16"/>
        <v>#DIV/0!</v>
      </c>
      <c r="M56" s="8" t="e">
        <f t="shared" si="16"/>
        <v>#DIV/0!</v>
      </c>
      <c r="N56" s="8" t="e">
        <f t="shared" si="16"/>
        <v>#DIV/0!</v>
      </c>
    </row>
    <row r="57" spans="1:14">
      <c r="A57" t="s">
        <v>20</v>
      </c>
      <c r="B57" s="8" t="e">
        <f t="shared" si="16"/>
        <v>#DIV/0!</v>
      </c>
      <c r="C57" s="8" t="e">
        <f t="shared" si="16"/>
        <v>#DIV/0!</v>
      </c>
      <c r="D57" s="8" t="e">
        <f t="shared" si="16"/>
        <v>#DIV/0!</v>
      </c>
      <c r="E57" s="8" t="e">
        <f t="shared" si="16"/>
        <v>#DIV/0!</v>
      </c>
      <c r="F57" s="8" t="e">
        <f t="shared" si="16"/>
        <v>#DIV/0!</v>
      </c>
      <c r="G57" s="8" t="e">
        <f t="shared" si="16"/>
        <v>#DIV/0!</v>
      </c>
      <c r="H57" s="8" t="e">
        <f t="shared" si="16"/>
        <v>#DIV/0!</v>
      </c>
      <c r="I57" s="8" t="e">
        <f t="shared" si="16"/>
        <v>#DIV/0!</v>
      </c>
      <c r="J57" s="8" t="e">
        <f t="shared" si="16"/>
        <v>#DIV/0!</v>
      </c>
      <c r="K57" s="8" t="e">
        <f t="shared" si="16"/>
        <v>#DIV/0!</v>
      </c>
      <c r="L57" s="8" t="e">
        <f t="shared" si="16"/>
        <v>#DIV/0!</v>
      </c>
      <c r="M57" s="8" t="e">
        <f t="shared" si="16"/>
        <v>#DIV/0!</v>
      </c>
      <c r="N57" s="8" t="e">
        <f t="shared" si="16"/>
        <v>#DIV/0!</v>
      </c>
    </row>
    <row r="58" spans="1:14">
      <c r="A58" t="s">
        <v>21</v>
      </c>
      <c r="B58" s="9" t="e">
        <f t="shared" si="16"/>
        <v>#DIV/0!</v>
      </c>
      <c r="C58" s="9" t="e">
        <f t="shared" si="16"/>
        <v>#DIV/0!</v>
      </c>
      <c r="D58" s="9" t="e">
        <f t="shared" si="16"/>
        <v>#DIV/0!</v>
      </c>
      <c r="E58" s="9" t="e">
        <f t="shared" si="16"/>
        <v>#DIV/0!</v>
      </c>
      <c r="F58" s="9" t="e">
        <f t="shared" si="16"/>
        <v>#DIV/0!</v>
      </c>
      <c r="G58" s="9" t="e">
        <f t="shared" si="16"/>
        <v>#DIV/0!</v>
      </c>
      <c r="H58" s="9" t="e">
        <f t="shared" si="16"/>
        <v>#DIV/0!</v>
      </c>
      <c r="I58" s="9" t="e">
        <f t="shared" si="16"/>
        <v>#DIV/0!</v>
      </c>
      <c r="J58" s="9" t="e">
        <f t="shared" si="16"/>
        <v>#DIV/0!</v>
      </c>
      <c r="K58" s="9" t="e">
        <f t="shared" si="16"/>
        <v>#DIV/0!</v>
      </c>
      <c r="L58" s="9" t="e">
        <f t="shared" si="16"/>
        <v>#DIV/0!</v>
      </c>
      <c r="M58" s="9" t="e">
        <f t="shared" si="16"/>
        <v>#DIV/0!</v>
      </c>
      <c r="N58" s="9" t="e">
        <f t="shared" si="16"/>
        <v>#DIV/0!</v>
      </c>
    </row>
  </sheetData>
  <pageMargins left="0.2" right="0.2" top="0.25" bottom="0.25" header="0.3" footer="0.3"/>
  <pageSetup scale="87" fitToHeight="0" orientation="landscape"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62"/>
  <sheetViews>
    <sheetView tabSelected="1" topLeftCell="A57" workbookViewId="0">
      <selection activeCell="D81" sqref="D81:P81"/>
    </sheetView>
  </sheetViews>
  <sheetFormatPr defaultRowHeight="15"/>
  <cols>
    <col min="1" max="1" width="8.5703125" bestFit="1" customWidth="1"/>
    <col min="2" max="2" width="27.7109375" bestFit="1" customWidth="1"/>
    <col min="3" max="3" width="3.140625" bestFit="1" customWidth="1"/>
    <col min="4" max="4" width="10" bestFit="1" customWidth="1"/>
    <col min="5" max="13" width="11" bestFit="1" customWidth="1"/>
    <col min="14" max="15" width="13.42578125" bestFit="1" customWidth="1"/>
    <col min="16" max="16" width="11" bestFit="1" customWidth="1"/>
  </cols>
  <sheetData>
    <row r="1" spans="1:16">
      <c r="A1" s="22" t="s">
        <v>48</v>
      </c>
      <c r="B1" t="s">
        <v>49</v>
      </c>
      <c r="N1" t="s">
        <v>50</v>
      </c>
      <c r="O1" t="s">
        <v>81</v>
      </c>
      <c r="P1" t="s">
        <v>51</v>
      </c>
    </row>
    <row r="2" spans="1:16">
      <c r="A2" s="22" t="s">
        <v>52</v>
      </c>
      <c r="B2" t="s">
        <v>53</v>
      </c>
      <c r="C2" t="s">
        <v>54</v>
      </c>
      <c r="N2" t="s">
        <v>55</v>
      </c>
      <c r="O2" t="s">
        <v>82</v>
      </c>
      <c r="P2">
        <v>0</v>
      </c>
    </row>
    <row r="3" spans="1:16">
      <c r="A3" s="22" t="s">
        <v>83</v>
      </c>
      <c r="B3" t="s">
        <v>84</v>
      </c>
      <c r="N3" t="s">
        <v>85</v>
      </c>
      <c r="O3" t="s">
        <v>86</v>
      </c>
      <c r="P3" t="s">
        <v>229</v>
      </c>
    </row>
    <row r="4" spans="1:16">
      <c r="A4" s="22" t="s">
        <v>56</v>
      </c>
      <c r="B4" t="s">
        <v>57</v>
      </c>
      <c r="N4" t="s">
        <v>87</v>
      </c>
    </row>
    <row r="5" spans="1:16">
      <c r="A5" s="21"/>
    </row>
    <row r="6" spans="1:16">
      <c r="A6" s="22" t="s">
        <v>58</v>
      </c>
      <c r="B6" t="s">
        <v>59</v>
      </c>
      <c r="D6" t="s">
        <v>56</v>
      </c>
      <c r="E6" t="s">
        <v>60</v>
      </c>
      <c r="F6" t="s">
        <v>61</v>
      </c>
      <c r="G6" t="s">
        <v>62</v>
      </c>
      <c r="H6" t="s">
        <v>63</v>
      </c>
      <c r="I6" t="s">
        <v>64</v>
      </c>
      <c r="J6" t="s">
        <v>65</v>
      </c>
      <c r="K6" t="s">
        <v>66</v>
      </c>
      <c r="L6" t="s">
        <v>67</v>
      </c>
      <c r="M6" t="s">
        <v>79</v>
      </c>
      <c r="N6" t="s">
        <v>80</v>
      </c>
      <c r="O6" t="s">
        <v>68</v>
      </c>
      <c r="P6" t="s">
        <v>56</v>
      </c>
    </row>
    <row r="7" spans="1:16">
      <c r="A7" s="22" t="s">
        <v>69</v>
      </c>
      <c r="B7" t="s">
        <v>70</v>
      </c>
      <c r="C7" t="s">
        <v>98</v>
      </c>
      <c r="D7" t="s">
        <v>72</v>
      </c>
      <c r="E7" t="s">
        <v>71</v>
      </c>
      <c r="F7" t="s">
        <v>71</v>
      </c>
      <c r="G7" t="s">
        <v>71</v>
      </c>
      <c r="H7" t="s">
        <v>71</v>
      </c>
      <c r="I7" t="s">
        <v>71</v>
      </c>
      <c r="J7" t="s">
        <v>71</v>
      </c>
      <c r="K7" t="s">
        <v>71</v>
      </c>
      <c r="L7" t="s">
        <v>71</v>
      </c>
      <c r="M7" t="s">
        <v>71</v>
      </c>
      <c r="N7" t="s">
        <v>71</v>
      </c>
      <c r="O7" t="s">
        <v>71</v>
      </c>
      <c r="P7" t="s">
        <v>71</v>
      </c>
    </row>
    <row r="8" spans="1:16">
      <c r="A8" s="21"/>
    </row>
    <row r="9" spans="1:16">
      <c r="A9" s="22">
        <v>90015</v>
      </c>
      <c r="B9" t="s">
        <v>73</v>
      </c>
      <c r="D9">
        <v>23.25</v>
      </c>
      <c r="E9">
        <v>23</v>
      </c>
      <c r="F9">
        <v>22.25</v>
      </c>
      <c r="G9">
        <v>24</v>
      </c>
      <c r="H9">
        <v>23</v>
      </c>
      <c r="I9">
        <v>22.25</v>
      </c>
      <c r="J9">
        <v>23</v>
      </c>
      <c r="K9">
        <v>23</v>
      </c>
      <c r="L9">
        <v>21</v>
      </c>
      <c r="M9">
        <v>23.25</v>
      </c>
      <c r="N9">
        <v>24</v>
      </c>
      <c r="O9">
        <v>21.25</v>
      </c>
      <c r="P9">
        <v>24</v>
      </c>
    </row>
    <row r="10" spans="1:16">
      <c r="A10" s="21"/>
    </row>
    <row r="11" spans="1:16">
      <c r="A11" s="22"/>
      <c r="B11" t="s">
        <v>89</v>
      </c>
    </row>
    <row r="12" spans="1:16">
      <c r="A12" s="22">
        <v>306400</v>
      </c>
      <c r="B12" t="s">
        <v>90</v>
      </c>
      <c r="D12">
        <v>0</v>
      </c>
      <c r="E12">
        <v>0</v>
      </c>
      <c r="F12">
        <v>0</v>
      </c>
      <c r="G12">
        <v>0</v>
      </c>
      <c r="H12">
        <v>0</v>
      </c>
      <c r="I12">
        <v>0</v>
      </c>
      <c r="J12">
        <v>0</v>
      </c>
      <c r="K12">
        <v>0</v>
      </c>
      <c r="L12">
        <v>0</v>
      </c>
      <c r="M12">
        <v>0</v>
      </c>
      <c r="N12">
        <v>0</v>
      </c>
      <c r="O12">
        <v>0</v>
      </c>
      <c r="P12">
        <v>0</v>
      </c>
    </row>
    <row r="13" spans="1:16">
      <c r="A13" s="22">
        <v>64200</v>
      </c>
      <c r="B13" t="s">
        <v>91</v>
      </c>
      <c r="D13">
        <v>0</v>
      </c>
      <c r="E13">
        <v>0</v>
      </c>
      <c r="F13">
        <v>0</v>
      </c>
      <c r="G13">
        <v>0</v>
      </c>
      <c r="H13">
        <v>0</v>
      </c>
      <c r="I13">
        <v>0</v>
      </c>
      <c r="J13">
        <v>0</v>
      </c>
      <c r="K13">
        <v>0</v>
      </c>
      <c r="L13">
        <v>0</v>
      </c>
      <c r="M13">
        <v>0</v>
      </c>
      <c r="N13">
        <v>0</v>
      </c>
      <c r="O13">
        <v>0</v>
      </c>
      <c r="P13">
        <v>0</v>
      </c>
    </row>
    <row r="14" spans="1:16">
      <c r="A14" s="22"/>
      <c r="B14" t="s">
        <v>92</v>
      </c>
      <c r="D14">
        <v>0</v>
      </c>
      <c r="E14">
        <v>0</v>
      </c>
      <c r="F14">
        <v>0</v>
      </c>
      <c r="G14">
        <v>0</v>
      </c>
      <c r="H14">
        <v>0</v>
      </c>
      <c r="I14">
        <v>0</v>
      </c>
      <c r="J14">
        <v>0</v>
      </c>
      <c r="K14">
        <v>0</v>
      </c>
      <c r="L14">
        <v>0</v>
      </c>
      <c r="M14">
        <v>0</v>
      </c>
      <c r="N14">
        <v>0</v>
      </c>
      <c r="O14">
        <v>0</v>
      </c>
      <c r="P14">
        <v>0</v>
      </c>
    </row>
    <row r="15" spans="1:16">
      <c r="A15" s="22"/>
      <c r="B15" t="s">
        <v>93</v>
      </c>
      <c r="D15">
        <v>0</v>
      </c>
      <c r="E15">
        <v>0</v>
      </c>
      <c r="F15">
        <v>0</v>
      </c>
      <c r="G15">
        <v>0</v>
      </c>
      <c r="H15">
        <v>0</v>
      </c>
      <c r="I15">
        <v>0</v>
      </c>
      <c r="J15">
        <v>0</v>
      </c>
      <c r="K15">
        <v>0</v>
      </c>
      <c r="L15">
        <v>0</v>
      </c>
      <c r="M15">
        <v>0</v>
      </c>
      <c r="N15">
        <v>0</v>
      </c>
      <c r="O15">
        <v>0</v>
      </c>
      <c r="P15">
        <v>0</v>
      </c>
    </row>
    <row r="16" spans="1:16">
      <c r="A16" s="21"/>
    </row>
    <row r="17" spans="1:16">
      <c r="A17" s="22">
        <v>316400</v>
      </c>
      <c r="B17" t="s">
        <v>94</v>
      </c>
      <c r="D17">
        <v>0</v>
      </c>
      <c r="E17">
        <v>0</v>
      </c>
      <c r="F17">
        <v>0</v>
      </c>
      <c r="G17">
        <v>0</v>
      </c>
      <c r="H17">
        <v>0</v>
      </c>
      <c r="I17">
        <v>0</v>
      </c>
      <c r="J17">
        <v>0</v>
      </c>
      <c r="K17">
        <v>0</v>
      </c>
      <c r="L17">
        <v>0</v>
      </c>
      <c r="M17">
        <v>0</v>
      </c>
      <c r="N17">
        <v>0</v>
      </c>
      <c r="O17">
        <v>0</v>
      </c>
      <c r="P17">
        <v>0</v>
      </c>
    </row>
    <row r="18" spans="1:16">
      <c r="A18" s="22">
        <v>64201</v>
      </c>
      <c r="B18" t="s">
        <v>95</v>
      </c>
      <c r="D18">
        <v>0</v>
      </c>
      <c r="E18">
        <v>0</v>
      </c>
      <c r="F18">
        <v>0</v>
      </c>
      <c r="G18">
        <v>0</v>
      </c>
      <c r="H18">
        <v>0</v>
      </c>
      <c r="I18">
        <v>0</v>
      </c>
      <c r="J18">
        <v>0</v>
      </c>
      <c r="K18">
        <v>0</v>
      </c>
      <c r="L18">
        <v>0</v>
      </c>
      <c r="M18">
        <v>0</v>
      </c>
      <c r="N18">
        <v>0</v>
      </c>
      <c r="O18">
        <v>0</v>
      </c>
      <c r="P18">
        <v>0</v>
      </c>
    </row>
    <row r="19" spans="1:16">
      <c r="A19" s="22"/>
      <c r="B19" t="s">
        <v>96</v>
      </c>
      <c r="D19">
        <v>0</v>
      </c>
      <c r="E19">
        <v>0</v>
      </c>
      <c r="F19">
        <v>0</v>
      </c>
      <c r="G19">
        <v>0</v>
      </c>
      <c r="H19">
        <v>0</v>
      </c>
      <c r="I19">
        <v>0</v>
      </c>
      <c r="J19">
        <v>0</v>
      </c>
      <c r="K19">
        <v>0</v>
      </c>
      <c r="L19">
        <v>0</v>
      </c>
      <c r="M19">
        <v>0</v>
      </c>
      <c r="N19">
        <v>0</v>
      </c>
      <c r="O19">
        <v>0</v>
      </c>
      <c r="P19">
        <v>0</v>
      </c>
    </row>
    <row r="20" spans="1:16">
      <c r="A20" s="22"/>
      <c r="B20" t="s">
        <v>97</v>
      </c>
      <c r="D20">
        <v>0</v>
      </c>
      <c r="E20">
        <v>0</v>
      </c>
      <c r="F20">
        <v>0</v>
      </c>
      <c r="G20">
        <v>0</v>
      </c>
      <c r="H20">
        <v>0</v>
      </c>
      <c r="I20">
        <v>0</v>
      </c>
      <c r="J20">
        <v>0</v>
      </c>
      <c r="K20">
        <v>0</v>
      </c>
      <c r="L20">
        <v>0</v>
      </c>
      <c r="M20">
        <v>0</v>
      </c>
      <c r="N20">
        <v>0</v>
      </c>
      <c r="O20">
        <v>0</v>
      </c>
      <c r="P20">
        <v>0</v>
      </c>
    </row>
    <row r="21" spans="1:16">
      <c r="A21" s="22"/>
      <c r="C21" t="s">
        <v>98</v>
      </c>
      <c r="D21" t="s">
        <v>88</v>
      </c>
      <c r="E21" t="s">
        <v>72</v>
      </c>
      <c r="F21" t="s">
        <v>72</v>
      </c>
      <c r="G21" t="s">
        <v>72</v>
      </c>
      <c r="H21" t="s">
        <v>72</v>
      </c>
      <c r="I21" t="s">
        <v>72</v>
      </c>
      <c r="J21" t="s">
        <v>72</v>
      </c>
      <c r="K21" t="s">
        <v>72</v>
      </c>
      <c r="L21" t="s">
        <v>72</v>
      </c>
      <c r="M21" t="s">
        <v>72</v>
      </c>
      <c r="N21" t="s">
        <v>72</v>
      </c>
      <c r="O21" t="s">
        <v>72</v>
      </c>
      <c r="P21" t="s">
        <v>72</v>
      </c>
    </row>
    <row r="22" spans="1:16">
      <c r="A22" s="22"/>
      <c r="B22" t="s">
        <v>8</v>
      </c>
      <c r="D22">
        <v>0</v>
      </c>
      <c r="E22">
        <v>0</v>
      </c>
      <c r="F22">
        <v>0</v>
      </c>
      <c r="G22">
        <v>0</v>
      </c>
      <c r="H22">
        <v>0</v>
      </c>
      <c r="I22">
        <v>0</v>
      </c>
      <c r="J22">
        <v>0</v>
      </c>
      <c r="K22">
        <v>0</v>
      </c>
      <c r="L22">
        <v>0</v>
      </c>
      <c r="M22">
        <v>0</v>
      </c>
      <c r="N22">
        <v>0</v>
      </c>
      <c r="O22">
        <v>0</v>
      </c>
      <c r="P22">
        <v>0</v>
      </c>
    </row>
    <row r="23" spans="1:16">
      <c r="A23" s="22"/>
      <c r="B23" t="s">
        <v>99</v>
      </c>
      <c r="D23">
        <v>0</v>
      </c>
      <c r="E23">
        <v>0</v>
      </c>
      <c r="F23">
        <v>0</v>
      </c>
      <c r="G23">
        <v>0</v>
      </c>
      <c r="H23">
        <v>0</v>
      </c>
      <c r="I23">
        <v>0</v>
      </c>
      <c r="J23">
        <v>0</v>
      </c>
      <c r="K23">
        <v>0</v>
      </c>
      <c r="L23">
        <v>0</v>
      </c>
      <c r="M23">
        <v>0</v>
      </c>
      <c r="N23">
        <v>0</v>
      </c>
      <c r="O23">
        <v>0</v>
      </c>
      <c r="P23">
        <v>0</v>
      </c>
    </row>
    <row r="24" spans="1:16">
      <c r="A24" s="22"/>
      <c r="C24" t="s">
        <v>100</v>
      </c>
      <c r="D24" t="s">
        <v>101</v>
      </c>
      <c r="E24" t="s">
        <v>78</v>
      </c>
      <c r="F24" t="s">
        <v>78</v>
      </c>
      <c r="G24" t="s">
        <v>78</v>
      </c>
      <c r="H24" t="s">
        <v>78</v>
      </c>
      <c r="I24" t="s">
        <v>78</v>
      </c>
      <c r="J24" t="s">
        <v>78</v>
      </c>
      <c r="K24" t="s">
        <v>78</v>
      </c>
      <c r="L24" t="s">
        <v>78</v>
      </c>
      <c r="M24" t="s">
        <v>78</v>
      </c>
      <c r="N24" t="s">
        <v>78</v>
      </c>
      <c r="O24" t="s">
        <v>78</v>
      </c>
      <c r="P24" t="s">
        <v>78</v>
      </c>
    </row>
    <row r="25" spans="1:16">
      <c r="A25" s="21"/>
    </row>
    <row r="26" spans="1:16">
      <c r="A26" s="22"/>
      <c r="B26" t="s">
        <v>102</v>
      </c>
    </row>
    <row r="27" spans="1:16">
      <c r="A27" s="22">
        <v>306420</v>
      </c>
      <c r="B27" t="s">
        <v>103</v>
      </c>
      <c r="D27">
        <v>0</v>
      </c>
      <c r="E27">
        <v>0</v>
      </c>
      <c r="F27">
        <v>0</v>
      </c>
      <c r="G27">
        <v>0</v>
      </c>
      <c r="H27">
        <v>0</v>
      </c>
      <c r="I27">
        <v>0</v>
      </c>
      <c r="J27">
        <v>0</v>
      </c>
      <c r="K27">
        <v>0</v>
      </c>
      <c r="L27">
        <v>0</v>
      </c>
      <c r="M27">
        <v>0</v>
      </c>
      <c r="N27">
        <v>0</v>
      </c>
      <c r="O27">
        <v>0</v>
      </c>
      <c r="P27">
        <v>0</v>
      </c>
    </row>
    <row r="28" spans="1:16">
      <c r="A28" s="22"/>
      <c r="B28" t="s">
        <v>104</v>
      </c>
      <c r="D28">
        <v>0</v>
      </c>
      <c r="E28">
        <v>0</v>
      </c>
      <c r="F28">
        <v>0</v>
      </c>
      <c r="G28">
        <v>0</v>
      </c>
      <c r="H28">
        <v>0</v>
      </c>
      <c r="I28">
        <v>0</v>
      </c>
      <c r="J28">
        <v>0</v>
      </c>
      <c r="K28">
        <v>0</v>
      </c>
      <c r="L28">
        <v>0</v>
      </c>
      <c r="M28">
        <v>0</v>
      </c>
      <c r="N28">
        <v>0</v>
      </c>
      <c r="O28">
        <v>0</v>
      </c>
      <c r="P28">
        <v>0</v>
      </c>
    </row>
    <row r="29" spans="1:16">
      <c r="A29" s="22">
        <v>64338</v>
      </c>
      <c r="B29" t="s">
        <v>105</v>
      </c>
      <c r="D29">
        <v>0</v>
      </c>
      <c r="E29">
        <v>0</v>
      </c>
      <c r="F29">
        <v>0</v>
      </c>
      <c r="G29">
        <v>0</v>
      </c>
      <c r="H29">
        <v>0</v>
      </c>
      <c r="I29">
        <v>0</v>
      </c>
      <c r="J29">
        <v>0</v>
      </c>
      <c r="K29">
        <v>0</v>
      </c>
      <c r="L29">
        <v>0</v>
      </c>
      <c r="M29">
        <v>0</v>
      </c>
      <c r="N29">
        <v>0</v>
      </c>
      <c r="O29">
        <v>0</v>
      </c>
      <c r="P29">
        <v>0</v>
      </c>
    </row>
    <row r="30" spans="1:16">
      <c r="A30" s="22"/>
      <c r="B30" t="s">
        <v>106</v>
      </c>
      <c r="D30">
        <v>0</v>
      </c>
      <c r="E30">
        <v>0</v>
      </c>
      <c r="F30">
        <v>0</v>
      </c>
      <c r="G30">
        <v>0</v>
      </c>
      <c r="H30">
        <v>0</v>
      </c>
      <c r="I30">
        <v>0</v>
      </c>
      <c r="J30">
        <v>0</v>
      </c>
      <c r="K30">
        <v>0</v>
      </c>
      <c r="L30">
        <v>0</v>
      </c>
      <c r="M30">
        <v>0</v>
      </c>
      <c r="N30">
        <v>0</v>
      </c>
      <c r="O30">
        <v>0</v>
      </c>
      <c r="P30">
        <v>0</v>
      </c>
    </row>
    <row r="31" spans="1:16">
      <c r="A31" s="22"/>
      <c r="B31" t="s">
        <v>107</v>
      </c>
      <c r="D31">
        <v>0</v>
      </c>
      <c r="E31">
        <v>0</v>
      </c>
      <c r="F31">
        <v>0</v>
      </c>
      <c r="G31">
        <v>0</v>
      </c>
      <c r="H31">
        <v>0</v>
      </c>
      <c r="I31">
        <v>0</v>
      </c>
      <c r="J31">
        <v>0</v>
      </c>
      <c r="K31">
        <v>0</v>
      </c>
      <c r="L31">
        <v>0</v>
      </c>
      <c r="M31">
        <v>0</v>
      </c>
      <c r="N31">
        <v>0</v>
      </c>
      <c r="O31">
        <v>0</v>
      </c>
      <c r="P31">
        <v>0</v>
      </c>
    </row>
    <row r="32" spans="1:16">
      <c r="A32" s="21"/>
    </row>
    <row r="33" spans="1:16">
      <c r="A33" s="22">
        <v>316420</v>
      </c>
      <c r="B33" t="s">
        <v>108</v>
      </c>
      <c r="D33">
        <v>0</v>
      </c>
      <c r="E33">
        <v>0</v>
      </c>
      <c r="F33">
        <v>0</v>
      </c>
      <c r="G33">
        <v>0</v>
      </c>
      <c r="H33">
        <v>0</v>
      </c>
      <c r="I33">
        <v>0</v>
      </c>
      <c r="J33">
        <v>0</v>
      </c>
      <c r="K33">
        <v>0</v>
      </c>
      <c r="L33">
        <v>0</v>
      </c>
      <c r="M33">
        <v>0</v>
      </c>
      <c r="N33">
        <v>0</v>
      </c>
      <c r="O33">
        <v>0</v>
      </c>
      <c r="P33">
        <v>0</v>
      </c>
    </row>
    <row r="34" spans="1:16">
      <c r="A34" s="22">
        <v>412000</v>
      </c>
      <c r="B34" t="s">
        <v>109</v>
      </c>
      <c r="D34">
        <v>0</v>
      </c>
      <c r="E34">
        <v>0</v>
      </c>
      <c r="F34">
        <v>0</v>
      </c>
      <c r="G34">
        <v>0</v>
      </c>
      <c r="H34">
        <v>0</v>
      </c>
      <c r="I34">
        <v>0</v>
      </c>
      <c r="J34">
        <v>0</v>
      </c>
      <c r="K34">
        <v>0</v>
      </c>
      <c r="L34">
        <v>0</v>
      </c>
      <c r="M34">
        <v>0</v>
      </c>
      <c r="N34">
        <v>0</v>
      </c>
      <c r="O34">
        <v>0</v>
      </c>
      <c r="P34">
        <v>0</v>
      </c>
    </row>
    <row r="35" spans="1:16">
      <c r="A35" s="22">
        <v>64339</v>
      </c>
      <c r="B35" t="s">
        <v>110</v>
      </c>
      <c r="D35">
        <v>0</v>
      </c>
      <c r="E35">
        <v>0</v>
      </c>
      <c r="F35">
        <v>0</v>
      </c>
      <c r="G35">
        <v>0</v>
      </c>
      <c r="H35">
        <v>0</v>
      </c>
      <c r="I35">
        <v>0</v>
      </c>
      <c r="J35">
        <v>0</v>
      </c>
      <c r="K35">
        <v>0</v>
      </c>
      <c r="L35">
        <v>0</v>
      </c>
      <c r="M35">
        <v>0</v>
      </c>
      <c r="N35">
        <v>0</v>
      </c>
      <c r="O35">
        <v>0</v>
      </c>
      <c r="P35">
        <v>0</v>
      </c>
    </row>
    <row r="36" spans="1:16">
      <c r="A36" s="22"/>
      <c r="B36" t="s">
        <v>111</v>
      </c>
      <c r="D36">
        <v>0</v>
      </c>
      <c r="E36">
        <v>0</v>
      </c>
      <c r="F36">
        <v>0</v>
      </c>
      <c r="G36">
        <v>0</v>
      </c>
      <c r="H36">
        <v>0</v>
      </c>
      <c r="I36">
        <v>0</v>
      </c>
      <c r="J36">
        <v>0</v>
      </c>
      <c r="K36">
        <v>0</v>
      </c>
      <c r="L36">
        <v>0</v>
      </c>
      <c r="M36">
        <v>0</v>
      </c>
      <c r="N36">
        <v>0</v>
      </c>
      <c r="O36">
        <v>0</v>
      </c>
      <c r="P36">
        <v>0</v>
      </c>
    </row>
    <row r="37" spans="1:16">
      <c r="A37" s="22"/>
      <c r="B37" t="s">
        <v>112</v>
      </c>
      <c r="D37">
        <v>0</v>
      </c>
      <c r="E37">
        <v>0</v>
      </c>
      <c r="F37">
        <v>0</v>
      </c>
      <c r="G37">
        <v>0</v>
      </c>
      <c r="H37">
        <v>0</v>
      </c>
      <c r="I37">
        <v>0</v>
      </c>
      <c r="J37">
        <v>0</v>
      </c>
      <c r="K37">
        <v>0</v>
      </c>
      <c r="L37">
        <v>0</v>
      </c>
      <c r="M37">
        <v>0</v>
      </c>
      <c r="N37">
        <v>0</v>
      </c>
      <c r="O37">
        <v>0</v>
      </c>
      <c r="P37">
        <v>0</v>
      </c>
    </row>
    <row r="38" spans="1:16">
      <c r="A38" s="22"/>
      <c r="C38" t="s">
        <v>98</v>
      </c>
      <c r="D38" t="s">
        <v>88</v>
      </c>
      <c r="E38" t="s">
        <v>72</v>
      </c>
      <c r="F38" t="s">
        <v>72</v>
      </c>
      <c r="G38" t="s">
        <v>72</v>
      </c>
      <c r="H38" t="s">
        <v>72</v>
      </c>
      <c r="I38" t="s">
        <v>72</v>
      </c>
      <c r="J38" t="s">
        <v>72</v>
      </c>
      <c r="K38" t="s">
        <v>72</v>
      </c>
      <c r="L38" t="s">
        <v>72</v>
      </c>
      <c r="M38" t="s">
        <v>72</v>
      </c>
      <c r="N38" t="s">
        <v>72</v>
      </c>
      <c r="O38" t="s">
        <v>72</v>
      </c>
      <c r="P38" t="s">
        <v>72</v>
      </c>
    </row>
    <row r="39" spans="1:16">
      <c r="A39" s="22"/>
      <c r="B39" t="s">
        <v>8</v>
      </c>
      <c r="D39">
        <v>0</v>
      </c>
      <c r="E39">
        <v>0</v>
      </c>
      <c r="F39">
        <v>0</v>
      </c>
      <c r="G39">
        <v>0</v>
      </c>
      <c r="H39">
        <v>0</v>
      </c>
      <c r="I39">
        <v>0</v>
      </c>
      <c r="J39">
        <v>0</v>
      </c>
      <c r="K39">
        <v>0</v>
      </c>
      <c r="L39">
        <v>0</v>
      </c>
      <c r="M39">
        <v>0</v>
      </c>
      <c r="N39">
        <v>0</v>
      </c>
      <c r="O39">
        <v>0</v>
      </c>
      <c r="P39">
        <v>0</v>
      </c>
    </row>
    <row r="40" spans="1:16">
      <c r="A40" s="22"/>
      <c r="B40" t="s">
        <v>99</v>
      </c>
      <c r="D40">
        <v>0</v>
      </c>
      <c r="E40">
        <v>0</v>
      </c>
      <c r="F40">
        <v>0</v>
      </c>
      <c r="G40">
        <v>0</v>
      </c>
      <c r="H40">
        <v>0</v>
      </c>
      <c r="I40">
        <v>0</v>
      </c>
      <c r="J40">
        <v>0</v>
      </c>
      <c r="K40">
        <v>0</v>
      </c>
      <c r="L40">
        <v>0</v>
      </c>
      <c r="M40">
        <v>0</v>
      </c>
      <c r="N40">
        <v>0</v>
      </c>
      <c r="O40">
        <v>0</v>
      </c>
      <c r="P40">
        <v>0</v>
      </c>
    </row>
    <row r="41" spans="1:16">
      <c r="A41" s="22"/>
      <c r="C41" t="s">
        <v>100</v>
      </c>
      <c r="D41" t="s">
        <v>101</v>
      </c>
      <c r="E41" t="s">
        <v>78</v>
      </c>
      <c r="F41" t="s">
        <v>78</v>
      </c>
      <c r="G41" t="s">
        <v>78</v>
      </c>
      <c r="H41" t="s">
        <v>78</v>
      </c>
      <c r="I41" t="s">
        <v>78</v>
      </c>
      <c r="J41" t="s">
        <v>78</v>
      </c>
      <c r="K41" t="s">
        <v>78</v>
      </c>
      <c r="L41" t="s">
        <v>78</v>
      </c>
      <c r="M41" t="s">
        <v>78</v>
      </c>
      <c r="N41" t="s">
        <v>78</v>
      </c>
      <c r="O41" t="s">
        <v>78</v>
      </c>
      <c r="P41" t="s">
        <v>78</v>
      </c>
    </row>
    <row r="42" spans="1:16">
      <c r="A42" s="21"/>
    </row>
    <row r="43" spans="1:16">
      <c r="A43" s="22"/>
      <c r="B43" t="s">
        <v>113</v>
      </c>
    </row>
    <row r="44" spans="1:16">
      <c r="A44" s="22">
        <v>306430</v>
      </c>
      <c r="B44" t="s">
        <v>114</v>
      </c>
      <c r="D44" s="23">
        <v>216844</v>
      </c>
      <c r="E44" s="23">
        <v>221643</v>
      </c>
      <c r="F44" s="23">
        <v>207527</v>
      </c>
      <c r="G44" s="23">
        <v>224410</v>
      </c>
      <c r="H44" s="23">
        <v>219817</v>
      </c>
      <c r="I44" s="23">
        <v>201663</v>
      </c>
      <c r="J44" s="23">
        <v>207852</v>
      </c>
      <c r="K44" s="23">
        <v>200563</v>
      </c>
      <c r="L44" s="23">
        <v>184299</v>
      </c>
      <c r="M44" s="23">
        <v>217034</v>
      </c>
      <c r="N44" s="23">
        <v>231446</v>
      </c>
      <c r="O44" s="23">
        <v>192260</v>
      </c>
      <c r="P44" s="23">
        <v>213291</v>
      </c>
    </row>
    <row r="45" spans="1:16">
      <c r="A45" s="22">
        <v>402030</v>
      </c>
      <c r="B45" t="s">
        <v>115</v>
      </c>
      <c r="D45" s="23">
        <v>43119</v>
      </c>
      <c r="E45" s="23">
        <v>50158</v>
      </c>
      <c r="F45" s="23">
        <v>30962</v>
      </c>
      <c r="G45" s="23">
        <v>60517</v>
      </c>
      <c r="H45" s="23">
        <v>34963</v>
      </c>
      <c r="I45" s="23">
        <v>-6999</v>
      </c>
      <c r="J45" s="23">
        <v>3463</v>
      </c>
      <c r="K45" s="23">
        <v>6159</v>
      </c>
      <c r="L45" s="23">
        <v>27463</v>
      </c>
      <c r="M45" s="23">
        <v>87186</v>
      </c>
      <c r="N45" s="23">
        <v>127729</v>
      </c>
      <c r="O45" s="23">
        <v>96735</v>
      </c>
      <c r="P45" s="23">
        <v>124757</v>
      </c>
    </row>
    <row r="46" spans="1:16">
      <c r="A46" s="22">
        <v>64230</v>
      </c>
      <c r="B46" t="s">
        <v>116</v>
      </c>
      <c r="D46" s="23">
        <v>7533</v>
      </c>
      <c r="E46" s="23">
        <v>7770</v>
      </c>
      <c r="F46" s="23">
        <v>7161</v>
      </c>
      <c r="G46" s="23">
        <v>7794</v>
      </c>
      <c r="H46" s="23">
        <v>7641</v>
      </c>
      <c r="I46" s="23">
        <v>7041</v>
      </c>
      <c r="J46" s="23">
        <v>7206</v>
      </c>
      <c r="K46" s="23">
        <v>7332</v>
      </c>
      <c r="L46" s="23">
        <v>6454</v>
      </c>
      <c r="M46" s="23">
        <v>7634</v>
      </c>
      <c r="N46" s="23">
        <v>8219</v>
      </c>
      <c r="O46" s="23">
        <v>6761</v>
      </c>
      <c r="P46" s="23">
        <v>7959</v>
      </c>
    </row>
    <row r="47" spans="1:16">
      <c r="A47" s="22"/>
      <c r="B47" t="s">
        <v>117</v>
      </c>
      <c r="D47">
        <v>23.06</v>
      </c>
      <c r="E47">
        <v>22.07</v>
      </c>
      <c r="F47">
        <v>24.66</v>
      </c>
      <c r="G47">
        <v>21.03</v>
      </c>
      <c r="H47">
        <v>24.19</v>
      </c>
      <c r="I47">
        <v>29.64</v>
      </c>
      <c r="J47">
        <v>28.36</v>
      </c>
      <c r="K47">
        <v>26.51</v>
      </c>
      <c r="L47">
        <v>24.3</v>
      </c>
      <c r="M47">
        <v>17.010000000000002</v>
      </c>
      <c r="N47">
        <v>12.62</v>
      </c>
      <c r="O47">
        <v>14.13</v>
      </c>
      <c r="P47">
        <v>11.12</v>
      </c>
    </row>
    <row r="48" spans="1:16">
      <c r="A48" s="22"/>
      <c r="B48" t="s">
        <v>118</v>
      </c>
      <c r="D48">
        <v>324</v>
      </c>
      <c r="E48">
        <v>338</v>
      </c>
      <c r="F48">
        <v>322</v>
      </c>
      <c r="G48">
        <v>325</v>
      </c>
      <c r="H48">
        <v>332</v>
      </c>
      <c r="I48">
        <v>316</v>
      </c>
      <c r="J48">
        <v>313</v>
      </c>
      <c r="K48">
        <v>319</v>
      </c>
      <c r="L48">
        <v>307</v>
      </c>
      <c r="M48">
        <v>328</v>
      </c>
      <c r="N48">
        <v>342</v>
      </c>
      <c r="O48">
        <v>318</v>
      </c>
      <c r="P48">
        <v>332</v>
      </c>
    </row>
    <row r="49" spans="1:16">
      <c r="A49" s="21"/>
    </row>
    <row r="50" spans="1:16">
      <c r="A50" s="22">
        <v>316430</v>
      </c>
      <c r="B50" t="s">
        <v>119</v>
      </c>
      <c r="D50" s="23">
        <v>329125</v>
      </c>
      <c r="E50" s="23">
        <v>349228</v>
      </c>
      <c r="F50" s="23">
        <v>326777</v>
      </c>
      <c r="G50" s="23">
        <v>366991</v>
      </c>
      <c r="H50" s="23">
        <v>351088</v>
      </c>
      <c r="I50" s="23">
        <v>328372</v>
      </c>
      <c r="J50" s="23">
        <v>329749</v>
      </c>
      <c r="K50" s="23">
        <v>324556</v>
      </c>
      <c r="L50" s="23">
        <v>295675</v>
      </c>
      <c r="M50" s="23">
        <v>390999</v>
      </c>
      <c r="N50" s="23">
        <v>402410</v>
      </c>
      <c r="O50" s="23">
        <v>313013</v>
      </c>
      <c r="P50" s="23">
        <v>349670</v>
      </c>
    </row>
    <row r="51" spans="1:16">
      <c r="A51" s="22">
        <v>412030</v>
      </c>
      <c r="B51" t="s">
        <v>120</v>
      </c>
      <c r="D51" s="23">
        <v>250128</v>
      </c>
      <c r="E51" s="23">
        <v>262884</v>
      </c>
      <c r="F51" s="23">
        <v>244206</v>
      </c>
      <c r="G51" s="23">
        <v>287065</v>
      </c>
      <c r="H51" s="23">
        <v>284004</v>
      </c>
      <c r="I51" s="23">
        <v>250286</v>
      </c>
      <c r="J51" s="23">
        <v>238150</v>
      </c>
      <c r="K51" s="23">
        <v>229742</v>
      </c>
      <c r="L51" s="23">
        <v>200155</v>
      </c>
      <c r="M51" s="23">
        <v>292331</v>
      </c>
      <c r="N51" s="23">
        <v>320533</v>
      </c>
      <c r="O51" s="23">
        <v>270163</v>
      </c>
      <c r="P51" s="23">
        <v>324445</v>
      </c>
    </row>
    <row r="52" spans="1:16">
      <c r="A52" s="22">
        <v>64330</v>
      </c>
      <c r="B52" t="s">
        <v>121</v>
      </c>
      <c r="D52" s="23">
        <v>4903</v>
      </c>
      <c r="E52" s="23">
        <v>5159</v>
      </c>
      <c r="F52" s="23">
        <v>4821</v>
      </c>
      <c r="G52" s="23">
        <v>5388</v>
      </c>
      <c r="H52" s="23">
        <v>5205</v>
      </c>
      <c r="I52" s="23">
        <v>4823</v>
      </c>
      <c r="J52" s="23">
        <v>4902</v>
      </c>
      <c r="K52" s="23">
        <v>4775</v>
      </c>
      <c r="L52" s="23">
        <v>4381</v>
      </c>
      <c r="M52" s="23">
        <v>5717</v>
      </c>
      <c r="N52" s="23">
        <v>5884</v>
      </c>
      <c r="O52" s="23">
        <v>4577</v>
      </c>
      <c r="P52" s="23">
        <v>5193</v>
      </c>
    </row>
    <row r="53" spans="1:16">
      <c r="A53" s="22"/>
      <c r="B53" t="s">
        <v>122</v>
      </c>
      <c r="D53">
        <v>16.11</v>
      </c>
      <c r="E53">
        <v>16.739999999999998</v>
      </c>
      <c r="F53">
        <v>17.13</v>
      </c>
      <c r="G53">
        <v>14.83</v>
      </c>
      <c r="H53">
        <v>12.89</v>
      </c>
      <c r="I53">
        <v>16.190000000000001</v>
      </c>
      <c r="J53">
        <v>18.690000000000001</v>
      </c>
      <c r="K53">
        <v>19.86</v>
      </c>
      <c r="L53">
        <v>21.8</v>
      </c>
      <c r="M53">
        <v>17.260000000000002</v>
      </c>
      <c r="N53">
        <v>13.92</v>
      </c>
      <c r="O53">
        <v>9.36</v>
      </c>
      <c r="P53">
        <v>4.8600000000000003</v>
      </c>
    </row>
    <row r="54" spans="1:16">
      <c r="A54" s="22"/>
      <c r="B54" t="s">
        <v>123</v>
      </c>
      <c r="D54">
        <v>211</v>
      </c>
      <c r="E54">
        <v>224</v>
      </c>
      <c r="F54">
        <v>217</v>
      </c>
      <c r="G54">
        <v>225</v>
      </c>
      <c r="H54">
        <v>226</v>
      </c>
      <c r="I54">
        <v>217</v>
      </c>
      <c r="J54">
        <v>213</v>
      </c>
      <c r="K54">
        <v>208</v>
      </c>
      <c r="L54">
        <v>209</v>
      </c>
      <c r="M54">
        <v>246</v>
      </c>
      <c r="N54">
        <v>245</v>
      </c>
      <c r="O54">
        <v>215</v>
      </c>
      <c r="P54">
        <v>216</v>
      </c>
    </row>
    <row r="55" spans="1:16">
      <c r="A55" s="22"/>
      <c r="C55" t="s">
        <v>98</v>
      </c>
      <c r="D55" t="s">
        <v>88</v>
      </c>
      <c r="E55" t="s">
        <v>72</v>
      </c>
      <c r="F55" t="s">
        <v>72</v>
      </c>
      <c r="G55" t="s">
        <v>72</v>
      </c>
      <c r="H55" t="s">
        <v>72</v>
      </c>
      <c r="I55" t="s">
        <v>72</v>
      </c>
      <c r="J55" t="s">
        <v>72</v>
      </c>
      <c r="K55" t="s">
        <v>72</v>
      </c>
      <c r="L55" t="s">
        <v>72</v>
      </c>
      <c r="M55" t="s">
        <v>72</v>
      </c>
      <c r="N55" t="s">
        <v>72</v>
      </c>
      <c r="O55" t="s">
        <v>72</v>
      </c>
      <c r="P55" t="s">
        <v>72</v>
      </c>
    </row>
    <row r="56" spans="1:16">
      <c r="A56" s="22"/>
      <c r="B56" t="s">
        <v>8</v>
      </c>
      <c r="D56" s="23">
        <v>12436</v>
      </c>
      <c r="E56" s="23">
        <v>12929</v>
      </c>
      <c r="F56" s="23">
        <v>11981</v>
      </c>
      <c r="G56" s="23">
        <v>13181</v>
      </c>
      <c r="H56" s="23">
        <v>12846</v>
      </c>
      <c r="I56" s="23">
        <v>11864</v>
      </c>
      <c r="J56" s="23">
        <v>12107</v>
      </c>
      <c r="K56" s="23">
        <v>12107</v>
      </c>
      <c r="L56" s="23">
        <v>10835</v>
      </c>
      <c r="M56" s="23">
        <v>13351</v>
      </c>
      <c r="N56" s="23">
        <v>14103</v>
      </c>
      <c r="O56" s="23">
        <v>11338</v>
      </c>
      <c r="P56" s="23">
        <v>13151</v>
      </c>
    </row>
    <row r="57" spans="1:16">
      <c r="A57" s="22"/>
      <c r="B57" t="s">
        <v>99</v>
      </c>
      <c r="D57">
        <v>535</v>
      </c>
      <c r="E57">
        <v>562</v>
      </c>
      <c r="F57">
        <v>538</v>
      </c>
      <c r="G57">
        <v>549</v>
      </c>
      <c r="H57">
        <v>559</v>
      </c>
      <c r="I57">
        <v>533</v>
      </c>
      <c r="J57">
        <v>526</v>
      </c>
      <c r="K57">
        <v>526</v>
      </c>
      <c r="L57">
        <v>516</v>
      </c>
      <c r="M57">
        <v>574</v>
      </c>
      <c r="N57">
        <v>588</v>
      </c>
      <c r="O57">
        <v>534</v>
      </c>
      <c r="P57">
        <v>548</v>
      </c>
    </row>
    <row r="58" spans="1:16">
      <c r="A58" s="22"/>
      <c r="C58" t="s">
        <v>100</v>
      </c>
      <c r="D58" t="s">
        <v>101</v>
      </c>
      <c r="E58" t="s">
        <v>78</v>
      </c>
      <c r="F58" t="s">
        <v>78</v>
      </c>
      <c r="G58" t="s">
        <v>78</v>
      </c>
      <c r="H58" t="s">
        <v>78</v>
      </c>
      <c r="I58" t="s">
        <v>78</v>
      </c>
      <c r="J58" t="s">
        <v>78</v>
      </c>
      <c r="K58" t="s">
        <v>78</v>
      </c>
      <c r="L58" t="s">
        <v>78</v>
      </c>
      <c r="M58" t="s">
        <v>78</v>
      </c>
      <c r="N58" t="s">
        <v>78</v>
      </c>
      <c r="O58" t="s">
        <v>78</v>
      </c>
      <c r="P58" t="s">
        <v>78</v>
      </c>
    </row>
    <row r="60" spans="1:16">
      <c r="A60" s="22" t="s">
        <v>74</v>
      </c>
      <c r="B60" t="s">
        <v>75</v>
      </c>
      <c r="N60" t="s">
        <v>76</v>
      </c>
      <c r="O60" t="s">
        <v>124</v>
      </c>
      <c r="P60" t="s">
        <v>230</v>
      </c>
    </row>
    <row r="61" spans="1:16">
      <c r="A61" s="22" t="s">
        <v>52</v>
      </c>
      <c r="B61" t="s">
        <v>53</v>
      </c>
      <c r="C61" t="s">
        <v>54</v>
      </c>
      <c r="N61" t="s">
        <v>55</v>
      </c>
      <c r="O61" t="s">
        <v>82</v>
      </c>
      <c r="P61">
        <v>0</v>
      </c>
    </row>
    <row r="62" spans="1:16">
      <c r="A62" s="22" t="s">
        <v>83</v>
      </c>
      <c r="B62" t="s">
        <v>84</v>
      </c>
      <c r="N62" t="s">
        <v>85</v>
      </c>
      <c r="O62" t="s">
        <v>86</v>
      </c>
      <c r="P62" t="s">
        <v>229</v>
      </c>
    </row>
    <row r="63" spans="1:16">
      <c r="A63" s="22" t="s">
        <v>56</v>
      </c>
      <c r="B63" t="s">
        <v>57</v>
      </c>
      <c r="N63" t="s">
        <v>87</v>
      </c>
    </row>
    <row r="64" spans="1:16">
      <c r="A64" s="21"/>
    </row>
    <row r="65" spans="1:16">
      <c r="A65" s="22" t="s">
        <v>58</v>
      </c>
      <c r="B65" t="s">
        <v>59</v>
      </c>
      <c r="D65" t="s">
        <v>56</v>
      </c>
      <c r="E65" t="s">
        <v>60</v>
      </c>
      <c r="F65" t="s">
        <v>61</v>
      </c>
      <c r="G65" t="s">
        <v>62</v>
      </c>
      <c r="H65" t="s">
        <v>63</v>
      </c>
      <c r="I65" t="s">
        <v>64</v>
      </c>
      <c r="J65" t="s">
        <v>65</v>
      </c>
      <c r="K65" t="s">
        <v>66</v>
      </c>
      <c r="L65" t="s">
        <v>67</v>
      </c>
      <c r="M65" t="s">
        <v>79</v>
      </c>
      <c r="N65" t="s">
        <v>80</v>
      </c>
      <c r="O65" t="s">
        <v>68</v>
      </c>
      <c r="P65" t="s">
        <v>56</v>
      </c>
    </row>
    <row r="66" spans="1:16">
      <c r="A66" s="22" t="s">
        <v>69</v>
      </c>
      <c r="B66" t="s">
        <v>70</v>
      </c>
      <c r="C66" t="s">
        <v>98</v>
      </c>
      <c r="D66" t="s">
        <v>72</v>
      </c>
      <c r="E66" t="s">
        <v>71</v>
      </c>
      <c r="F66" t="s">
        <v>71</v>
      </c>
      <c r="G66" t="s">
        <v>71</v>
      </c>
      <c r="H66" t="s">
        <v>71</v>
      </c>
      <c r="I66" t="s">
        <v>71</v>
      </c>
      <c r="J66" t="s">
        <v>71</v>
      </c>
      <c r="K66" t="s">
        <v>71</v>
      </c>
      <c r="L66" t="s">
        <v>71</v>
      </c>
      <c r="M66" t="s">
        <v>71</v>
      </c>
      <c r="N66" t="s">
        <v>71</v>
      </c>
      <c r="O66" t="s">
        <v>71</v>
      </c>
      <c r="P66" t="s">
        <v>71</v>
      </c>
    </row>
    <row r="67" spans="1:16">
      <c r="A67" s="21"/>
    </row>
    <row r="68" spans="1:16">
      <c r="A68" s="22"/>
      <c r="B68" t="s">
        <v>125</v>
      </c>
    </row>
    <row r="69" spans="1:16">
      <c r="A69" s="22">
        <v>306431</v>
      </c>
      <c r="B69" t="s">
        <v>126</v>
      </c>
      <c r="D69">
        <v>0</v>
      </c>
      <c r="E69">
        <v>0</v>
      </c>
      <c r="F69">
        <v>0</v>
      </c>
      <c r="G69">
        <v>0</v>
      </c>
      <c r="H69">
        <v>0</v>
      </c>
      <c r="I69">
        <v>0</v>
      </c>
      <c r="J69">
        <v>0</v>
      </c>
      <c r="K69">
        <v>0</v>
      </c>
      <c r="L69">
        <v>0</v>
      </c>
      <c r="M69">
        <v>0</v>
      </c>
      <c r="N69">
        <v>0</v>
      </c>
      <c r="O69">
        <v>0</v>
      </c>
      <c r="P69">
        <v>0</v>
      </c>
    </row>
    <row r="70" spans="1:16">
      <c r="A70" s="22">
        <v>402031</v>
      </c>
      <c r="B70" t="s">
        <v>127</v>
      </c>
      <c r="D70" s="23">
        <v>6292</v>
      </c>
      <c r="E70" s="23">
        <v>8717</v>
      </c>
      <c r="F70" s="23">
        <v>23780</v>
      </c>
      <c r="G70" s="23">
        <v>20403</v>
      </c>
      <c r="H70" s="23">
        <v>15448</v>
      </c>
      <c r="I70" s="23">
        <v>17573</v>
      </c>
      <c r="J70" s="23">
        <v>17785</v>
      </c>
      <c r="K70" s="23">
        <v>20840</v>
      </c>
      <c r="L70" s="23">
        <v>11892</v>
      </c>
      <c r="M70" s="23">
        <v>17386</v>
      </c>
      <c r="N70" s="23">
        <v>18305</v>
      </c>
      <c r="O70" s="23">
        <v>15792</v>
      </c>
      <c r="P70" s="23">
        <v>16437</v>
      </c>
    </row>
    <row r="71" spans="1:16">
      <c r="A71" s="22">
        <v>64231</v>
      </c>
      <c r="B71" t="s">
        <v>128</v>
      </c>
      <c r="D71">
        <v>342</v>
      </c>
      <c r="E71">
        <v>547</v>
      </c>
      <c r="F71">
        <v>819</v>
      </c>
      <c r="G71">
        <v>588</v>
      </c>
      <c r="H71">
        <v>546</v>
      </c>
      <c r="I71">
        <v>548</v>
      </c>
      <c r="J71">
        <v>570</v>
      </c>
      <c r="K71">
        <v>541</v>
      </c>
      <c r="L71">
        <v>427</v>
      </c>
      <c r="M71">
        <v>519</v>
      </c>
      <c r="N71">
        <v>517</v>
      </c>
      <c r="O71">
        <v>446</v>
      </c>
      <c r="P71">
        <v>454</v>
      </c>
    </row>
    <row r="72" spans="1:16">
      <c r="A72" s="22"/>
      <c r="B72" t="s">
        <v>129</v>
      </c>
      <c r="D72">
        <v>-18.399999999999999</v>
      </c>
      <c r="E72">
        <v>-15.94</v>
      </c>
      <c r="F72">
        <v>-29.04</v>
      </c>
      <c r="G72">
        <v>-34.700000000000003</v>
      </c>
      <c r="H72">
        <v>-28.29</v>
      </c>
      <c r="I72">
        <v>-32.07</v>
      </c>
      <c r="J72">
        <v>-31.2</v>
      </c>
      <c r="K72">
        <v>-38.520000000000003</v>
      </c>
      <c r="L72">
        <v>-27.85</v>
      </c>
      <c r="M72">
        <v>-33.5</v>
      </c>
      <c r="N72">
        <v>-35.409999999999997</v>
      </c>
      <c r="O72">
        <v>-35.409999999999997</v>
      </c>
      <c r="P72">
        <v>-36.21</v>
      </c>
    </row>
    <row r="73" spans="1:16">
      <c r="A73" s="22"/>
      <c r="B73" t="s">
        <v>130</v>
      </c>
      <c r="D73">
        <v>15</v>
      </c>
      <c r="E73">
        <v>24</v>
      </c>
      <c r="F73">
        <v>37</v>
      </c>
      <c r="G73">
        <v>25</v>
      </c>
      <c r="H73">
        <v>24</v>
      </c>
      <c r="I73">
        <v>25</v>
      </c>
      <c r="J73">
        <v>25</v>
      </c>
      <c r="K73">
        <v>24</v>
      </c>
      <c r="L73">
        <v>20</v>
      </c>
      <c r="M73">
        <v>22</v>
      </c>
      <c r="N73">
        <v>22</v>
      </c>
      <c r="O73">
        <v>21</v>
      </c>
      <c r="P73">
        <v>19</v>
      </c>
    </row>
    <row r="74" spans="1:16">
      <c r="A74" s="21"/>
    </row>
    <row r="75" spans="1:16">
      <c r="A75" s="22">
        <v>316431</v>
      </c>
      <c r="B75" t="s">
        <v>131</v>
      </c>
      <c r="D75" s="23">
        <v>189754</v>
      </c>
      <c r="E75" s="23">
        <v>191407</v>
      </c>
      <c r="F75" s="23">
        <v>175828</v>
      </c>
      <c r="G75" s="23">
        <v>181330</v>
      </c>
      <c r="H75" s="23">
        <v>192614</v>
      </c>
      <c r="I75" s="23">
        <v>172716</v>
      </c>
      <c r="J75" s="23">
        <v>179296</v>
      </c>
      <c r="K75" s="23">
        <v>186993</v>
      </c>
      <c r="L75" s="23">
        <v>163736</v>
      </c>
      <c r="M75" s="23">
        <v>177407</v>
      </c>
      <c r="N75" s="23">
        <v>186849</v>
      </c>
      <c r="O75" s="23">
        <v>168418</v>
      </c>
      <c r="P75" s="23">
        <v>194782</v>
      </c>
    </row>
    <row r="76" spans="1:16">
      <c r="A76" s="22">
        <v>412031</v>
      </c>
      <c r="B76" t="s">
        <v>132</v>
      </c>
      <c r="D76" s="23">
        <v>207487</v>
      </c>
      <c r="E76" s="23">
        <v>209322</v>
      </c>
      <c r="F76" s="23">
        <v>190058</v>
      </c>
      <c r="G76" s="23">
        <v>205018</v>
      </c>
      <c r="H76" s="23">
        <v>221702</v>
      </c>
      <c r="I76" s="23">
        <v>187188</v>
      </c>
      <c r="J76" s="23">
        <v>179648</v>
      </c>
      <c r="K76" s="23">
        <v>179927</v>
      </c>
      <c r="L76" s="23">
        <v>150873</v>
      </c>
      <c r="M76" s="23">
        <v>199254</v>
      </c>
      <c r="N76" s="23">
        <v>221873</v>
      </c>
      <c r="O76" s="23">
        <v>217574</v>
      </c>
      <c r="P76" s="23">
        <v>266375</v>
      </c>
    </row>
    <row r="77" spans="1:16">
      <c r="A77" s="22">
        <v>64331</v>
      </c>
      <c r="B77" t="s">
        <v>133</v>
      </c>
      <c r="D77" s="23">
        <v>3663</v>
      </c>
      <c r="E77" s="23">
        <v>3719</v>
      </c>
      <c r="F77" s="23">
        <v>3394</v>
      </c>
      <c r="G77" s="23">
        <v>3500</v>
      </c>
      <c r="H77" s="23">
        <v>3718</v>
      </c>
      <c r="I77" s="23">
        <v>3334</v>
      </c>
      <c r="J77" s="23">
        <v>3461</v>
      </c>
      <c r="K77" s="23">
        <v>3609</v>
      </c>
      <c r="L77" s="23">
        <v>3160</v>
      </c>
      <c r="M77" s="23">
        <v>3424</v>
      </c>
      <c r="N77" s="23">
        <v>3606</v>
      </c>
      <c r="O77" s="23">
        <v>3251</v>
      </c>
      <c r="P77" s="23">
        <v>3760</v>
      </c>
    </row>
    <row r="78" spans="1:16">
      <c r="A78" s="22"/>
      <c r="B78" t="s">
        <v>134</v>
      </c>
      <c r="D78">
        <v>-4.84</v>
      </c>
      <c r="E78">
        <v>-4.82</v>
      </c>
      <c r="F78">
        <v>-4.1900000000000004</v>
      </c>
      <c r="G78">
        <v>-6.77</v>
      </c>
      <c r="H78">
        <v>-7.82</v>
      </c>
      <c r="I78">
        <v>-4.34</v>
      </c>
      <c r="J78">
        <v>-0.1</v>
      </c>
      <c r="K78">
        <v>1.96</v>
      </c>
      <c r="L78">
        <v>4.07</v>
      </c>
      <c r="M78">
        <v>-6.38</v>
      </c>
      <c r="N78">
        <v>-9.7100000000000009</v>
      </c>
      <c r="O78">
        <v>-15.12</v>
      </c>
      <c r="P78">
        <v>-19.04</v>
      </c>
    </row>
    <row r="79" spans="1:16">
      <c r="A79" s="22"/>
      <c r="B79" t="s">
        <v>135</v>
      </c>
      <c r="D79">
        <v>158</v>
      </c>
      <c r="E79">
        <v>162</v>
      </c>
      <c r="F79">
        <v>153</v>
      </c>
      <c r="G79">
        <v>146</v>
      </c>
      <c r="H79">
        <v>162</v>
      </c>
      <c r="I79">
        <v>150</v>
      </c>
      <c r="J79">
        <v>150</v>
      </c>
      <c r="K79">
        <v>157</v>
      </c>
      <c r="L79">
        <v>150</v>
      </c>
      <c r="M79">
        <v>147</v>
      </c>
      <c r="N79">
        <v>150</v>
      </c>
      <c r="O79">
        <v>153</v>
      </c>
      <c r="P79">
        <v>157</v>
      </c>
    </row>
    <row r="80" spans="1:16">
      <c r="A80" s="22"/>
      <c r="C80" t="s">
        <v>98</v>
      </c>
      <c r="D80" t="s">
        <v>88</v>
      </c>
      <c r="E80" t="s">
        <v>72</v>
      </c>
      <c r="F80" t="s">
        <v>72</v>
      </c>
      <c r="G80" t="s">
        <v>72</v>
      </c>
      <c r="H80" t="s">
        <v>72</v>
      </c>
      <c r="I80" t="s">
        <v>72</v>
      </c>
      <c r="J80" t="s">
        <v>72</v>
      </c>
      <c r="K80" t="s">
        <v>72</v>
      </c>
      <c r="L80" t="s">
        <v>72</v>
      </c>
      <c r="M80" t="s">
        <v>72</v>
      </c>
      <c r="N80" t="s">
        <v>72</v>
      </c>
      <c r="O80" t="s">
        <v>72</v>
      </c>
      <c r="P80" t="s">
        <v>72</v>
      </c>
    </row>
    <row r="81" spans="1:16">
      <c r="A81" s="22"/>
      <c r="B81" t="s">
        <v>8</v>
      </c>
      <c r="D81" s="23">
        <v>4004</v>
      </c>
      <c r="E81" s="23">
        <v>4266</v>
      </c>
      <c r="F81" s="23">
        <v>4212</v>
      </c>
      <c r="G81" s="23">
        <v>4087</v>
      </c>
      <c r="H81" s="23">
        <v>4264</v>
      </c>
      <c r="I81" s="23">
        <v>3882</v>
      </c>
      <c r="J81" s="23">
        <v>4031</v>
      </c>
      <c r="K81" s="23">
        <v>4150</v>
      </c>
      <c r="L81" s="23">
        <v>3587</v>
      </c>
      <c r="M81" s="23">
        <v>3943</v>
      </c>
      <c r="N81" s="23">
        <v>4124</v>
      </c>
      <c r="O81" s="23">
        <v>3696</v>
      </c>
      <c r="P81" s="23">
        <v>4213</v>
      </c>
    </row>
    <row r="82" spans="1:16">
      <c r="A82" s="22"/>
      <c r="B82" t="s">
        <v>99</v>
      </c>
      <c r="D82">
        <v>172</v>
      </c>
      <c r="E82">
        <v>185</v>
      </c>
      <c r="F82">
        <v>189</v>
      </c>
      <c r="G82">
        <v>170</v>
      </c>
      <c r="H82">
        <v>185</v>
      </c>
      <c r="I82">
        <v>174</v>
      </c>
      <c r="J82">
        <v>175</v>
      </c>
      <c r="K82">
        <v>180</v>
      </c>
      <c r="L82">
        <v>171</v>
      </c>
      <c r="M82">
        <v>170</v>
      </c>
      <c r="N82">
        <v>172</v>
      </c>
      <c r="O82">
        <v>174</v>
      </c>
      <c r="P82">
        <v>176</v>
      </c>
    </row>
    <row r="83" spans="1:16">
      <c r="A83" s="22"/>
      <c r="C83" t="s">
        <v>100</v>
      </c>
      <c r="D83" t="s">
        <v>101</v>
      </c>
      <c r="E83" t="s">
        <v>78</v>
      </c>
      <c r="F83" t="s">
        <v>78</v>
      </c>
      <c r="G83" t="s">
        <v>78</v>
      </c>
      <c r="H83" t="s">
        <v>78</v>
      </c>
      <c r="I83" t="s">
        <v>78</v>
      </c>
      <c r="J83" t="s">
        <v>78</v>
      </c>
      <c r="K83" t="s">
        <v>78</v>
      </c>
      <c r="L83" t="s">
        <v>78</v>
      </c>
      <c r="M83" t="s">
        <v>78</v>
      </c>
      <c r="N83" t="s">
        <v>78</v>
      </c>
      <c r="O83" t="s">
        <v>78</v>
      </c>
      <c r="P83" t="s">
        <v>78</v>
      </c>
    </row>
    <row r="84" spans="1:16">
      <c r="A84" s="21"/>
    </row>
    <row r="85" spans="1:16">
      <c r="A85" s="22"/>
      <c r="B85" t="s">
        <v>136</v>
      </c>
    </row>
    <row r="86" spans="1:16">
      <c r="A86" s="22">
        <v>306432</v>
      </c>
      <c r="B86" t="s">
        <v>137</v>
      </c>
      <c r="D86">
        <v>0</v>
      </c>
      <c r="E86">
        <v>0</v>
      </c>
      <c r="F86">
        <v>0</v>
      </c>
      <c r="G86">
        <v>0</v>
      </c>
      <c r="H86">
        <v>0</v>
      </c>
      <c r="I86">
        <v>0</v>
      </c>
      <c r="J86">
        <v>0</v>
      </c>
      <c r="K86">
        <v>0</v>
      </c>
      <c r="L86">
        <v>0</v>
      </c>
      <c r="M86">
        <v>0</v>
      </c>
      <c r="N86">
        <v>0</v>
      </c>
      <c r="O86">
        <v>0</v>
      </c>
      <c r="P86">
        <v>0</v>
      </c>
    </row>
    <row r="87" spans="1:16">
      <c r="A87" s="22">
        <v>402032</v>
      </c>
      <c r="B87" t="s">
        <v>138</v>
      </c>
      <c r="D87">
        <v>0</v>
      </c>
      <c r="E87">
        <v>0</v>
      </c>
      <c r="F87">
        <v>0</v>
      </c>
      <c r="G87">
        <v>0</v>
      </c>
      <c r="H87">
        <v>0</v>
      </c>
      <c r="I87">
        <v>0</v>
      </c>
      <c r="J87">
        <v>0</v>
      </c>
      <c r="K87">
        <v>0</v>
      </c>
      <c r="L87">
        <v>0</v>
      </c>
      <c r="M87">
        <v>0</v>
      </c>
      <c r="N87">
        <v>0</v>
      </c>
      <c r="O87">
        <v>0</v>
      </c>
      <c r="P87">
        <v>0</v>
      </c>
    </row>
    <row r="88" spans="1:16">
      <c r="A88" s="22">
        <v>64232</v>
      </c>
      <c r="B88" t="s">
        <v>139</v>
      </c>
      <c r="D88">
        <v>0</v>
      </c>
      <c r="E88">
        <v>0</v>
      </c>
      <c r="F88">
        <v>0</v>
      </c>
      <c r="G88">
        <v>0</v>
      </c>
      <c r="H88">
        <v>0</v>
      </c>
      <c r="I88">
        <v>0</v>
      </c>
      <c r="J88">
        <v>0</v>
      </c>
      <c r="K88">
        <v>0</v>
      </c>
      <c r="L88">
        <v>0</v>
      </c>
      <c r="M88">
        <v>0</v>
      </c>
      <c r="N88">
        <v>0</v>
      </c>
      <c r="O88">
        <v>0</v>
      </c>
      <c r="P88">
        <v>0</v>
      </c>
    </row>
    <row r="89" spans="1:16">
      <c r="A89" s="22"/>
      <c r="B89" t="s">
        <v>140</v>
      </c>
      <c r="D89">
        <v>0</v>
      </c>
      <c r="E89">
        <v>0</v>
      </c>
      <c r="F89">
        <v>0</v>
      </c>
      <c r="G89">
        <v>0</v>
      </c>
      <c r="H89">
        <v>0</v>
      </c>
      <c r="I89">
        <v>0</v>
      </c>
      <c r="J89">
        <v>0</v>
      </c>
      <c r="K89">
        <v>0</v>
      </c>
      <c r="L89">
        <v>0</v>
      </c>
      <c r="M89">
        <v>0</v>
      </c>
      <c r="N89">
        <v>0</v>
      </c>
      <c r="O89">
        <v>0</v>
      </c>
      <c r="P89">
        <v>0</v>
      </c>
    </row>
    <row r="90" spans="1:16">
      <c r="A90" s="22"/>
      <c r="B90" t="s">
        <v>141</v>
      </c>
      <c r="D90">
        <v>0</v>
      </c>
      <c r="E90">
        <v>0</v>
      </c>
      <c r="F90">
        <v>0</v>
      </c>
      <c r="G90">
        <v>0</v>
      </c>
      <c r="H90">
        <v>0</v>
      </c>
      <c r="I90">
        <v>0</v>
      </c>
      <c r="J90">
        <v>0</v>
      </c>
      <c r="K90">
        <v>0</v>
      </c>
      <c r="L90">
        <v>0</v>
      </c>
      <c r="M90">
        <v>0</v>
      </c>
      <c r="N90">
        <v>0</v>
      </c>
      <c r="O90">
        <v>0</v>
      </c>
      <c r="P90">
        <v>0</v>
      </c>
    </row>
    <row r="91" spans="1:16">
      <c r="A91" s="21"/>
    </row>
    <row r="92" spans="1:16">
      <c r="A92" s="22">
        <v>412032</v>
      </c>
      <c r="B92" t="s">
        <v>138</v>
      </c>
      <c r="D92">
        <v>0</v>
      </c>
      <c r="E92">
        <v>0</v>
      </c>
      <c r="F92">
        <v>0</v>
      </c>
      <c r="G92">
        <v>0</v>
      </c>
      <c r="H92">
        <v>0</v>
      </c>
      <c r="I92">
        <v>0</v>
      </c>
      <c r="J92">
        <v>0</v>
      </c>
      <c r="K92">
        <v>0</v>
      </c>
      <c r="L92">
        <v>0</v>
      </c>
      <c r="M92">
        <v>0</v>
      </c>
      <c r="N92">
        <v>0</v>
      </c>
      <c r="O92">
        <v>0</v>
      </c>
      <c r="P92">
        <v>0</v>
      </c>
    </row>
    <row r="93" spans="1:16">
      <c r="A93" s="22">
        <v>64332</v>
      </c>
      <c r="B93" t="s">
        <v>139</v>
      </c>
      <c r="D93">
        <v>0</v>
      </c>
      <c r="E93">
        <v>0</v>
      </c>
      <c r="F93">
        <v>0</v>
      </c>
      <c r="G93">
        <v>0</v>
      </c>
      <c r="H93">
        <v>0</v>
      </c>
      <c r="I93">
        <v>0</v>
      </c>
      <c r="J93">
        <v>0</v>
      </c>
      <c r="K93">
        <v>0</v>
      </c>
      <c r="L93">
        <v>0</v>
      </c>
      <c r="M93">
        <v>0</v>
      </c>
      <c r="N93">
        <v>0</v>
      </c>
      <c r="O93">
        <v>0</v>
      </c>
      <c r="P93">
        <v>0</v>
      </c>
    </row>
    <row r="94" spans="1:16">
      <c r="A94" s="22"/>
      <c r="B94" t="s">
        <v>142</v>
      </c>
      <c r="D94">
        <v>0</v>
      </c>
      <c r="E94">
        <v>0</v>
      </c>
      <c r="F94">
        <v>0</v>
      </c>
      <c r="G94">
        <v>0</v>
      </c>
      <c r="H94">
        <v>0</v>
      </c>
      <c r="I94">
        <v>0</v>
      </c>
      <c r="J94">
        <v>0</v>
      </c>
      <c r="K94">
        <v>0</v>
      </c>
      <c r="L94">
        <v>0</v>
      </c>
      <c r="M94">
        <v>0</v>
      </c>
      <c r="N94">
        <v>0</v>
      </c>
      <c r="O94">
        <v>0</v>
      </c>
      <c r="P94">
        <v>0</v>
      </c>
    </row>
    <row r="95" spans="1:16">
      <c r="A95" s="22"/>
      <c r="B95" t="s">
        <v>143</v>
      </c>
      <c r="D95">
        <v>0</v>
      </c>
      <c r="E95">
        <v>0</v>
      </c>
      <c r="F95">
        <v>0</v>
      </c>
      <c r="G95">
        <v>0</v>
      </c>
      <c r="H95">
        <v>0</v>
      </c>
      <c r="I95">
        <v>0</v>
      </c>
      <c r="J95">
        <v>0</v>
      </c>
      <c r="K95">
        <v>0</v>
      </c>
      <c r="L95">
        <v>0</v>
      </c>
      <c r="M95">
        <v>0</v>
      </c>
      <c r="N95">
        <v>0</v>
      </c>
      <c r="O95">
        <v>0</v>
      </c>
      <c r="P95">
        <v>0</v>
      </c>
    </row>
    <row r="96" spans="1:16">
      <c r="A96" s="22"/>
      <c r="C96" t="s">
        <v>98</v>
      </c>
      <c r="D96" t="s">
        <v>88</v>
      </c>
      <c r="E96" t="s">
        <v>72</v>
      </c>
      <c r="F96" t="s">
        <v>72</v>
      </c>
      <c r="G96" t="s">
        <v>72</v>
      </c>
      <c r="H96" t="s">
        <v>72</v>
      </c>
      <c r="I96" t="s">
        <v>72</v>
      </c>
      <c r="J96" t="s">
        <v>72</v>
      </c>
      <c r="K96" t="s">
        <v>72</v>
      </c>
      <c r="L96" t="s">
        <v>72</v>
      </c>
      <c r="M96" t="s">
        <v>72</v>
      </c>
      <c r="N96" t="s">
        <v>72</v>
      </c>
      <c r="O96" t="s">
        <v>72</v>
      </c>
      <c r="P96" t="s">
        <v>72</v>
      </c>
    </row>
    <row r="97" spans="1:16">
      <c r="A97" s="22"/>
      <c r="B97" t="s">
        <v>8</v>
      </c>
      <c r="D97">
        <v>0</v>
      </c>
      <c r="E97">
        <v>0</v>
      </c>
      <c r="F97">
        <v>0</v>
      </c>
      <c r="G97">
        <v>0</v>
      </c>
      <c r="H97">
        <v>0</v>
      </c>
      <c r="I97">
        <v>0</v>
      </c>
      <c r="J97">
        <v>0</v>
      </c>
      <c r="K97">
        <v>0</v>
      </c>
      <c r="L97">
        <v>0</v>
      </c>
      <c r="M97">
        <v>0</v>
      </c>
      <c r="N97">
        <v>0</v>
      </c>
      <c r="O97">
        <v>0</v>
      </c>
      <c r="P97">
        <v>0</v>
      </c>
    </row>
    <row r="98" spans="1:16">
      <c r="A98" s="22"/>
      <c r="B98" t="s">
        <v>99</v>
      </c>
      <c r="D98">
        <v>0</v>
      </c>
      <c r="E98">
        <v>0</v>
      </c>
      <c r="F98">
        <v>0</v>
      </c>
      <c r="G98">
        <v>0</v>
      </c>
      <c r="H98">
        <v>0</v>
      </c>
      <c r="I98">
        <v>0</v>
      </c>
      <c r="J98">
        <v>0</v>
      </c>
      <c r="K98">
        <v>0</v>
      </c>
      <c r="L98">
        <v>0</v>
      </c>
      <c r="M98">
        <v>0</v>
      </c>
      <c r="N98">
        <v>0</v>
      </c>
      <c r="O98">
        <v>0</v>
      </c>
      <c r="P98">
        <v>0</v>
      </c>
    </row>
    <row r="99" spans="1:16">
      <c r="A99" s="22"/>
      <c r="C99" t="s">
        <v>100</v>
      </c>
      <c r="D99" t="s">
        <v>101</v>
      </c>
      <c r="E99" t="s">
        <v>78</v>
      </c>
      <c r="F99" t="s">
        <v>78</v>
      </c>
      <c r="G99" t="s">
        <v>78</v>
      </c>
      <c r="H99" t="s">
        <v>78</v>
      </c>
      <c r="I99" t="s">
        <v>78</v>
      </c>
      <c r="J99" t="s">
        <v>78</v>
      </c>
      <c r="K99" t="s">
        <v>78</v>
      </c>
      <c r="L99" t="s">
        <v>78</v>
      </c>
      <c r="M99" t="s">
        <v>78</v>
      </c>
      <c r="N99" t="s">
        <v>78</v>
      </c>
      <c r="O99" t="s">
        <v>78</v>
      </c>
      <c r="P99" t="s">
        <v>78</v>
      </c>
    </row>
    <row r="100" spans="1:16">
      <c r="A100" s="21"/>
    </row>
    <row r="101" spans="1:16">
      <c r="A101" s="22"/>
      <c r="B101" t="s">
        <v>144</v>
      </c>
    </row>
    <row r="102" spans="1:16">
      <c r="A102" s="22">
        <v>306435</v>
      </c>
      <c r="B102" t="s">
        <v>145</v>
      </c>
      <c r="D102">
        <v>0</v>
      </c>
      <c r="E102">
        <v>0</v>
      </c>
      <c r="F102">
        <v>0</v>
      </c>
      <c r="G102">
        <v>0</v>
      </c>
      <c r="H102">
        <v>0</v>
      </c>
      <c r="I102">
        <v>0</v>
      </c>
      <c r="J102">
        <v>0</v>
      </c>
      <c r="K102">
        <v>0</v>
      </c>
      <c r="L102">
        <v>0</v>
      </c>
      <c r="M102">
        <v>0</v>
      </c>
      <c r="N102">
        <v>0</v>
      </c>
      <c r="O102">
        <v>0</v>
      </c>
      <c r="P102">
        <v>0</v>
      </c>
    </row>
    <row r="103" spans="1:16">
      <c r="A103" s="22">
        <v>402035</v>
      </c>
      <c r="B103" t="s">
        <v>146</v>
      </c>
      <c r="D103">
        <v>0</v>
      </c>
      <c r="E103">
        <v>0</v>
      </c>
      <c r="F103">
        <v>0</v>
      </c>
      <c r="G103">
        <v>0</v>
      </c>
      <c r="H103">
        <v>0</v>
      </c>
      <c r="I103">
        <v>0</v>
      </c>
      <c r="J103">
        <v>0</v>
      </c>
      <c r="K103">
        <v>0</v>
      </c>
      <c r="L103">
        <v>0</v>
      </c>
      <c r="M103">
        <v>0</v>
      </c>
      <c r="N103">
        <v>0</v>
      </c>
      <c r="O103">
        <v>0</v>
      </c>
      <c r="P103">
        <v>0</v>
      </c>
    </row>
    <row r="104" spans="1:16">
      <c r="A104" s="22">
        <v>64235</v>
      </c>
      <c r="B104" t="s">
        <v>147</v>
      </c>
      <c r="D104">
        <v>0</v>
      </c>
      <c r="E104">
        <v>0</v>
      </c>
      <c r="F104">
        <v>0</v>
      </c>
      <c r="G104">
        <v>0</v>
      </c>
      <c r="H104">
        <v>0</v>
      </c>
      <c r="I104">
        <v>0</v>
      </c>
      <c r="J104">
        <v>0</v>
      </c>
      <c r="K104">
        <v>0</v>
      </c>
      <c r="L104">
        <v>0</v>
      </c>
      <c r="M104">
        <v>0</v>
      </c>
      <c r="N104">
        <v>0</v>
      </c>
      <c r="O104">
        <v>0</v>
      </c>
      <c r="P104">
        <v>0</v>
      </c>
    </row>
    <row r="105" spans="1:16">
      <c r="A105" s="22"/>
      <c r="B105" t="s">
        <v>148</v>
      </c>
      <c r="D105">
        <v>0</v>
      </c>
      <c r="E105">
        <v>0</v>
      </c>
      <c r="F105">
        <v>0</v>
      </c>
      <c r="G105">
        <v>0</v>
      </c>
      <c r="H105">
        <v>0</v>
      </c>
      <c r="I105">
        <v>0</v>
      </c>
      <c r="J105">
        <v>0</v>
      </c>
      <c r="K105">
        <v>0</v>
      </c>
      <c r="L105">
        <v>0</v>
      </c>
      <c r="M105">
        <v>0</v>
      </c>
      <c r="N105">
        <v>0</v>
      </c>
      <c r="O105">
        <v>0</v>
      </c>
      <c r="P105">
        <v>0</v>
      </c>
    </row>
    <row r="106" spans="1:16">
      <c r="A106" s="22"/>
      <c r="B106" t="s">
        <v>149</v>
      </c>
      <c r="D106">
        <v>0</v>
      </c>
      <c r="E106">
        <v>0</v>
      </c>
      <c r="F106">
        <v>0</v>
      </c>
      <c r="G106">
        <v>0</v>
      </c>
      <c r="H106">
        <v>0</v>
      </c>
      <c r="I106">
        <v>0</v>
      </c>
      <c r="J106">
        <v>0</v>
      </c>
      <c r="K106">
        <v>0</v>
      </c>
      <c r="L106">
        <v>0</v>
      </c>
      <c r="M106">
        <v>0</v>
      </c>
      <c r="N106">
        <v>0</v>
      </c>
      <c r="O106">
        <v>0</v>
      </c>
      <c r="P106">
        <v>0</v>
      </c>
    </row>
    <row r="107" spans="1:16">
      <c r="A107" s="21"/>
    </row>
    <row r="108" spans="1:16">
      <c r="A108" s="22">
        <v>412035</v>
      </c>
      <c r="B108" t="s">
        <v>150</v>
      </c>
      <c r="D108">
        <v>0</v>
      </c>
      <c r="E108">
        <v>0</v>
      </c>
      <c r="F108">
        <v>0</v>
      </c>
      <c r="G108">
        <v>0</v>
      </c>
      <c r="H108">
        <v>0</v>
      </c>
      <c r="I108">
        <v>0</v>
      </c>
      <c r="J108">
        <v>0</v>
      </c>
      <c r="K108">
        <v>0</v>
      </c>
      <c r="L108">
        <v>0</v>
      </c>
      <c r="M108">
        <v>0</v>
      </c>
      <c r="N108">
        <v>0</v>
      </c>
      <c r="O108">
        <v>0</v>
      </c>
      <c r="P108">
        <v>0</v>
      </c>
    </row>
    <row r="109" spans="1:16">
      <c r="A109" s="22">
        <v>64335</v>
      </c>
      <c r="B109" t="s">
        <v>151</v>
      </c>
      <c r="D109">
        <v>0</v>
      </c>
      <c r="E109">
        <v>0</v>
      </c>
      <c r="F109">
        <v>0</v>
      </c>
      <c r="G109">
        <v>0</v>
      </c>
      <c r="H109">
        <v>0</v>
      </c>
      <c r="I109">
        <v>0</v>
      </c>
      <c r="J109">
        <v>0</v>
      </c>
      <c r="K109">
        <v>0</v>
      </c>
      <c r="L109">
        <v>0</v>
      </c>
      <c r="M109">
        <v>0</v>
      </c>
      <c r="N109">
        <v>0</v>
      </c>
      <c r="O109">
        <v>0</v>
      </c>
      <c r="P109">
        <v>0</v>
      </c>
    </row>
    <row r="110" spans="1:16">
      <c r="A110" s="22"/>
      <c r="B110" t="s">
        <v>152</v>
      </c>
      <c r="D110">
        <v>0</v>
      </c>
      <c r="E110">
        <v>0</v>
      </c>
      <c r="F110">
        <v>0</v>
      </c>
      <c r="G110">
        <v>0</v>
      </c>
      <c r="H110">
        <v>0</v>
      </c>
      <c r="I110">
        <v>0</v>
      </c>
      <c r="J110">
        <v>0</v>
      </c>
      <c r="K110">
        <v>0</v>
      </c>
      <c r="L110">
        <v>0</v>
      </c>
      <c r="M110">
        <v>0</v>
      </c>
      <c r="N110">
        <v>0</v>
      </c>
      <c r="O110">
        <v>0</v>
      </c>
      <c r="P110">
        <v>0</v>
      </c>
    </row>
    <row r="111" spans="1:16">
      <c r="A111" s="22"/>
      <c r="B111" t="s">
        <v>153</v>
      </c>
      <c r="D111">
        <v>0</v>
      </c>
      <c r="E111">
        <v>0</v>
      </c>
      <c r="F111">
        <v>0</v>
      </c>
      <c r="G111">
        <v>0</v>
      </c>
      <c r="H111">
        <v>0</v>
      </c>
      <c r="I111">
        <v>0</v>
      </c>
      <c r="J111">
        <v>0</v>
      </c>
      <c r="K111">
        <v>0</v>
      </c>
      <c r="L111">
        <v>0</v>
      </c>
      <c r="M111">
        <v>0</v>
      </c>
      <c r="N111">
        <v>0</v>
      </c>
      <c r="O111">
        <v>0</v>
      </c>
      <c r="P111">
        <v>0</v>
      </c>
    </row>
    <row r="112" spans="1:16">
      <c r="A112" s="22"/>
      <c r="C112" t="s">
        <v>98</v>
      </c>
      <c r="D112" t="s">
        <v>88</v>
      </c>
      <c r="E112" t="s">
        <v>72</v>
      </c>
      <c r="F112" t="s">
        <v>72</v>
      </c>
      <c r="G112" t="s">
        <v>72</v>
      </c>
      <c r="H112" t="s">
        <v>72</v>
      </c>
      <c r="I112" t="s">
        <v>72</v>
      </c>
      <c r="J112" t="s">
        <v>72</v>
      </c>
      <c r="K112" t="s">
        <v>72</v>
      </c>
      <c r="L112" t="s">
        <v>72</v>
      </c>
      <c r="M112" t="s">
        <v>72</v>
      </c>
      <c r="N112" t="s">
        <v>72</v>
      </c>
      <c r="O112" t="s">
        <v>72</v>
      </c>
      <c r="P112" t="s">
        <v>72</v>
      </c>
    </row>
    <row r="113" spans="1:16">
      <c r="A113" s="22"/>
      <c r="B113" t="s">
        <v>8</v>
      </c>
      <c r="D113">
        <v>0</v>
      </c>
      <c r="E113">
        <v>0</v>
      </c>
      <c r="F113">
        <v>0</v>
      </c>
      <c r="G113">
        <v>0</v>
      </c>
      <c r="H113">
        <v>0</v>
      </c>
      <c r="I113">
        <v>0</v>
      </c>
      <c r="J113">
        <v>0</v>
      </c>
      <c r="K113">
        <v>0</v>
      </c>
      <c r="L113">
        <v>0</v>
      </c>
      <c r="M113">
        <v>0</v>
      </c>
      <c r="N113">
        <v>0</v>
      </c>
      <c r="O113">
        <v>0</v>
      </c>
      <c r="P113">
        <v>0</v>
      </c>
    </row>
    <row r="114" spans="1:16">
      <c r="A114" s="22"/>
      <c r="B114" t="s">
        <v>99</v>
      </c>
      <c r="D114">
        <v>0</v>
      </c>
      <c r="E114">
        <v>0</v>
      </c>
      <c r="F114">
        <v>0</v>
      </c>
      <c r="G114">
        <v>0</v>
      </c>
      <c r="H114">
        <v>0</v>
      </c>
      <c r="I114">
        <v>0</v>
      </c>
      <c r="J114">
        <v>0</v>
      </c>
      <c r="K114">
        <v>0</v>
      </c>
      <c r="L114">
        <v>0</v>
      </c>
      <c r="M114">
        <v>0</v>
      </c>
      <c r="N114">
        <v>0</v>
      </c>
      <c r="O114">
        <v>0</v>
      </c>
      <c r="P114">
        <v>0</v>
      </c>
    </row>
    <row r="115" spans="1:16">
      <c r="A115" s="22"/>
      <c r="C115" t="s">
        <v>100</v>
      </c>
      <c r="D115" t="s">
        <v>101</v>
      </c>
      <c r="E115" t="s">
        <v>78</v>
      </c>
      <c r="F115" t="s">
        <v>78</v>
      </c>
      <c r="G115" t="s">
        <v>78</v>
      </c>
      <c r="H115" t="s">
        <v>78</v>
      </c>
      <c r="I115" t="s">
        <v>78</v>
      </c>
      <c r="J115" t="s">
        <v>78</v>
      </c>
      <c r="K115" t="s">
        <v>78</v>
      </c>
      <c r="L115" t="s">
        <v>78</v>
      </c>
      <c r="M115" t="s">
        <v>78</v>
      </c>
      <c r="N115" t="s">
        <v>78</v>
      </c>
      <c r="O115" t="s">
        <v>78</v>
      </c>
      <c r="P115" t="s">
        <v>78</v>
      </c>
    </row>
    <row r="117" spans="1:16">
      <c r="A117" s="22" t="s">
        <v>74</v>
      </c>
      <c r="B117" t="s">
        <v>75</v>
      </c>
      <c r="N117" t="s">
        <v>76</v>
      </c>
      <c r="O117" t="s">
        <v>124</v>
      </c>
      <c r="P117" t="s">
        <v>231</v>
      </c>
    </row>
    <row r="118" spans="1:16">
      <c r="A118" s="22" t="s">
        <v>52</v>
      </c>
      <c r="B118" t="s">
        <v>53</v>
      </c>
      <c r="C118" t="s">
        <v>54</v>
      </c>
      <c r="N118" t="s">
        <v>55</v>
      </c>
      <c r="O118" t="s">
        <v>82</v>
      </c>
      <c r="P118">
        <v>0</v>
      </c>
    </row>
    <row r="119" spans="1:16">
      <c r="A119" s="22" t="s">
        <v>83</v>
      </c>
      <c r="B119" t="s">
        <v>84</v>
      </c>
      <c r="N119" t="s">
        <v>85</v>
      </c>
      <c r="O119" t="s">
        <v>86</v>
      </c>
      <c r="P119" t="s">
        <v>229</v>
      </c>
    </row>
    <row r="120" spans="1:16">
      <c r="A120" s="22" t="s">
        <v>56</v>
      </c>
      <c r="B120" t="s">
        <v>57</v>
      </c>
      <c r="N120" t="s">
        <v>87</v>
      </c>
    </row>
    <row r="121" spans="1:16">
      <c r="A121" s="21"/>
    </row>
    <row r="122" spans="1:16">
      <c r="A122" s="22" t="s">
        <v>58</v>
      </c>
      <c r="B122" t="s">
        <v>59</v>
      </c>
      <c r="D122" t="s">
        <v>56</v>
      </c>
      <c r="E122" t="s">
        <v>60</v>
      </c>
      <c r="F122" t="s">
        <v>61</v>
      </c>
      <c r="G122" t="s">
        <v>62</v>
      </c>
      <c r="H122" t="s">
        <v>63</v>
      </c>
      <c r="I122" t="s">
        <v>64</v>
      </c>
      <c r="J122" t="s">
        <v>65</v>
      </c>
      <c r="K122" t="s">
        <v>66</v>
      </c>
      <c r="L122" t="s">
        <v>67</v>
      </c>
      <c r="M122" t="s">
        <v>79</v>
      </c>
      <c r="N122" t="s">
        <v>80</v>
      </c>
      <c r="O122" t="s">
        <v>68</v>
      </c>
      <c r="P122" t="s">
        <v>56</v>
      </c>
    </row>
    <row r="123" spans="1:16">
      <c r="A123" s="22" t="s">
        <v>69</v>
      </c>
      <c r="B123" t="s">
        <v>70</v>
      </c>
      <c r="C123" t="s">
        <v>98</v>
      </c>
      <c r="D123" t="s">
        <v>72</v>
      </c>
      <c r="E123" t="s">
        <v>71</v>
      </c>
      <c r="F123" t="s">
        <v>71</v>
      </c>
      <c r="G123" t="s">
        <v>71</v>
      </c>
      <c r="H123" t="s">
        <v>71</v>
      </c>
      <c r="I123" t="s">
        <v>71</v>
      </c>
      <c r="J123" t="s">
        <v>71</v>
      </c>
      <c r="K123" t="s">
        <v>71</v>
      </c>
      <c r="L123" t="s">
        <v>71</v>
      </c>
      <c r="M123" t="s">
        <v>71</v>
      </c>
      <c r="N123" t="s">
        <v>71</v>
      </c>
      <c r="O123" t="s">
        <v>71</v>
      </c>
      <c r="P123" t="s">
        <v>71</v>
      </c>
    </row>
    <row r="124" spans="1:16">
      <c r="A124" s="21"/>
    </row>
    <row r="125" spans="1:16">
      <c r="A125" s="22"/>
      <c r="B125" t="s">
        <v>154</v>
      </c>
    </row>
    <row r="126" spans="1:16">
      <c r="A126" s="22">
        <v>306436</v>
      </c>
      <c r="B126" t="s">
        <v>155</v>
      </c>
      <c r="D126">
        <v>0</v>
      </c>
      <c r="E126">
        <v>242</v>
      </c>
      <c r="F126">
        <v>0</v>
      </c>
      <c r="G126">
        <v>0</v>
      </c>
      <c r="H126">
        <v>0</v>
      </c>
      <c r="I126">
        <v>0</v>
      </c>
      <c r="J126">
        <v>0</v>
      </c>
      <c r="K126">
        <v>0</v>
      </c>
      <c r="L126">
        <v>0</v>
      </c>
      <c r="M126">
        <v>0</v>
      </c>
      <c r="N126">
        <v>0</v>
      </c>
      <c r="O126">
        <v>0</v>
      </c>
      <c r="P126">
        <v>0</v>
      </c>
    </row>
    <row r="127" spans="1:16">
      <c r="A127" s="22">
        <v>402036</v>
      </c>
      <c r="B127" t="s">
        <v>156</v>
      </c>
      <c r="D127" s="23">
        <v>40109</v>
      </c>
      <c r="E127" s="23">
        <v>37114</v>
      </c>
      <c r="F127" s="23">
        <v>37096</v>
      </c>
      <c r="G127" s="23">
        <v>39574</v>
      </c>
      <c r="H127" s="23">
        <v>43213</v>
      </c>
      <c r="I127" s="23">
        <v>39872</v>
      </c>
      <c r="J127" s="23">
        <v>47023</v>
      </c>
      <c r="K127" s="23">
        <v>38089</v>
      </c>
      <c r="L127" s="23">
        <v>37607</v>
      </c>
      <c r="M127" s="23">
        <v>44082</v>
      </c>
      <c r="N127" s="23">
        <v>34863</v>
      </c>
      <c r="O127" s="23">
        <v>32567</v>
      </c>
      <c r="P127" s="23">
        <v>46646</v>
      </c>
    </row>
    <row r="128" spans="1:16">
      <c r="A128" s="22">
        <v>64236</v>
      </c>
      <c r="B128" t="s">
        <v>157</v>
      </c>
      <c r="D128">
        <v>425</v>
      </c>
      <c r="E128">
        <v>375</v>
      </c>
      <c r="F128">
        <v>381</v>
      </c>
      <c r="G128">
        <v>402</v>
      </c>
      <c r="H128">
        <v>415</v>
      </c>
      <c r="I128">
        <v>388</v>
      </c>
      <c r="J128">
        <v>465</v>
      </c>
      <c r="K128">
        <v>406</v>
      </c>
      <c r="L128">
        <v>404</v>
      </c>
      <c r="M128">
        <v>439</v>
      </c>
      <c r="N128">
        <v>363</v>
      </c>
      <c r="O128">
        <v>333</v>
      </c>
      <c r="P128">
        <v>481</v>
      </c>
    </row>
    <row r="129" spans="1:16">
      <c r="A129" s="22"/>
      <c r="B129" t="s">
        <v>158</v>
      </c>
      <c r="D129">
        <v>-94.37</v>
      </c>
      <c r="E129">
        <v>-98.32</v>
      </c>
      <c r="F129">
        <v>-97.37</v>
      </c>
      <c r="G129">
        <v>-98.44</v>
      </c>
      <c r="H129">
        <v>-104.13</v>
      </c>
      <c r="I129">
        <v>-102.76</v>
      </c>
      <c r="J129">
        <v>-101.13</v>
      </c>
      <c r="K129">
        <v>-93.81</v>
      </c>
      <c r="L129">
        <v>-93.09</v>
      </c>
      <c r="M129">
        <v>-100.41</v>
      </c>
      <c r="N129">
        <v>-96.04</v>
      </c>
      <c r="O129">
        <v>-97.8</v>
      </c>
      <c r="P129">
        <v>-96.98</v>
      </c>
    </row>
    <row r="130" spans="1:16">
      <c r="A130" s="22"/>
      <c r="B130" t="s">
        <v>159</v>
      </c>
      <c r="D130">
        <v>18</v>
      </c>
      <c r="E130">
        <v>16</v>
      </c>
      <c r="F130">
        <v>17</v>
      </c>
      <c r="G130">
        <v>17</v>
      </c>
      <c r="H130">
        <v>18</v>
      </c>
      <c r="I130">
        <v>17</v>
      </c>
      <c r="J130">
        <v>20</v>
      </c>
      <c r="K130">
        <v>18</v>
      </c>
      <c r="L130">
        <v>19</v>
      </c>
      <c r="M130">
        <v>19</v>
      </c>
      <c r="N130">
        <v>15</v>
      </c>
      <c r="O130">
        <v>16</v>
      </c>
      <c r="P130">
        <v>20</v>
      </c>
    </row>
    <row r="131" spans="1:16">
      <c r="A131" s="21"/>
    </row>
    <row r="132" spans="1:16">
      <c r="A132" s="22">
        <v>316436</v>
      </c>
      <c r="B132" t="s">
        <v>160</v>
      </c>
      <c r="D132" s="23">
        <v>5292</v>
      </c>
      <c r="E132" s="23">
        <v>5123</v>
      </c>
      <c r="F132" s="23">
        <v>4747</v>
      </c>
      <c r="G132" s="23">
        <v>4222</v>
      </c>
      <c r="H132" s="23">
        <v>3863</v>
      </c>
      <c r="I132" s="23">
        <v>3561</v>
      </c>
      <c r="J132" s="23">
        <v>4365</v>
      </c>
      <c r="K132" s="23">
        <v>6228</v>
      </c>
      <c r="L132" s="23">
        <v>3778</v>
      </c>
      <c r="M132" s="23">
        <v>4463</v>
      </c>
      <c r="N132" s="23">
        <v>5208</v>
      </c>
      <c r="O132" s="23">
        <v>4637</v>
      </c>
      <c r="P132" s="23">
        <v>4861</v>
      </c>
    </row>
    <row r="133" spans="1:16">
      <c r="A133" s="22">
        <v>412036</v>
      </c>
      <c r="B133" t="s">
        <v>161</v>
      </c>
      <c r="D133" s="23">
        <v>22626</v>
      </c>
      <c r="E133" s="23">
        <v>22344</v>
      </c>
      <c r="F133" s="23">
        <v>21355</v>
      </c>
      <c r="G133" s="23">
        <v>21028</v>
      </c>
      <c r="H133" s="23">
        <v>20294</v>
      </c>
      <c r="I133" s="23">
        <v>16229</v>
      </c>
      <c r="J133" s="23">
        <v>16827</v>
      </c>
      <c r="K133" s="23">
        <v>15501</v>
      </c>
      <c r="L133" s="23">
        <v>12280</v>
      </c>
      <c r="M133" s="23">
        <v>16326</v>
      </c>
      <c r="N133" s="23">
        <v>18478</v>
      </c>
      <c r="O133" s="23">
        <v>17804</v>
      </c>
      <c r="P133" s="23">
        <v>18885</v>
      </c>
    </row>
    <row r="134" spans="1:16">
      <c r="A134" s="22">
        <v>64336</v>
      </c>
      <c r="B134" t="s">
        <v>162</v>
      </c>
      <c r="D134">
        <v>324</v>
      </c>
      <c r="E134">
        <v>313</v>
      </c>
      <c r="F134">
        <v>311</v>
      </c>
      <c r="G134">
        <v>305</v>
      </c>
      <c r="H134">
        <v>296</v>
      </c>
      <c r="I134">
        <v>267</v>
      </c>
      <c r="J134">
        <v>286</v>
      </c>
      <c r="K134">
        <v>249</v>
      </c>
      <c r="L134">
        <v>221</v>
      </c>
      <c r="M134">
        <v>247</v>
      </c>
      <c r="N134">
        <v>264</v>
      </c>
      <c r="O134">
        <v>245</v>
      </c>
      <c r="P134">
        <v>253</v>
      </c>
    </row>
    <row r="135" spans="1:16">
      <c r="A135" s="22"/>
      <c r="B135" t="s">
        <v>163</v>
      </c>
      <c r="D135">
        <v>-53.5</v>
      </c>
      <c r="E135">
        <v>-55.02</v>
      </c>
      <c r="F135">
        <v>-53.4</v>
      </c>
      <c r="G135">
        <v>-55.1</v>
      </c>
      <c r="H135">
        <v>-55.51</v>
      </c>
      <c r="I135">
        <v>-47.45</v>
      </c>
      <c r="J135">
        <v>-43.57</v>
      </c>
      <c r="K135">
        <v>-37.24</v>
      </c>
      <c r="L135">
        <v>-38.47</v>
      </c>
      <c r="M135">
        <v>-48.03</v>
      </c>
      <c r="N135">
        <v>-50.27</v>
      </c>
      <c r="O135">
        <v>-53.74</v>
      </c>
      <c r="P135">
        <v>-55.43</v>
      </c>
    </row>
    <row r="136" spans="1:16">
      <c r="A136" s="22"/>
      <c r="B136" t="s">
        <v>164</v>
      </c>
      <c r="D136">
        <v>14</v>
      </c>
      <c r="E136">
        <v>14</v>
      </c>
      <c r="F136">
        <v>14</v>
      </c>
      <c r="G136">
        <v>13</v>
      </c>
      <c r="H136">
        <v>13</v>
      </c>
      <c r="I136">
        <v>12</v>
      </c>
      <c r="J136">
        <v>12</v>
      </c>
      <c r="K136">
        <v>11</v>
      </c>
      <c r="L136">
        <v>11</v>
      </c>
      <c r="M136">
        <v>11</v>
      </c>
      <c r="N136">
        <v>11</v>
      </c>
      <c r="O136">
        <v>12</v>
      </c>
      <c r="P136">
        <v>11</v>
      </c>
    </row>
    <row r="137" spans="1:16">
      <c r="A137" s="22"/>
      <c r="C137" t="s">
        <v>98</v>
      </c>
      <c r="D137" t="s">
        <v>88</v>
      </c>
      <c r="E137" t="s">
        <v>72</v>
      </c>
      <c r="F137" t="s">
        <v>72</v>
      </c>
      <c r="G137" t="s">
        <v>72</v>
      </c>
      <c r="H137" t="s">
        <v>72</v>
      </c>
      <c r="I137" t="s">
        <v>72</v>
      </c>
      <c r="J137" t="s">
        <v>72</v>
      </c>
      <c r="K137" t="s">
        <v>72</v>
      </c>
      <c r="L137" t="s">
        <v>72</v>
      </c>
      <c r="M137" t="s">
        <v>72</v>
      </c>
      <c r="N137" t="s">
        <v>72</v>
      </c>
      <c r="O137" t="s">
        <v>72</v>
      </c>
      <c r="P137" t="s">
        <v>72</v>
      </c>
    </row>
    <row r="138" spans="1:16">
      <c r="A138" s="22"/>
      <c r="B138" t="s">
        <v>8</v>
      </c>
      <c r="D138">
        <v>749</v>
      </c>
      <c r="E138">
        <v>689</v>
      </c>
      <c r="F138">
        <v>692</v>
      </c>
      <c r="G138">
        <v>707</v>
      </c>
      <c r="H138">
        <v>711</v>
      </c>
      <c r="I138">
        <v>655</v>
      </c>
      <c r="J138">
        <v>750</v>
      </c>
      <c r="K138">
        <v>655</v>
      </c>
      <c r="L138">
        <v>625</v>
      </c>
      <c r="M138">
        <v>687</v>
      </c>
      <c r="N138">
        <v>627</v>
      </c>
      <c r="O138">
        <v>578</v>
      </c>
      <c r="P138">
        <v>734</v>
      </c>
    </row>
    <row r="139" spans="1:16">
      <c r="A139" s="22"/>
      <c r="B139" t="s">
        <v>99</v>
      </c>
      <c r="D139">
        <v>32</v>
      </c>
      <c r="E139">
        <v>30</v>
      </c>
      <c r="F139">
        <v>31</v>
      </c>
      <c r="G139">
        <v>29</v>
      </c>
      <c r="H139">
        <v>31</v>
      </c>
      <c r="I139">
        <v>29</v>
      </c>
      <c r="J139">
        <v>33</v>
      </c>
      <c r="K139">
        <v>28</v>
      </c>
      <c r="L139">
        <v>30</v>
      </c>
      <c r="M139">
        <v>30</v>
      </c>
      <c r="N139">
        <v>26</v>
      </c>
      <c r="O139">
        <v>27</v>
      </c>
      <c r="P139">
        <v>31</v>
      </c>
    </row>
    <row r="140" spans="1:16">
      <c r="A140" s="22"/>
      <c r="C140" t="s">
        <v>100</v>
      </c>
      <c r="D140" t="s">
        <v>101</v>
      </c>
      <c r="E140" t="s">
        <v>78</v>
      </c>
      <c r="F140" t="s">
        <v>78</v>
      </c>
      <c r="G140" t="s">
        <v>78</v>
      </c>
      <c r="H140" t="s">
        <v>78</v>
      </c>
      <c r="I140" t="s">
        <v>78</v>
      </c>
      <c r="J140" t="s">
        <v>78</v>
      </c>
      <c r="K140" t="s">
        <v>78</v>
      </c>
      <c r="L140" t="s">
        <v>78</v>
      </c>
      <c r="M140" t="s">
        <v>78</v>
      </c>
      <c r="N140" t="s">
        <v>78</v>
      </c>
      <c r="O140" t="s">
        <v>78</v>
      </c>
      <c r="P140" t="s">
        <v>78</v>
      </c>
    </row>
    <row r="141" spans="1:16">
      <c r="A141" s="21"/>
    </row>
    <row r="142" spans="1:16">
      <c r="A142" s="22"/>
      <c r="B142" t="s">
        <v>165</v>
      </c>
    </row>
    <row r="143" spans="1:16">
      <c r="A143" s="22">
        <v>306440</v>
      </c>
      <c r="B143" t="s">
        <v>166</v>
      </c>
      <c r="D143">
        <v>462</v>
      </c>
      <c r="E143">
        <v>0</v>
      </c>
      <c r="F143">
        <v>527</v>
      </c>
      <c r="G143">
        <v>340</v>
      </c>
      <c r="H143">
        <v>440</v>
      </c>
      <c r="I143">
        <v>380</v>
      </c>
      <c r="J143">
        <v>682</v>
      </c>
      <c r="K143">
        <v>0</v>
      </c>
      <c r="L143">
        <v>444</v>
      </c>
      <c r="M143">
        <v>486</v>
      </c>
      <c r="N143">
        <v>0</v>
      </c>
      <c r="O143">
        <v>764</v>
      </c>
      <c r="P143">
        <v>549</v>
      </c>
    </row>
    <row r="144" spans="1:16">
      <c r="A144" s="22">
        <v>402040</v>
      </c>
      <c r="B144" t="s">
        <v>167</v>
      </c>
      <c r="D144" s="23">
        <v>19910</v>
      </c>
      <c r="E144" s="23">
        <v>16819</v>
      </c>
      <c r="F144" s="23">
        <v>16752</v>
      </c>
      <c r="G144" s="23">
        <v>17785</v>
      </c>
      <c r="H144" s="23">
        <v>9206</v>
      </c>
      <c r="I144" s="23">
        <v>22977</v>
      </c>
      <c r="J144" s="23">
        <v>37081</v>
      </c>
      <c r="K144" s="23">
        <v>44263</v>
      </c>
      <c r="L144" s="23">
        <v>8282</v>
      </c>
      <c r="M144" s="23">
        <v>16122</v>
      </c>
      <c r="N144" s="23">
        <v>8792</v>
      </c>
      <c r="O144" s="23">
        <v>12536</v>
      </c>
      <c r="P144" s="23">
        <v>23241</v>
      </c>
    </row>
    <row r="145" spans="1:16">
      <c r="A145" s="22">
        <v>64240</v>
      </c>
      <c r="B145" t="s">
        <v>168</v>
      </c>
      <c r="D145">
        <v>306</v>
      </c>
      <c r="E145">
        <v>182</v>
      </c>
      <c r="F145">
        <v>205</v>
      </c>
      <c r="G145">
        <v>211</v>
      </c>
      <c r="H145">
        <v>124</v>
      </c>
      <c r="I145">
        <v>376</v>
      </c>
      <c r="J145">
        <v>651</v>
      </c>
      <c r="K145">
        <v>895</v>
      </c>
      <c r="L145">
        <v>102</v>
      </c>
      <c r="M145">
        <v>194</v>
      </c>
      <c r="N145">
        <v>132</v>
      </c>
      <c r="O145">
        <v>140</v>
      </c>
      <c r="P145">
        <v>271</v>
      </c>
    </row>
    <row r="146" spans="1:16">
      <c r="A146" s="22"/>
      <c r="B146" t="s">
        <v>169</v>
      </c>
      <c r="D146">
        <v>-63.56</v>
      </c>
      <c r="E146">
        <v>-92.41</v>
      </c>
      <c r="F146">
        <v>-79.14</v>
      </c>
      <c r="G146">
        <v>-82.68</v>
      </c>
      <c r="H146">
        <v>-70.69</v>
      </c>
      <c r="I146">
        <v>-60.1</v>
      </c>
      <c r="J146">
        <v>-55.91</v>
      </c>
      <c r="K146">
        <v>-49.46</v>
      </c>
      <c r="L146">
        <v>-76.849999999999994</v>
      </c>
      <c r="M146">
        <v>-80.59</v>
      </c>
      <c r="N146">
        <v>-66.61</v>
      </c>
      <c r="O146">
        <v>-84.08</v>
      </c>
      <c r="P146">
        <v>-83.73</v>
      </c>
    </row>
    <row r="147" spans="1:16">
      <c r="A147" s="22"/>
      <c r="B147" t="s">
        <v>170</v>
      </c>
      <c r="D147">
        <v>13</v>
      </c>
      <c r="E147">
        <v>8</v>
      </c>
      <c r="F147">
        <v>9</v>
      </c>
      <c r="G147">
        <v>9</v>
      </c>
      <c r="H147">
        <v>5</v>
      </c>
      <c r="I147">
        <v>17</v>
      </c>
      <c r="J147">
        <v>28</v>
      </c>
      <c r="K147">
        <v>39</v>
      </c>
      <c r="L147">
        <v>5</v>
      </c>
      <c r="M147">
        <v>8</v>
      </c>
      <c r="N147">
        <v>6</v>
      </c>
      <c r="O147">
        <v>7</v>
      </c>
      <c r="P147">
        <v>11</v>
      </c>
    </row>
    <row r="148" spans="1:16">
      <c r="A148" s="21"/>
    </row>
    <row r="149" spans="1:16">
      <c r="A149" s="22">
        <v>412040</v>
      </c>
      <c r="B149" t="s">
        <v>167</v>
      </c>
      <c r="D149" s="23">
        <v>10207</v>
      </c>
      <c r="E149">
        <v>0</v>
      </c>
      <c r="F149" s="23">
        <v>7794</v>
      </c>
      <c r="G149" s="23">
        <v>8034</v>
      </c>
      <c r="H149" s="23">
        <v>22305</v>
      </c>
      <c r="I149" s="23">
        <v>7548</v>
      </c>
      <c r="J149" s="23">
        <v>11792</v>
      </c>
      <c r="K149">
        <v>783</v>
      </c>
      <c r="L149">
        <v>842</v>
      </c>
      <c r="M149">
        <v>0</v>
      </c>
      <c r="N149" s="23">
        <v>17591</v>
      </c>
      <c r="O149" s="23">
        <v>10387</v>
      </c>
      <c r="P149" s="23">
        <v>1378</v>
      </c>
    </row>
    <row r="150" spans="1:16">
      <c r="A150" s="22">
        <v>64340</v>
      </c>
      <c r="B150" t="s">
        <v>168</v>
      </c>
      <c r="D150">
        <v>139</v>
      </c>
      <c r="E150">
        <v>0</v>
      </c>
      <c r="F150">
        <v>80</v>
      </c>
      <c r="G150">
        <v>100</v>
      </c>
      <c r="H150">
        <v>115</v>
      </c>
      <c r="I150">
        <v>62</v>
      </c>
      <c r="J150">
        <v>73</v>
      </c>
      <c r="K150">
        <v>26</v>
      </c>
      <c r="L150">
        <v>28</v>
      </c>
      <c r="M150">
        <v>0</v>
      </c>
      <c r="N150">
        <v>96</v>
      </c>
      <c r="O150">
        <v>22</v>
      </c>
      <c r="P150">
        <v>28</v>
      </c>
    </row>
    <row r="151" spans="1:16">
      <c r="A151" s="22"/>
      <c r="B151" t="s">
        <v>171</v>
      </c>
      <c r="D151">
        <v>-73.430000000000007</v>
      </c>
      <c r="E151">
        <v>0</v>
      </c>
      <c r="F151">
        <v>-97.43</v>
      </c>
      <c r="G151">
        <v>-80.34</v>
      </c>
      <c r="H151">
        <v>-193.96</v>
      </c>
      <c r="I151">
        <v>-121.75</v>
      </c>
      <c r="J151">
        <v>-161.53</v>
      </c>
      <c r="K151">
        <v>-30.1</v>
      </c>
      <c r="L151">
        <v>-30.08</v>
      </c>
      <c r="M151">
        <v>0</v>
      </c>
      <c r="N151">
        <v>-183.24</v>
      </c>
      <c r="O151">
        <v>-472.11</v>
      </c>
      <c r="P151">
        <v>-49.21</v>
      </c>
    </row>
    <row r="152" spans="1:16">
      <c r="A152" s="22"/>
      <c r="B152" t="s">
        <v>172</v>
      </c>
      <c r="D152">
        <v>6</v>
      </c>
      <c r="E152">
        <v>0</v>
      </c>
      <c r="F152">
        <v>4</v>
      </c>
      <c r="G152">
        <v>4</v>
      </c>
      <c r="H152">
        <v>5</v>
      </c>
      <c r="I152">
        <v>3</v>
      </c>
      <c r="J152">
        <v>3</v>
      </c>
      <c r="K152">
        <v>1</v>
      </c>
      <c r="L152">
        <v>1</v>
      </c>
      <c r="M152">
        <v>0</v>
      </c>
      <c r="N152">
        <v>4</v>
      </c>
      <c r="O152">
        <v>1</v>
      </c>
      <c r="P152">
        <v>1</v>
      </c>
    </row>
    <row r="153" spans="1:16">
      <c r="A153" s="22"/>
      <c r="C153" t="s">
        <v>98</v>
      </c>
      <c r="D153" t="s">
        <v>88</v>
      </c>
      <c r="E153" t="s">
        <v>72</v>
      </c>
      <c r="F153" t="s">
        <v>72</v>
      </c>
      <c r="G153" t="s">
        <v>72</v>
      </c>
      <c r="H153" t="s">
        <v>72</v>
      </c>
      <c r="I153" t="s">
        <v>72</v>
      </c>
      <c r="J153" t="s">
        <v>72</v>
      </c>
      <c r="K153" t="s">
        <v>72</v>
      </c>
      <c r="L153" t="s">
        <v>72</v>
      </c>
      <c r="M153" t="s">
        <v>72</v>
      </c>
      <c r="N153" t="s">
        <v>72</v>
      </c>
      <c r="O153" t="s">
        <v>72</v>
      </c>
      <c r="P153" t="s">
        <v>72</v>
      </c>
    </row>
    <row r="154" spans="1:16">
      <c r="A154" s="22"/>
      <c r="B154" t="s">
        <v>8</v>
      </c>
      <c r="D154">
        <v>445</v>
      </c>
      <c r="E154">
        <v>182</v>
      </c>
      <c r="F154">
        <v>286</v>
      </c>
      <c r="G154">
        <v>312</v>
      </c>
      <c r="H154">
        <v>239</v>
      </c>
      <c r="I154">
        <v>438</v>
      </c>
      <c r="J154">
        <v>723</v>
      </c>
      <c r="K154">
        <v>921</v>
      </c>
      <c r="L154">
        <v>130</v>
      </c>
      <c r="M154">
        <v>194</v>
      </c>
      <c r="N154">
        <v>229</v>
      </c>
      <c r="O154">
        <v>162</v>
      </c>
      <c r="P154">
        <v>299</v>
      </c>
    </row>
    <row r="155" spans="1:16">
      <c r="A155" s="22"/>
      <c r="B155" t="s">
        <v>99</v>
      </c>
      <c r="D155">
        <v>19</v>
      </c>
      <c r="E155">
        <v>8</v>
      </c>
      <c r="F155">
        <v>13</v>
      </c>
      <c r="G155">
        <v>13</v>
      </c>
      <c r="H155">
        <v>10</v>
      </c>
      <c r="I155">
        <v>20</v>
      </c>
      <c r="J155">
        <v>31</v>
      </c>
      <c r="K155">
        <v>40</v>
      </c>
      <c r="L155">
        <v>6</v>
      </c>
      <c r="M155">
        <v>8</v>
      </c>
      <c r="N155">
        <v>10</v>
      </c>
      <c r="O155">
        <v>8</v>
      </c>
      <c r="P155">
        <v>12</v>
      </c>
    </row>
    <row r="156" spans="1:16">
      <c r="A156" s="22"/>
      <c r="C156" t="s">
        <v>100</v>
      </c>
      <c r="D156" t="s">
        <v>101</v>
      </c>
      <c r="E156" t="s">
        <v>78</v>
      </c>
      <c r="F156" t="s">
        <v>78</v>
      </c>
      <c r="G156" t="s">
        <v>78</v>
      </c>
      <c r="H156" t="s">
        <v>78</v>
      </c>
      <c r="I156" t="s">
        <v>78</v>
      </c>
      <c r="J156" t="s">
        <v>78</v>
      </c>
      <c r="K156" t="s">
        <v>78</v>
      </c>
      <c r="L156" t="s">
        <v>78</v>
      </c>
      <c r="M156" t="s">
        <v>78</v>
      </c>
      <c r="N156" t="s">
        <v>78</v>
      </c>
      <c r="O156" t="s">
        <v>78</v>
      </c>
      <c r="P156" t="s">
        <v>78</v>
      </c>
    </row>
    <row r="157" spans="1:16">
      <c r="A157" s="21"/>
    </row>
    <row r="158" spans="1:16">
      <c r="A158" s="22"/>
      <c r="B158" t="s">
        <v>173</v>
      </c>
    </row>
    <row r="159" spans="1:16">
      <c r="A159" s="22">
        <v>306441</v>
      </c>
      <c r="B159" t="s">
        <v>174</v>
      </c>
      <c r="D159">
        <v>0</v>
      </c>
      <c r="E159">
        <v>0</v>
      </c>
      <c r="F159">
        <v>0</v>
      </c>
      <c r="G159">
        <v>0</v>
      </c>
      <c r="H159">
        <v>0</v>
      </c>
      <c r="I159">
        <v>0</v>
      </c>
      <c r="J159">
        <v>0</v>
      </c>
      <c r="K159">
        <v>0</v>
      </c>
      <c r="L159">
        <v>0</v>
      </c>
      <c r="M159">
        <v>0</v>
      </c>
      <c r="N159">
        <v>0</v>
      </c>
      <c r="O159">
        <v>0</v>
      </c>
      <c r="P159">
        <v>0</v>
      </c>
    </row>
    <row r="160" spans="1:16">
      <c r="A160" s="22">
        <v>402041</v>
      </c>
      <c r="B160" t="s">
        <v>175</v>
      </c>
      <c r="D160">
        <v>0</v>
      </c>
      <c r="E160">
        <v>0</v>
      </c>
      <c r="F160">
        <v>0</v>
      </c>
      <c r="G160">
        <v>0</v>
      </c>
      <c r="H160">
        <v>0</v>
      </c>
      <c r="I160">
        <v>0</v>
      </c>
      <c r="J160">
        <v>0</v>
      </c>
      <c r="K160">
        <v>0</v>
      </c>
      <c r="L160">
        <v>0</v>
      </c>
      <c r="M160">
        <v>0</v>
      </c>
      <c r="N160">
        <v>0</v>
      </c>
      <c r="O160">
        <v>0</v>
      </c>
      <c r="P160">
        <v>0</v>
      </c>
    </row>
    <row r="161" spans="1:16">
      <c r="A161" s="22">
        <v>64241</v>
      </c>
      <c r="B161" t="s">
        <v>176</v>
      </c>
      <c r="D161">
        <v>0</v>
      </c>
      <c r="E161">
        <v>0</v>
      </c>
      <c r="F161">
        <v>0</v>
      </c>
      <c r="G161">
        <v>0</v>
      </c>
      <c r="H161">
        <v>0</v>
      </c>
      <c r="I161">
        <v>0</v>
      </c>
      <c r="J161">
        <v>0</v>
      </c>
      <c r="K161">
        <v>0</v>
      </c>
      <c r="L161">
        <v>0</v>
      </c>
      <c r="M161">
        <v>0</v>
      </c>
      <c r="N161">
        <v>0</v>
      </c>
      <c r="O161">
        <v>0</v>
      </c>
      <c r="P161">
        <v>0</v>
      </c>
    </row>
    <row r="162" spans="1:16">
      <c r="A162" s="22"/>
      <c r="B162" t="s">
        <v>177</v>
      </c>
      <c r="D162">
        <v>0</v>
      </c>
      <c r="E162">
        <v>0</v>
      </c>
      <c r="F162">
        <v>0</v>
      </c>
      <c r="G162">
        <v>0</v>
      </c>
      <c r="H162">
        <v>0</v>
      </c>
      <c r="I162">
        <v>0</v>
      </c>
      <c r="J162">
        <v>0</v>
      </c>
      <c r="K162">
        <v>0</v>
      </c>
      <c r="L162">
        <v>0</v>
      </c>
      <c r="M162">
        <v>0</v>
      </c>
      <c r="N162">
        <v>0</v>
      </c>
      <c r="O162">
        <v>0</v>
      </c>
      <c r="P162">
        <v>0</v>
      </c>
    </row>
    <row r="163" spans="1:16">
      <c r="A163" s="22"/>
      <c r="B163" t="s">
        <v>178</v>
      </c>
      <c r="D163">
        <v>0</v>
      </c>
      <c r="E163">
        <v>0</v>
      </c>
      <c r="F163">
        <v>0</v>
      </c>
      <c r="G163">
        <v>0</v>
      </c>
      <c r="H163">
        <v>0</v>
      </c>
      <c r="I163">
        <v>0</v>
      </c>
      <c r="J163">
        <v>0</v>
      </c>
      <c r="K163">
        <v>0</v>
      </c>
      <c r="L163">
        <v>0</v>
      </c>
      <c r="M163">
        <v>0</v>
      </c>
      <c r="N163">
        <v>0</v>
      </c>
      <c r="O163">
        <v>0</v>
      </c>
      <c r="P163">
        <v>0</v>
      </c>
    </row>
    <row r="164" spans="1:16">
      <c r="A164" s="21"/>
    </row>
    <row r="165" spans="1:16">
      <c r="A165" s="22">
        <v>316441</v>
      </c>
      <c r="B165" t="s">
        <v>179</v>
      </c>
      <c r="D165">
        <v>0</v>
      </c>
      <c r="E165">
        <v>0</v>
      </c>
      <c r="F165">
        <v>0</v>
      </c>
      <c r="G165">
        <v>0</v>
      </c>
      <c r="H165">
        <v>0</v>
      </c>
      <c r="I165">
        <v>0</v>
      </c>
      <c r="J165">
        <v>0</v>
      </c>
      <c r="K165">
        <v>0</v>
      </c>
      <c r="L165">
        <v>0</v>
      </c>
      <c r="M165">
        <v>0</v>
      </c>
      <c r="N165">
        <v>0</v>
      </c>
      <c r="O165">
        <v>0</v>
      </c>
      <c r="P165">
        <v>0</v>
      </c>
    </row>
    <row r="166" spans="1:16">
      <c r="A166" s="22">
        <v>412041</v>
      </c>
      <c r="B166" t="s">
        <v>180</v>
      </c>
      <c r="D166">
        <v>0</v>
      </c>
      <c r="E166">
        <v>0</v>
      </c>
      <c r="F166">
        <v>0</v>
      </c>
      <c r="G166">
        <v>0</v>
      </c>
      <c r="H166">
        <v>0</v>
      </c>
      <c r="I166">
        <v>0</v>
      </c>
      <c r="J166">
        <v>0</v>
      </c>
      <c r="K166">
        <v>0</v>
      </c>
      <c r="L166">
        <v>0</v>
      </c>
      <c r="M166">
        <v>0</v>
      </c>
      <c r="N166">
        <v>0</v>
      </c>
      <c r="O166">
        <v>0</v>
      </c>
      <c r="P166">
        <v>0</v>
      </c>
    </row>
    <row r="167" spans="1:16">
      <c r="A167" s="22">
        <v>64341</v>
      </c>
      <c r="B167" t="s">
        <v>181</v>
      </c>
      <c r="D167">
        <v>0</v>
      </c>
      <c r="E167">
        <v>0</v>
      </c>
      <c r="F167">
        <v>0</v>
      </c>
      <c r="G167">
        <v>0</v>
      </c>
      <c r="H167">
        <v>0</v>
      </c>
      <c r="I167">
        <v>0</v>
      </c>
      <c r="J167">
        <v>0</v>
      </c>
      <c r="K167">
        <v>0</v>
      </c>
      <c r="L167">
        <v>0</v>
      </c>
      <c r="M167">
        <v>0</v>
      </c>
      <c r="N167">
        <v>0</v>
      </c>
      <c r="O167">
        <v>0</v>
      </c>
      <c r="P167">
        <v>0</v>
      </c>
    </row>
    <row r="168" spans="1:16">
      <c r="A168" s="22"/>
      <c r="B168" t="s">
        <v>182</v>
      </c>
      <c r="D168">
        <v>0</v>
      </c>
      <c r="E168">
        <v>0</v>
      </c>
      <c r="F168">
        <v>0</v>
      </c>
      <c r="G168">
        <v>0</v>
      </c>
      <c r="H168">
        <v>0</v>
      </c>
      <c r="I168">
        <v>0</v>
      </c>
      <c r="J168">
        <v>0</v>
      </c>
      <c r="K168">
        <v>0</v>
      </c>
      <c r="L168">
        <v>0</v>
      </c>
      <c r="M168">
        <v>0</v>
      </c>
      <c r="N168">
        <v>0</v>
      </c>
      <c r="O168">
        <v>0</v>
      </c>
      <c r="P168">
        <v>0</v>
      </c>
    </row>
    <row r="169" spans="1:16">
      <c r="A169" s="22"/>
      <c r="B169" t="s">
        <v>183</v>
      </c>
      <c r="D169">
        <v>0</v>
      </c>
      <c r="E169">
        <v>0</v>
      </c>
      <c r="F169">
        <v>0</v>
      </c>
      <c r="G169">
        <v>0</v>
      </c>
      <c r="H169">
        <v>0</v>
      </c>
      <c r="I169">
        <v>0</v>
      </c>
      <c r="J169">
        <v>0</v>
      </c>
      <c r="K169">
        <v>0</v>
      </c>
      <c r="L169">
        <v>0</v>
      </c>
      <c r="M169">
        <v>0</v>
      </c>
      <c r="N169">
        <v>0</v>
      </c>
      <c r="O169">
        <v>0</v>
      </c>
      <c r="P169">
        <v>0</v>
      </c>
    </row>
    <row r="170" spans="1:16">
      <c r="A170" s="22"/>
      <c r="C170" t="s">
        <v>98</v>
      </c>
      <c r="D170" t="s">
        <v>88</v>
      </c>
      <c r="E170" t="s">
        <v>72</v>
      </c>
      <c r="F170" t="s">
        <v>72</v>
      </c>
      <c r="G170" t="s">
        <v>72</v>
      </c>
      <c r="H170" t="s">
        <v>72</v>
      </c>
      <c r="I170" t="s">
        <v>72</v>
      </c>
      <c r="J170" t="s">
        <v>72</v>
      </c>
      <c r="K170" t="s">
        <v>72</v>
      </c>
      <c r="L170" t="s">
        <v>72</v>
      </c>
      <c r="M170" t="s">
        <v>72</v>
      </c>
      <c r="N170" t="s">
        <v>72</v>
      </c>
      <c r="O170" t="s">
        <v>72</v>
      </c>
      <c r="P170" t="s">
        <v>72</v>
      </c>
    </row>
    <row r="171" spans="1:16">
      <c r="A171" s="22"/>
      <c r="B171" t="s">
        <v>8</v>
      </c>
      <c r="D171">
        <v>0</v>
      </c>
      <c r="E171">
        <v>0</v>
      </c>
      <c r="F171">
        <v>0</v>
      </c>
      <c r="G171">
        <v>0</v>
      </c>
      <c r="H171">
        <v>0</v>
      </c>
      <c r="I171">
        <v>0</v>
      </c>
      <c r="J171">
        <v>0</v>
      </c>
      <c r="K171">
        <v>0</v>
      </c>
      <c r="L171">
        <v>0</v>
      </c>
      <c r="M171">
        <v>0</v>
      </c>
      <c r="N171">
        <v>0</v>
      </c>
      <c r="O171">
        <v>0</v>
      </c>
      <c r="P171">
        <v>0</v>
      </c>
    </row>
    <row r="172" spans="1:16">
      <c r="A172" s="22"/>
      <c r="B172" t="s">
        <v>99</v>
      </c>
      <c r="D172">
        <v>0</v>
      </c>
      <c r="E172">
        <v>0</v>
      </c>
      <c r="F172">
        <v>0</v>
      </c>
      <c r="G172">
        <v>0</v>
      </c>
      <c r="H172">
        <v>0</v>
      </c>
      <c r="I172">
        <v>0</v>
      </c>
      <c r="J172">
        <v>0</v>
      </c>
      <c r="K172">
        <v>0</v>
      </c>
      <c r="L172">
        <v>0</v>
      </c>
      <c r="M172">
        <v>0</v>
      </c>
      <c r="N172">
        <v>0</v>
      </c>
      <c r="O172">
        <v>0</v>
      </c>
      <c r="P172">
        <v>0</v>
      </c>
    </row>
    <row r="173" spans="1:16">
      <c r="A173" s="22"/>
      <c r="C173" t="s">
        <v>100</v>
      </c>
      <c r="D173" t="s">
        <v>101</v>
      </c>
      <c r="E173" t="s">
        <v>78</v>
      </c>
      <c r="F173" t="s">
        <v>78</v>
      </c>
      <c r="G173" t="s">
        <v>78</v>
      </c>
      <c r="H173" t="s">
        <v>78</v>
      </c>
      <c r="I173" t="s">
        <v>78</v>
      </c>
      <c r="J173" t="s">
        <v>78</v>
      </c>
      <c r="K173" t="s">
        <v>78</v>
      </c>
      <c r="L173" t="s">
        <v>78</v>
      </c>
      <c r="M173" t="s">
        <v>78</v>
      </c>
      <c r="N173" t="s">
        <v>78</v>
      </c>
      <c r="O173" t="s">
        <v>78</v>
      </c>
      <c r="P173" t="s">
        <v>78</v>
      </c>
    </row>
    <row r="175" spans="1:16">
      <c r="A175" s="22" t="s">
        <v>74</v>
      </c>
      <c r="B175" t="s">
        <v>75</v>
      </c>
      <c r="N175" t="s">
        <v>76</v>
      </c>
      <c r="O175" t="s">
        <v>124</v>
      </c>
      <c r="P175" t="s">
        <v>232</v>
      </c>
    </row>
    <row r="176" spans="1:16">
      <c r="A176" s="22" t="s">
        <v>52</v>
      </c>
      <c r="B176" t="s">
        <v>53</v>
      </c>
      <c r="C176" t="s">
        <v>54</v>
      </c>
      <c r="N176" t="s">
        <v>55</v>
      </c>
      <c r="O176" t="s">
        <v>82</v>
      </c>
      <c r="P176">
        <v>0</v>
      </c>
    </row>
    <row r="177" spans="1:16">
      <c r="A177" s="22" t="s">
        <v>83</v>
      </c>
      <c r="B177" t="s">
        <v>84</v>
      </c>
      <c r="N177" t="s">
        <v>85</v>
      </c>
      <c r="O177" t="s">
        <v>86</v>
      </c>
      <c r="P177" t="s">
        <v>229</v>
      </c>
    </row>
    <row r="178" spans="1:16">
      <c r="A178" s="22" t="s">
        <v>56</v>
      </c>
      <c r="B178" t="s">
        <v>57</v>
      </c>
      <c r="N178" t="s">
        <v>87</v>
      </c>
    </row>
    <row r="179" spans="1:16">
      <c r="A179" s="21"/>
    </row>
    <row r="180" spans="1:16">
      <c r="A180" s="22" t="s">
        <v>58</v>
      </c>
      <c r="B180" t="s">
        <v>59</v>
      </c>
      <c r="D180" t="s">
        <v>56</v>
      </c>
      <c r="E180" t="s">
        <v>60</v>
      </c>
      <c r="F180" t="s">
        <v>61</v>
      </c>
      <c r="G180" t="s">
        <v>62</v>
      </c>
      <c r="H180" t="s">
        <v>63</v>
      </c>
      <c r="I180" t="s">
        <v>64</v>
      </c>
      <c r="J180" t="s">
        <v>65</v>
      </c>
      <c r="K180" t="s">
        <v>66</v>
      </c>
      <c r="L180" t="s">
        <v>67</v>
      </c>
      <c r="M180" t="s">
        <v>79</v>
      </c>
      <c r="N180" t="s">
        <v>80</v>
      </c>
      <c r="O180" t="s">
        <v>68</v>
      </c>
      <c r="P180" t="s">
        <v>56</v>
      </c>
    </row>
    <row r="181" spans="1:16">
      <c r="A181" s="22" t="s">
        <v>69</v>
      </c>
      <c r="B181" t="s">
        <v>70</v>
      </c>
      <c r="C181" t="s">
        <v>98</v>
      </c>
      <c r="D181" t="s">
        <v>72</v>
      </c>
      <c r="E181" t="s">
        <v>71</v>
      </c>
      <c r="F181" t="s">
        <v>71</v>
      </c>
      <c r="G181" t="s">
        <v>71</v>
      </c>
      <c r="H181" t="s">
        <v>71</v>
      </c>
      <c r="I181" t="s">
        <v>71</v>
      </c>
      <c r="J181" t="s">
        <v>71</v>
      </c>
      <c r="K181" t="s">
        <v>71</v>
      </c>
      <c r="L181" t="s">
        <v>71</v>
      </c>
      <c r="M181" t="s">
        <v>71</v>
      </c>
      <c r="N181" t="s">
        <v>71</v>
      </c>
      <c r="O181" t="s">
        <v>71</v>
      </c>
      <c r="P181" t="s">
        <v>71</v>
      </c>
    </row>
    <row r="182" spans="1:16">
      <c r="A182" s="21"/>
    </row>
    <row r="183" spans="1:16">
      <c r="A183" s="22"/>
      <c r="B183" t="s">
        <v>184</v>
      </c>
    </row>
    <row r="184" spans="1:16">
      <c r="A184" s="22">
        <v>306443</v>
      </c>
      <c r="B184" t="s">
        <v>185</v>
      </c>
      <c r="D184">
        <v>0</v>
      </c>
      <c r="E184">
        <v>0</v>
      </c>
      <c r="F184">
        <v>0</v>
      </c>
      <c r="G184">
        <v>0</v>
      </c>
      <c r="H184">
        <v>0</v>
      </c>
      <c r="I184">
        <v>0</v>
      </c>
      <c r="J184">
        <v>0</v>
      </c>
      <c r="K184">
        <v>0</v>
      </c>
      <c r="L184">
        <v>0</v>
      </c>
      <c r="M184">
        <v>0</v>
      </c>
      <c r="N184">
        <v>0</v>
      </c>
      <c r="O184">
        <v>0</v>
      </c>
      <c r="P184">
        <v>0</v>
      </c>
    </row>
    <row r="185" spans="1:16">
      <c r="A185" s="22">
        <v>402043</v>
      </c>
      <c r="B185" t="s">
        <v>186</v>
      </c>
      <c r="D185">
        <v>0</v>
      </c>
      <c r="E185">
        <v>0</v>
      </c>
      <c r="F185">
        <v>0</v>
      </c>
      <c r="G185">
        <v>0</v>
      </c>
      <c r="H185">
        <v>0</v>
      </c>
      <c r="I185">
        <v>0</v>
      </c>
      <c r="J185">
        <v>0</v>
      </c>
      <c r="K185">
        <v>0</v>
      </c>
      <c r="L185">
        <v>0</v>
      </c>
      <c r="M185">
        <v>0</v>
      </c>
      <c r="N185">
        <v>0</v>
      </c>
      <c r="O185">
        <v>0</v>
      </c>
      <c r="P185">
        <v>0</v>
      </c>
    </row>
    <row r="186" spans="1:16">
      <c r="A186" s="22">
        <v>64243</v>
      </c>
      <c r="B186" t="s">
        <v>187</v>
      </c>
      <c r="D186">
        <v>0</v>
      </c>
      <c r="E186">
        <v>0</v>
      </c>
      <c r="F186">
        <v>0</v>
      </c>
      <c r="G186">
        <v>0</v>
      </c>
      <c r="H186">
        <v>0</v>
      </c>
      <c r="I186">
        <v>0</v>
      </c>
      <c r="J186">
        <v>0</v>
      </c>
      <c r="K186">
        <v>0</v>
      </c>
      <c r="L186">
        <v>0</v>
      </c>
      <c r="M186">
        <v>0</v>
      </c>
      <c r="N186">
        <v>0</v>
      </c>
      <c r="O186">
        <v>0</v>
      </c>
      <c r="P186">
        <v>0</v>
      </c>
    </row>
    <row r="187" spans="1:16">
      <c r="A187" s="22"/>
      <c r="B187" t="s">
        <v>188</v>
      </c>
      <c r="D187">
        <v>0</v>
      </c>
      <c r="E187">
        <v>0</v>
      </c>
      <c r="F187">
        <v>0</v>
      </c>
      <c r="G187">
        <v>0</v>
      </c>
      <c r="H187">
        <v>0</v>
      </c>
      <c r="I187">
        <v>0</v>
      </c>
      <c r="J187">
        <v>0</v>
      </c>
      <c r="K187">
        <v>0</v>
      </c>
      <c r="L187">
        <v>0</v>
      </c>
      <c r="M187">
        <v>0</v>
      </c>
      <c r="N187">
        <v>0</v>
      </c>
      <c r="O187">
        <v>0</v>
      </c>
      <c r="P187">
        <v>0</v>
      </c>
    </row>
    <row r="188" spans="1:16">
      <c r="A188" s="22"/>
      <c r="B188" t="s">
        <v>189</v>
      </c>
      <c r="D188">
        <v>0</v>
      </c>
      <c r="E188">
        <v>0</v>
      </c>
      <c r="F188">
        <v>0</v>
      </c>
      <c r="G188">
        <v>0</v>
      </c>
      <c r="H188">
        <v>0</v>
      </c>
      <c r="I188">
        <v>0</v>
      </c>
      <c r="J188">
        <v>0</v>
      </c>
      <c r="K188">
        <v>0</v>
      </c>
      <c r="L188">
        <v>0</v>
      </c>
      <c r="M188">
        <v>0</v>
      </c>
      <c r="N188">
        <v>0</v>
      </c>
      <c r="O188">
        <v>0</v>
      </c>
      <c r="P188">
        <v>0</v>
      </c>
    </row>
    <row r="189" spans="1:16">
      <c r="A189" s="21"/>
    </row>
    <row r="190" spans="1:16">
      <c r="A190" s="22">
        <v>412043</v>
      </c>
      <c r="B190" t="s">
        <v>190</v>
      </c>
      <c r="D190">
        <v>0</v>
      </c>
      <c r="E190">
        <v>0</v>
      </c>
      <c r="F190">
        <v>0</v>
      </c>
      <c r="G190">
        <v>0</v>
      </c>
      <c r="H190">
        <v>0</v>
      </c>
      <c r="I190">
        <v>0</v>
      </c>
      <c r="J190">
        <v>0</v>
      </c>
      <c r="K190">
        <v>0</v>
      </c>
      <c r="L190">
        <v>0</v>
      </c>
      <c r="M190">
        <v>0</v>
      </c>
      <c r="N190">
        <v>0</v>
      </c>
      <c r="O190">
        <v>0</v>
      </c>
      <c r="P190">
        <v>0</v>
      </c>
    </row>
    <row r="191" spans="1:16">
      <c r="A191" s="22">
        <v>64343</v>
      </c>
      <c r="B191" t="s">
        <v>191</v>
      </c>
      <c r="D191">
        <v>0</v>
      </c>
      <c r="E191">
        <v>0</v>
      </c>
      <c r="F191">
        <v>0</v>
      </c>
      <c r="G191">
        <v>0</v>
      </c>
      <c r="H191">
        <v>0</v>
      </c>
      <c r="I191">
        <v>0</v>
      </c>
      <c r="J191">
        <v>0</v>
      </c>
      <c r="K191">
        <v>0</v>
      </c>
      <c r="L191">
        <v>0</v>
      </c>
      <c r="M191">
        <v>0</v>
      </c>
      <c r="N191">
        <v>0</v>
      </c>
      <c r="O191">
        <v>0</v>
      </c>
      <c r="P191">
        <v>0</v>
      </c>
    </row>
    <row r="192" spans="1:16">
      <c r="A192" s="22"/>
      <c r="B192" t="s">
        <v>192</v>
      </c>
      <c r="D192">
        <v>0</v>
      </c>
      <c r="E192">
        <v>0</v>
      </c>
      <c r="F192">
        <v>0</v>
      </c>
      <c r="G192">
        <v>0</v>
      </c>
      <c r="H192">
        <v>0</v>
      </c>
      <c r="I192">
        <v>0</v>
      </c>
      <c r="J192">
        <v>0</v>
      </c>
      <c r="K192">
        <v>0</v>
      </c>
      <c r="L192">
        <v>0</v>
      </c>
      <c r="M192">
        <v>0</v>
      </c>
      <c r="N192">
        <v>0</v>
      </c>
      <c r="O192">
        <v>0</v>
      </c>
      <c r="P192">
        <v>0</v>
      </c>
    </row>
    <row r="193" spans="1:16">
      <c r="A193" s="22"/>
      <c r="B193" t="s">
        <v>193</v>
      </c>
      <c r="D193">
        <v>0</v>
      </c>
      <c r="E193">
        <v>0</v>
      </c>
      <c r="F193">
        <v>0</v>
      </c>
      <c r="G193">
        <v>0</v>
      </c>
      <c r="H193">
        <v>0</v>
      </c>
      <c r="I193">
        <v>0</v>
      </c>
      <c r="J193">
        <v>0</v>
      </c>
      <c r="K193">
        <v>0</v>
      </c>
      <c r="L193">
        <v>0</v>
      </c>
      <c r="M193">
        <v>0</v>
      </c>
      <c r="N193">
        <v>0</v>
      </c>
      <c r="O193">
        <v>0</v>
      </c>
      <c r="P193">
        <v>0</v>
      </c>
    </row>
    <row r="194" spans="1:16">
      <c r="A194" s="22"/>
      <c r="C194" t="s">
        <v>98</v>
      </c>
      <c r="D194" t="s">
        <v>88</v>
      </c>
      <c r="E194" t="s">
        <v>72</v>
      </c>
      <c r="F194" t="s">
        <v>72</v>
      </c>
      <c r="G194" t="s">
        <v>72</v>
      </c>
      <c r="H194" t="s">
        <v>72</v>
      </c>
      <c r="I194" t="s">
        <v>72</v>
      </c>
      <c r="J194" t="s">
        <v>72</v>
      </c>
      <c r="K194" t="s">
        <v>72</v>
      </c>
      <c r="L194" t="s">
        <v>72</v>
      </c>
      <c r="M194" t="s">
        <v>72</v>
      </c>
      <c r="N194" t="s">
        <v>72</v>
      </c>
      <c r="O194" t="s">
        <v>72</v>
      </c>
      <c r="P194" t="s">
        <v>72</v>
      </c>
    </row>
    <row r="195" spans="1:16">
      <c r="A195" s="22"/>
      <c r="B195" t="s">
        <v>8</v>
      </c>
      <c r="D195">
        <v>0</v>
      </c>
      <c r="E195">
        <v>0</v>
      </c>
      <c r="F195">
        <v>0</v>
      </c>
      <c r="G195">
        <v>0</v>
      </c>
      <c r="H195">
        <v>0</v>
      </c>
      <c r="I195">
        <v>0</v>
      </c>
      <c r="J195">
        <v>0</v>
      </c>
      <c r="K195">
        <v>0</v>
      </c>
      <c r="L195">
        <v>0</v>
      </c>
      <c r="M195">
        <v>0</v>
      </c>
      <c r="N195">
        <v>0</v>
      </c>
      <c r="O195">
        <v>0</v>
      </c>
      <c r="P195">
        <v>0</v>
      </c>
    </row>
    <row r="196" spans="1:16">
      <c r="A196" s="22"/>
      <c r="B196" t="s">
        <v>99</v>
      </c>
      <c r="D196">
        <v>0</v>
      </c>
      <c r="E196">
        <v>0</v>
      </c>
      <c r="F196">
        <v>0</v>
      </c>
      <c r="G196">
        <v>0</v>
      </c>
      <c r="H196">
        <v>0</v>
      </c>
      <c r="I196">
        <v>0</v>
      </c>
      <c r="J196">
        <v>0</v>
      </c>
      <c r="K196">
        <v>0</v>
      </c>
      <c r="L196">
        <v>0</v>
      </c>
      <c r="M196">
        <v>0</v>
      </c>
      <c r="N196">
        <v>0</v>
      </c>
      <c r="O196">
        <v>0</v>
      </c>
      <c r="P196">
        <v>0</v>
      </c>
    </row>
    <row r="197" spans="1:16">
      <c r="A197" s="22"/>
      <c r="C197" t="s">
        <v>100</v>
      </c>
      <c r="D197" t="s">
        <v>101</v>
      </c>
      <c r="E197" t="s">
        <v>78</v>
      </c>
      <c r="F197" t="s">
        <v>78</v>
      </c>
      <c r="G197" t="s">
        <v>78</v>
      </c>
      <c r="H197" t="s">
        <v>78</v>
      </c>
      <c r="I197" t="s">
        <v>78</v>
      </c>
      <c r="J197" t="s">
        <v>78</v>
      </c>
      <c r="K197" t="s">
        <v>78</v>
      </c>
      <c r="L197" t="s">
        <v>78</v>
      </c>
      <c r="M197" t="s">
        <v>78</v>
      </c>
      <c r="N197" t="s">
        <v>78</v>
      </c>
      <c r="O197" t="s">
        <v>78</v>
      </c>
      <c r="P197" t="s">
        <v>78</v>
      </c>
    </row>
    <row r="198" spans="1:16">
      <c r="A198" s="21"/>
    </row>
    <row r="199" spans="1:16">
      <c r="A199" s="22"/>
      <c r="B199" t="s">
        <v>194</v>
      </c>
    </row>
    <row r="200" spans="1:16">
      <c r="A200" s="22">
        <v>306446</v>
      </c>
      <c r="B200" t="s">
        <v>195</v>
      </c>
      <c r="D200">
        <v>0</v>
      </c>
      <c r="E200">
        <v>0</v>
      </c>
      <c r="F200">
        <v>0</v>
      </c>
      <c r="G200">
        <v>0</v>
      </c>
      <c r="H200">
        <v>0</v>
      </c>
      <c r="I200">
        <v>0</v>
      </c>
      <c r="J200">
        <v>0</v>
      </c>
      <c r="K200">
        <v>0</v>
      </c>
      <c r="L200">
        <v>0</v>
      </c>
      <c r="M200">
        <v>0</v>
      </c>
      <c r="N200">
        <v>0</v>
      </c>
      <c r="O200">
        <v>0</v>
      </c>
      <c r="P200">
        <v>0</v>
      </c>
    </row>
    <row r="201" spans="1:16">
      <c r="A201" s="22">
        <v>402046</v>
      </c>
      <c r="B201" t="s">
        <v>196</v>
      </c>
      <c r="D201">
        <v>0</v>
      </c>
      <c r="E201">
        <v>0</v>
      </c>
      <c r="F201">
        <v>0</v>
      </c>
      <c r="G201">
        <v>0</v>
      </c>
      <c r="H201">
        <v>0</v>
      </c>
      <c r="I201">
        <v>0</v>
      </c>
      <c r="J201">
        <v>0</v>
      </c>
      <c r="K201">
        <v>0</v>
      </c>
      <c r="L201">
        <v>0</v>
      </c>
      <c r="M201">
        <v>0</v>
      </c>
      <c r="N201">
        <v>0</v>
      </c>
      <c r="O201">
        <v>0</v>
      </c>
      <c r="P201">
        <v>0</v>
      </c>
    </row>
    <row r="202" spans="1:16">
      <c r="A202" s="22">
        <v>64246</v>
      </c>
      <c r="B202" t="s">
        <v>197</v>
      </c>
      <c r="D202">
        <v>0</v>
      </c>
      <c r="E202">
        <v>0</v>
      </c>
      <c r="F202">
        <v>0</v>
      </c>
      <c r="G202">
        <v>0</v>
      </c>
      <c r="H202">
        <v>0</v>
      </c>
      <c r="I202">
        <v>0</v>
      </c>
      <c r="J202">
        <v>0</v>
      </c>
      <c r="K202">
        <v>0</v>
      </c>
      <c r="L202">
        <v>0</v>
      </c>
      <c r="M202">
        <v>0</v>
      </c>
      <c r="N202">
        <v>0</v>
      </c>
      <c r="O202">
        <v>0</v>
      </c>
      <c r="P202">
        <v>0</v>
      </c>
    </row>
    <row r="203" spans="1:16">
      <c r="A203" s="22"/>
      <c r="B203" t="s">
        <v>198</v>
      </c>
      <c r="D203">
        <v>0</v>
      </c>
      <c r="E203">
        <v>0</v>
      </c>
      <c r="F203">
        <v>0</v>
      </c>
      <c r="G203">
        <v>0</v>
      </c>
      <c r="H203">
        <v>0</v>
      </c>
      <c r="I203">
        <v>0</v>
      </c>
      <c r="J203">
        <v>0</v>
      </c>
      <c r="K203">
        <v>0</v>
      </c>
      <c r="L203">
        <v>0</v>
      </c>
      <c r="M203">
        <v>0</v>
      </c>
      <c r="N203">
        <v>0</v>
      </c>
      <c r="O203">
        <v>0</v>
      </c>
      <c r="P203">
        <v>0</v>
      </c>
    </row>
    <row r="204" spans="1:16">
      <c r="A204" s="22"/>
      <c r="B204" t="s">
        <v>199</v>
      </c>
      <c r="D204">
        <v>0</v>
      </c>
      <c r="E204">
        <v>0</v>
      </c>
      <c r="F204">
        <v>0</v>
      </c>
      <c r="G204">
        <v>0</v>
      </c>
      <c r="H204">
        <v>0</v>
      </c>
      <c r="I204">
        <v>0</v>
      </c>
      <c r="J204">
        <v>0</v>
      </c>
      <c r="K204">
        <v>0</v>
      </c>
      <c r="L204">
        <v>0</v>
      </c>
      <c r="M204">
        <v>0</v>
      </c>
      <c r="N204">
        <v>0</v>
      </c>
      <c r="O204">
        <v>0</v>
      </c>
      <c r="P204">
        <v>0</v>
      </c>
    </row>
    <row r="205" spans="1:16">
      <c r="A205" s="21"/>
    </row>
    <row r="206" spans="1:16">
      <c r="A206" s="22">
        <v>412046</v>
      </c>
      <c r="B206" t="s">
        <v>200</v>
      </c>
      <c r="D206">
        <v>0</v>
      </c>
      <c r="E206">
        <v>0</v>
      </c>
      <c r="F206">
        <v>0</v>
      </c>
      <c r="G206">
        <v>0</v>
      </c>
      <c r="H206">
        <v>0</v>
      </c>
      <c r="I206">
        <v>0</v>
      </c>
      <c r="J206">
        <v>0</v>
      </c>
      <c r="K206">
        <v>0</v>
      </c>
      <c r="L206">
        <v>0</v>
      </c>
      <c r="M206">
        <v>0</v>
      </c>
      <c r="N206">
        <v>0</v>
      </c>
      <c r="O206">
        <v>0</v>
      </c>
      <c r="P206">
        <v>0</v>
      </c>
    </row>
    <row r="207" spans="1:16">
      <c r="A207" s="22">
        <v>64346</v>
      </c>
      <c r="B207" t="s">
        <v>201</v>
      </c>
      <c r="D207">
        <v>0</v>
      </c>
      <c r="E207">
        <v>0</v>
      </c>
      <c r="F207">
        <v>0</v>
      </c>
      <c r="G207">
        <v>0</v>
      </c>
      <c r="H207">
        <v>0</v>
      </c>
      <c r="I207">
        <v>0</v>
      </c>
      <c r="J207">
        <v>0</v>
      </c>
      <c r="K207">
        <v>0</v>
      </c>
      <c r="L207">
        <v>0</v>
      </c>
      <c r="M207">
        <v>0</v>
      </c>
      <c r="N207">
        <v>0</v>
      </c>
      <c r="O207">
        <v>0</v>
      </c>
      <c r="P207">
        <v>0</v>
      </c>
    </row>
    <row r="208" spans="1:16">
      <c r="A208" s="22"/>
      <c r="B208" t="s">
        <v>202</v>
      </c>
      <c r="D208">
        <v>0</v>
      </c>
      <c r="E208">
        <v>0</v>
      </c>
      <c r="F208">
        <v>0</v>
      </c>
      <c r="G208">
        <v>0</v>
      </c>
      <c r="H208">
        <v>0</v>
      </c>
      <c r="I208">
        <v>0</v>
      </c>
      <c r="J208">
        <v>0</v>
      </c>
      <c r="K208">
        <v>0</v>
      </c>
      <c r="L208">
        <v>0</v>
      </c>
      <c r="M208">
        <v>0</v>
      </c>
      <c r="N208">
        <v>0</v>
      </c>
      <c r="O208">
        <v>0</v>
      </c>
      <c r="P208">
        <v>0</v>
      </c>
    </row>
    <row r="209" spans="1:16">
      <c r="A209" s="22"/>
      <c r="B209" t="s">
        <v>203</v>
      </c>
      <c r="D209">
        <v>0</v>
      </c>
      <c r="E209">
        <v>0</v>
      </c>
      <c r="F209">
        <v>0</v>
      </c>
      <c r="G209">
        <v>0</v>
      </c>
      <c r="H209">
        <v>0</v>
      </c>
      <c r="I209">
        <v>0</v>
      </c>
      <c r="J209">
        <v>0</v>
      </c>
      <c r="K209">
        <v>0</v>
      </c>
      <c r="L209">
        <v>0</v>
      </c>
      <c r="M209">
        <v>0</v>
      </c>
      <c r="N209">
        <v>0</v>
      </c>
      <c r="O209">
        <v>0</v>
      </c>
      <c r="P209">
        <v>0</v>
      </c>
    </row>
    <row r="210" spans="1:16">
      <c r="A210" s="22"/>
      <c r="C210" t="s">
        <v>98</v>
      </c>
      <c r="D210" t="s">
        <v>88</v>
      </c>
      <c r="E210" t="s">
        <v>72</v>
      </c>
      <c r="F210" t="s">
        <v>72</v>
      </c>
      <c r="G210" t="s">
        <v>72</v>
      </c>
      <c r="H210" t="s">
        <v>72</v>
      </c>
      <c r="I210" t="s">
        <v>72</v>
      </c>
      <c r="J210" t="s">
        <v>72</v>
      </c>
      <c r="K210" t="s">
        <v>72</v>
      </c>
      <c r="L210" t="s">
        <v>72</v>
      </c>
      <c r="M210" t="s">
        <v>72</v>
      </c>
      <c r="N210" t="s">
        <v>72</v>
      </c>
      <c r="O210" t="s">
        <v>72</v>
      </c>
      <c r="P210" t="s">
        <v>72</v>
      </c>
    </row>
    <row r="211" spans="1:16">
      <c r="A211" s="22"/>
      <c r="B211" t="s">
        <v>8</v>
      </c>
      <c r="D211">
        <v>0</v>
      </c>
      <c r="E211">
        <v>0</v>
      </c>
      <c r="F211">
        <v>0</v>
      </c>
      <c r="G211">
        <v>0</v>
      </c>
      <c r="H211">
        <v>0</v>
      </c>
      <c r="I211">
        <v>0</v>
      </c>
      <c r="J211">
        <v>0</v>
      </c>
      <c r="K211">
        <v>0</v>
      </c>
      <c r="L211">
        <v>0</v>
      </c>
      <c r="M211">
        <v>0</v>
      </c>
      <c r="N211">
        <v>0</v>
      </c>
      <c r="O211">
        <v>0</v>
      </c>
      <c r="P211">
        <v>0</v>
      </c>
    </row>
    <row r="212" spans="1:16">
      <c r="A212" s="22"/>
      <c r="B212" t="s">
        <v>99</v>
      </c>
      <c r="D212">
        <v>0</v>
      </c>
      <c r="E212">
        <v>0</v>
      </c>
      <c r="F212">
        <v>0</v>
      </c>
      <c r="G212">
        <v>0</v>
      </c>
      <c r="H212">
        <v>0</v>
      </c>
      <c r="I212">
        <v>0</v>
      </c>
      <c r="J212">
        <v>0</v>
      </c>
      <c r="K212">
        <v>0</v>
      </c>
      <c r="L212">
        <v>0</v>
      </c>
      <c r="M212">
        <v>0</v>
      </c>
      <c r="N212">
        <v>0</v>
      </c>
      <c r="O212">
        <v>0</v>
      </c>
      <c r="P212">
        <v>0</v>
      </c>
    </row>
    <row r="213" spans="1:16">
      <c r="A213" s="22"/>
      <c r="C213" t="s">
        <v>100</v>
      </c>
      <c r="D213" t="s">
        <v>101</v>
      </c>
      <c r="E213" t="s">
        <v>78</v>
      </c>
      <c r="F213" t="s">
        <v>78</v>
      </c>
      <c r="G213" t="s">
        <v>78</v>
      </c>
      <c r="H213" t="s">
        <v>78</v>
      </c>
      <c r="I213" t="s">
        <v>78</v>
      </c>
      <c r="J213" t="s">
        <v>78</v>
      </c>
      <c r="K213" t="s">
        <v>78</v>
      </c>
      <c r="L213" t="s">
        <v>78</v>
      </c>
      <c r="M213" t="s">
        <v>78</v>
      </c>
      <c r="N213" t="s">
        <v>78</v>
      </c>
      <c r="O213" t="s">
        <v>78</v>
      </c>
      <c r="P213" t="s">
        <v>78</v>
      </c>
    </row>
    <row r="214" spans="1:16">
      <c r="A214" s="21"/>
    </row>
    <row r="215" spans="1:16">
      <c r="A215" s="22"/>
      <c r="B215" t="s">
        <v>204</v>
      </c>
    </row>
    <row r="216" spans="1:16">
      <c r="A216" s="22">
        <v>306447</v>
      </c>
      <c r="B216" t="s">
        <v>205</v>
      </c>
      <c r="D216">
        <v>0</v>
      </c>
      <c r="E216">
        <v>0</v>
      </c>
      <c r="F216">
        <v>0</v>
      </c>
      <c r="G216">
        <v>0</v>
      </c>
      <c r="H216">
        <v>0</v>
      </c>
      <c r="I216">
        <v>0</v>
      </c>
      <c r="J216">
        <v>0</v>
      </c>
      <c r="K216">
        <v>0</v>
      </c>
      <c r="L216">
        <v>0</v>
      </c>
      <c r="M216">
        <v>0</v>
      </c>
      <c r="N216">
        <v>0</v>
      </c>
      <c r="O216">
        <v>0</v>
      </c>
      <c r="P216">
        <v>0</v>
      </c>
    </row>
    <row r="217" spans="1:16">
      <c r="A217" s="22">
        <v>402047</v>
      </c>
      <c r="B217" t="s">
        <v>206</v>
      </c>
      <c r="D217">
        <v>0</v>
      </c>
      <c r="E217">
        <v>0</v>
      </c>
      <c r="F217">
        <v>0</v>
      </c>
      <c r="G217">
        <v>0</v>
      </c>
      <c r="H217">
        <v>0</v>
      </c>
      <c r="I217">
        <v>0</v>
      </c>
      <c r="J217">
        <v>0</v>
      </c>
      <c r="K217">
        <v>0</v>
      </c>
      <c r="L217">
        <v>0</v>
      </c>
      <c r="M217">
        <v>0</v>
      </c>
      <c r="N217">
        <v>0</v>
      </c>
      <c r="O217">
        <v>0</v>
      </c>
      <c r="P217">
        <v>0</v>
      </c>
    </row>
    <row r="218" spans="1:16">
      <c r="A218" s="22">
        <v>64247</v>
      </c>
      <c r="B218" t="s">
        <v>207</v>
      </c>
      <c r="D218">
        <v>0</v>
      </c>
      <c r="E218">
        <v>0</v>
      </c>
      <c r="F218">
        <v>0</v>
      </c>
      <c r="G218">
        <v>0</v>
      </c>
      <c r="H218">
        <v>0</v>
      </c>
      <c r="I218">
        <v>0</v>
      </c>
      <c r="J218">
        <v>0</v>
      </c>
      <c r="K218">
        <v>0</v>
      </c>
      <c r="L218">
        <v>0</v>
      </c>
      <c r="M218">
        <v>0</v>
      </c>
      <c r="N218">
        <v>0</v>
      </c>
      <c r="O218">
        <v>0</v>
      </c>
      <c r="P218">
        <v>0</v>
      </c>
    </row>
    <row r="219" spans="1:16">
      <c r="A219" s="22"/>
      <c r="B219" t="s">
        <v>208</v>
      </c>
      <c r="D219">
        <v>0</v>
      </c>
      <c r="E219">
        <v>0</v>
      </c>
      <c r="F219">
        <v>0</v>
      </c>
      <c r="G219">
        <v>0</v>
      </c>
      <c r="H219">
        <v>0</v>
      </c>
      <c r="I219">
        <v>0</v>
      </c>
      <c r="J219">
        <v>0</v>
      </c>
      <c r="K219">
        <v>0</v>
      </c>
      <c r="L219">
        <v>0</v>
      </c>
      <c r="M219">
        <v>0</v>
      </c>
      <c r="N219">
        <v>0</v>
      </c>
      <c r="O219">
        <v>0</v>
      </c>
      <c r="P219">
        <v>0</v>
      </c>
    </row>
    <row r="220" spans="1:16">
      <c r="A220" s="22"/>
      <c r="B220" t="s">
        <v>209</v>
      </c>
      <c r="D220">
        <v>0</v>
      </c>
      <c r="E220">
        <v>0</v>
      </c>
      <c r="F220">
        <v>0</v>
      </c>
      <c r="G220">
        <v>0</v>
      </c>
      <c r="H220">
        <v>0</v>
      </c>
      <c r="I220">
        <v>0</v>
      </c>
      <c r="J220">
        <v>0</v>
      </c>
      <c r="K220">
        <v>0</v>
      </c>
      <c r="L220">
        <v>0</v>
      </c>
      <c r="M220">
        <v>0</v>
      </c>
      <c r="N220">
        <v>0</v>
      </c>
      <c r="O220">
        <v>0</v>
      </c>
      <c r="P220">
        <v>0</v>
      </c>
    </row>
    <row r="221" spans="1:16">
      <c r="A221" s="21"/>
    </row>
    <row r="222" spans="1:16">
      <c r="A222" s="22">
        <v>412047</v>
      </c>
      <c r="B222" t="s">
        <v>210</v>
      </c>
      <c r="D222">
        <v>0</v>
      </c>
      <c r="E222">
        <v>0</v>
      </c>
      <c r="F222">
        <v>0</v>
      </c>
      <c r="G222">
        <v>0</v>
      </c>
      <c r="H222">
        <v>0</v>
      </c>
      <c r="I222">
        <v>0</v>
      </c>
      <c r="J222">
        <v>0</v>
      </c>
      <c r="K222">
        <v>0</v>
      </c>
      <c r="L222">
        <v>0</v>
      </c>
      <c r="M222">
        <v>0</v>
      </c>
      <c r="N222">
        <v>0</v>
      </c>
      <c r="O222">
        <v>0</v>
      </c>
      <c r="P222">
        <v>0</v>
      </c>
    </row>
    <row r="223" spans="1:16">
      <c r="A223" s="22">
        <v>64347</v>
      </c>
      <c r="B223" t="s">
        <v>207</v>
      </c>
      <c r="D223">
        <v>0</v>
      </c>
      <c r="E223">
        <v>0</v>
      </c>
      <c r="F223">
        <v>0</v>
      </c>
      <c r="G223">
        <v>0</v>
      </c>
      <c r="H223">
        <v>0</v>
      </c>
      <c r="I223">
        <v>0</v>
      </c>
      <c r="J223">
        <v>0</v>
      </c>
      <c r="K223">
        <v>0</v>
      </c>
      <c r="L223">
        <v>0</v>
      </c>
      <c r="M223">
        <v>0</v>
      </c>
      <c r="N223">
        <v>0</v>
      </c>
      <c r="O223">
        <v>0</v>
      </c>
      <c r="P223">
        <v>0</v>
      </c>
    </row>
    <row r="224" spans="1:16">
      <c r="A224" s="22"/>
      <c r="B224" t="s">
        <v>211</v>
      </c>
      <c r="D224">
        <v>0</v>
      </c>
      <c r="E224">
        <v>0</v>
      </c>
      <c r="F224">
        <v>0</v>
      </c>
      <c r="G224">
        <v>0</v>
      </c>
      <c r="H224">
        <v>0</v>
      </c>
      <c r="I224">
        <v>0</v>
      </c>
      <c r="J224">
        <v>0</v>
      </c>
      <c r="K224">
        <v>0</v>
      </c>
      <c r="L224">
        <v>0</v>
      </c>
      <c r="M224">
        <v>0</v>
      </c>
      <c r="N224">
        <v>0</v>
      </c>
      <c r="O224">
        <v>0</v>
      </c>
      <c r="P224">
        <v>0</v>
      </c>
    </row>
    <row r="225" spans="1:16">
      <c r="A225" s="22"/>
      <c r="B225" t="s">
        <v>212</v>
      </c>
      <c r="D225">
        <v>0</v>
      </c>
      <c r="E225">
        <v>0</v>
      </c>
      <c r="F225">
        <v>0</v>
      </c>
      <c r="G225">
        <v>0</v>
      </c>
      <c r="H225">
        <v>0</v>
      </c>
      <c r="I225">
        <v>0</v>
      </c>
      <c r="J225">
        <v>0</v>
      </c>
      <c r="K225">
        <v>0</v>
      </c>
      <c r="L225">
        <v>0</v>
      </c>
      <c r="M225">
        <v>0</v>
      </c>
      <c r="N225">
        <v>0</v>
      </c>
      <c r="O225">
        <v>0</v>
      </c>
      <c r="P225">
        <v>0</v>
      </c>
    </row>
    <row r="226" spans="1:16">
      <c r="A226" s="22"/>
      <c r="C226" t="s">
        <v>98</v>
      </c>
      <c r="D226" t="s">
        <v>88</v>
      </c>
      <c r="E226" t="s">
        <v>72</v>
      </c>
      <c r="F226" t="s">
        <v>72</v>
      </c>
      <c r="G226" t="s">
        <v>72</v>
      </c>
      <c r="H226" t="s">
        <v>72</v>
      </c>
      <c r="I226" t="s">
        <v>72</v>
      </c>
      <c r="J226" t="s">
        <v>72</v>
      </c>
      <c r="K226" t="s">
        <v>72</v>
      </c>
      <c r="L226" t="s">
        <v>72</v>
      </c>
      <c r="M226" t="s">
        <v>72</v>
      </c>
      <c r="N226" t="s">
        <v>72</v>
      </c>
      <c r="O226" t="s">
        <v>72</v>
      </c>
      <c r="P226" t="s">
        <v>72</v>
      </c>
    </row>
    <row r="227" spans="1:16">
      <c r="A227" s="22"/>
      <c r="B227" t="s">
        <v>8</v>
      </c>
      <c r="D227">
        <v>0</v>
      </c>
      <c r="E227">
        <v>0</v>
      </c>
      <c r="F227">
        <v>0</v>
      </c>
      <c r="G227">
        <v>0</v>
      </c>
      <c r="H227">
        <v>0</v>
      </c>
      <c r="I227">
        <v>0</v>
      </c>
      <c r="J227">
        <v>0</v>
      </c>
      <c r="K227">
        <v>0</v>
      </c>
      <c r="L227">
        <v>0</v>
      </c>
      <c r="M227">
        <v>0</v>
      </c>
      <c r="N227">
        <v>0</v>
      </c>
      <c r="O227">
        <v>0</v>
      </c>
      <c r="P227">
        <v>0</v>
      </c>
    </row>
    <row r="228" spans="1:16">
      <c r="A228" s="22"/>
      <c r="B228" t="s">
        <v>99</v>
      </c>
      <c r="D228">
        <v>0</v>
      </c>
      <c r="E228">
        <v>0</v>
      </c>
      <c r="F228">
        <v>0</v>
      </c>
      <c r="G228">
        <v>0</v>
      </c>
      <c r="H228">
        <v>0</v>
      </c>
      <c r="I228">
        <v>0</v>
      </c>
      <c r="J228">
        <v>0</v>
      </c>
      <c r="K228">
        <v>0</v>
      </c>
      <c r="L228">
        <v>0</v>
      </c>
      <c r="M228">
        <v>0</v>
      </c>
      <c r="N228">
        <v>0</v>
      </c>
      <c r="O228">
        <v>0</v>
      </c>
      <c r="P228">
        <v>0</v>
      </c>
    </row>
    <row r="229" spans="1:16">
      <c r="A229" s="22"/>
      <c r="C229" t="s">
        <v>100</v>
      </c>
      <c r="D229" t="s">
        <v>101</v>
      </c>
      <c r="E229" t="s">
        <v>78</v>
      </c>
      <c r="F229" t="s">
        <v>78</v>
      </c>
      <c r="G229" t="s">
        <v>78</v>
      </c>
      <c r="H229" t="s">
        <v>78</v>
      </c>
      <c r="I229" t="s">
        <v>78</v>
      </c>
      <c r="J229" t="s">
        <v>78</v>
      </c>
      <c r="K229" t="s">
        <v>78</v>
      </c>
      <c r="L229" t="s">
        <v>78</v>
      </c>
      <c r="M229" t="s">
        <v>78</v>
      </c>
      <c r="N229" t="s">
        <v>78</v>
      </c>
      <c r="O229" t="s">
        <v>78</v>
      </c>
      <c r="P229" t="s">
        <v>78</v>
      </c>
    </row>
    <row r="231" spans="1:16">
      <c r="A231" s="22" t="s">
        <v>74</v>
      </c>
      <c r="B231" t="s">
        <v>75</v>
      </c>
      <c r="N231" t="s">
        <v>76</v>
      </c>
      <c r="O231" t="s">
        <v>124</v>
      </c>
      <c r="P231" t="s">
        <v>233</v>
      </c>
    </row>
    <row r="232" spans="1:16">
      <c r="A232" s="22" t="s">
        <v>52</v>
      </c>
      <c r="B232" t="s">
        <v>53</v>
      </c>
      <c r="C232" t="s">
        <v>54</v>
      </c>
      <c r="N232" t="s">
        <v>55</v>
      </c>
      <c r="O232" t="s">
        <v>82</v>
      </c>
      <c r="P232">
        <v>0</v>
      </c>
    </row>
    <row r="233" spans="1:16">
      <c r="A233" s="22" t="s">
        <v>83</v>
      </c>
      <c r="B233" t="s">
        <v>84</v>
      </c>
      <c r="N233" t="s">
        <v>85</v>
      </c>
      <c r="O233" t="s">
        <v>86</v>
      </c>
      <c r="P233" t="s">
        <v>229</v>
      </c>
    </row>
    <row r="234" spans="1:16">
      <c r="A234" s="22" t="s">
        <v>56</v>
      </c>
      <c r="B234" t="s">
        <v>57</v>
      </c>
      <c r="N234" t="s">
        <v>87</v>
      </c>
    </row>
    <row r="235" spans="1:16">
      <c r="A235" s="21"/>
    </row>
    <row r="236" spans="1:16">
      <c r="A236" s="22" t="s">
        <v>58</v>
      </c>
      <c r="B236" t="s">
        <v>59</v>
      </c>
      <c r="D236" t="s">
        <v>56</v>
      </c>
      <c r="E236" t="s">
        <v>60</v>
      </c>
      <c r="F236" t="s">
        <v>61</v>
      </c>
      <c r="G236" t="s">
        <v>62</v>
      </c>
      <c r="H236" t="s">
        <v>63</v>
      </c>
      <c r="I236" t="s">
        <v>64</v>
      </c>
      <c r="J236" t="s">
        <v>65</v>
      </c>
      <c r="K236" t="s">
        <v>66</v>
      </c>
      <c r="L236" t="s">
        <v>67</v>
      </c>
      <c r="M236" t="s">
        <v>79</v>
      </c>
      <c r="N236" t="s">
        <v>80</v>
      </c>
      <c r="O236" t="s">
        <v>68</v>
      </c>
      <c r="P236" t="s">
        <v>56</v>
      </c>
    </row>
    <row r="237" spans="1:16">
      <c r="A237" s="22" t="s">
        <v>69</v>
      </c>
      <c r="B237" t="s">
        <v>70</v>
      </c>
      <c r="C237" t="s">
        <v>98</v>
      </c>
      <c r="D237" t="s">
        <v>72</v>
      </c>
      <c r="E237" t="s">
        <v>71</v>
      </c>
      <c r="F237" t="s">
        <v>71</v>
      </c>
      <c r="G237" t="s">
        <v>71</v>
      </c>
      <c r="H237" t="s">
        <v>71</v>
      </c>
      <c r="I237" t="s">
        <v>71</v>
      </c>
      <c r="J237" t="s">
        <v>71</v>
      </c>
      <c r="K237" t="s">
        <v>71</v>
      </c>
      <c r="L237" t="s">
        <v>71</v>
      </c>
      <c r="M237" t="s">
        <v>71</v>
      </c>
      <c r="N237" t="s">
        <v>71</v>
      </c>
      <c r="O237" t="s">
        <v>71</v>
      </c>
      <c r="P237" t="s">
        <v>71</v>
      </c>
    </row>
    <row r="238" spans="1:16">
      <c r="A238" s="21"/>
    </row>
    <row r="239" spans="1:16">
      <c r="A239" s="22"/>
      <c r="B239" t="s">
        <v>213</v>
      </c>
    </row>
    <row r="240" spans="1:16">
      <c r="A240" s="22">
        <v>306449</v>
      </c>
      <c r="B240" t="s">
        <v>214</v>
      </c>
      <c r="D240">
        <v>0</v>
      </c>
      <c r="E240">
        <v>0</v>
      </c>
      <c r="F240">
        <v>0</v>
      </c>
      <c r="G240">
        <v>0</v>
      </c>
      <c r="H240">
        <v>0</v>
      </c>
      <c r="I240">
        <v>0</v>
      </c>
      <c r="J240">
        <v>0</v>
      </c>
      <c r="K240">
        <v>0</v>
      </c>
      <c r="L240">
        <v>0</v>
      </c>
      <c r="M240">
        <v>0</v>
      </c>
      <c r="N240">
        <v>0</v>
      </c>
      <c r="O240">
        <v>0</v>
      </c>
      <c r="P240">
        <v>0</v>
      </c>
    </row>
    <row r="241" spans="1:16">
      <c r="A241" s="22">
        <v>402049</v>
      </c>
      <c r="B241" t="s">
        <v>215</v>
      </c>
      <c r="D241">
        <v>0</v>
      </c>
      <c r="E241">
        <v>0</v>
      </c>
      <c r="F241">
        <v>0</v>
      </c>
      <c r="G241">
        <v>0</v>
      </c>
      <c r="H241">
        <v>0</v>
      </c>
      <c r="I241">
        <v>0</v>
      </c>
      <c r="J241">
        <v>0</v>
      </c>
      <c r="K241">
        <v>0</v>
      </c>
      <c r="L241">
        <v>0</v>
      </c>
      <c r="M241">
        <v>0</v>
      </c>
      <c r="N241">
        <v>0</v>
      </c>
      <c r="O241">
        <v>0</v>
      </c>
      <c r="P241">
        <v>0</v>
      </c>
    </row>
    <row r="242" spans="1:16">
      <c r="A242" s="22">
        <v>64249</v>
      </c>
      <c r="B242" t="s">
        <v>216</v>
      </c>
      <c r="D242">
        <v>0</v>
      </c>
      <c r="E242">
        <v>0</v>
      </c>
      <c r="F242">
        <v>0</v>
      </c>
      <c r="G242">
        <v>0</v>
      </c>
      <c r="H242">
        <v>0</v>
      </c>
      <c r="I242">
        <v>0</v>
      </c>
      <c r="J242">
        <v>0</v>
      </c>
      <c r="K242">
        <v>0</v>
      </c>
      <c r="L242">
        <v>0</v>
      </c>
      <c r="M242">
        <v>0</v>
      </c>
      <c r="N242">
        <v>0</v>
      </c>
      <c r="O242">
        <v>0</v>
      </c>
      <c r="P242">
        <v>0</v>
      </c>
    </row>
    <row r="243" spans="1:16">
      <c r="A243" s="22"/>
      <c r="B243" t="s">
        <v>217</v>
      </c>
      <c r="D243">
        <v>0</v>
      </c>
      <c r="E243">
        <v>0</v>
      </c>
      <c r="F243">
        <v>0</v>
      </c>
      <c r="G243">
        <v>0</v>
      </c>
      <c r="H243">
        <v>0</v>
      </c>
      <c r="I243">
        <v>0</v>
      </c>
      <c r="J243">
        <v>0</v>
      </c>
      <c r="K243">
        <v>0</v>
      </c>
      <c r="L243">
        <v>0</v>
      </c>
      <c r="M243">
        <v>0</v>
      </c>
      <c r="N243">
        <v>0</v>
      </c>
      <c r="O243">
        <v>0</v>
      </c>
      <c r="P243">
        <v>0</v>
      </c>
    </row>
    <row r="244" spans="1:16">
      <c r="A244" s="22"/>
      <c r="B244" t="s">
        <v>218</v>
      </c>
      <c r="D244">
        <v>0</v>
      </c>
      <c r="E244">
        <v>0</v>
      </c>
      <c r="F244">
        <v>0</v>
      </c>
      <c r="G244">
        <v>0</v>
      </c>
      <c r="H244">
        <v>0</v>
      </c>
      <c r="I244">
        <v>0</v>
      </c>
      <c r="J244">
        <v>0</v>
      </c>
      <c r="K244">
        <v>0</v>
      </c>
      <c r="L244">
        <v>0</v>
      </c>
      <c r="M244">
        <v>0</v>
      </c>
      <c r="N244">
        <v>0</v>
      </c>
      <c r="O244">
        <v>0</v>
      </c>
      <c r="P244">
        <v>0</v>
      </c>
    </row>
    <row r="245" spans="1:16">
      <c r="A245" s="21"/>
    </row>
    <row r="246" spans="1:16">
      <c r="A246" s="22">
        <v>412049</v>
      </c>
      <c r="B246" t="s">
        <v>219</v>
      </c>
      <c r="D246">
        <v>0</v>
      </c>
      <c r="E246">
        <v>0</v>
      </c>
      <c r="F246">
        <v>0</v>
      </c>
      <c r="G246">
        <v>0</v>
      </c>
      <c r="H246">
        <v>0</v>
      </c>
      <c r="I246">
        <v>0</v>
      </c>
      <c r="J246">
        <v>0</v>
      </c>
      <c r="K246">
        <v>0</v>
      </c>
      <c r="L246">
        <v>0</v>
      </c>
      <c r="M246">
        <v>0</v>
      </c>
      <c r="N246">
        <v>0</v>
      </c>
      <c r="O246">
        <v>0</v>
      </c>
      <c r="P246">
        <v>0</v>
      </c>
    </row>
    <row r="247" spans="1:16">
      <c r="A247" s="22">
        <v>64349</v>
      </c>
      <c r="B247" t="s">
        <v>220</v>
      </c>
      <c r="D247">
        <v>0</v>
      </c>
      <c r="E247">
        <v>0</v>
      </c>
      <c r="F247">
        <v>0</v>
      </c>
      <c r="G247">
        <v>0</v>
      </c>
      <c r="H247">
        <v>0</v>
      </c>
      <c r="I247">
        <v>0</v>
      </c>
      <c r="J247">
        <v>0</v>
      </c>
      <c r="K247">
        <v>0</v>
      </c>
      <c r="L247">
        <v>0</v>
      </c>
      <c r="M247">
        <v>0</v>
      </c>
      <c r="N247">
        <v>0</v>
      </c>
      <c r="O247">
        <v>0</v>
      </c>
      <c r="P247">
        <v>0</v>
      </c>
    </row>
    <row r="248" spans="1:16">
      <c r="A248" s="22"/>
      <c r="B248" t="s">
        <v>221</v>
      </c>
      <c r="D248">
        <v>0</v>
      </c>
      <c r="E248">
        <v>0</v>
      </c>
      <c r="F248">
        <v>0</v>
      </c>
      <c r="G248">
        <v>0</v>
      </c>
      <c r="H248">
        <v>0</v>
      </c>
      <c r="I248">
        <v>0</v>
      </c>
      <c r="J248">
        <v>0</v>
      </c>
      <c r="K248">
        <v>0</v>
      </c>
      <c r="L248">
        <v>0</v>
      </c>
      <c r="M248">
        <v>0</v>
      </c>
      <c r="N248">
        <v>0</v>
      </c>
      <c r="O248">
        <v>0</v>
      </c>
      <c r="P248">
        <v>0</v>
      </c>
    </row>
    <row r="249" spans="1:16">
      <c r="A249" s="22"/>
      <c r="B249" t="s">
        <v>222</v>
      </c>
      <c r="D249">
        <v>0</v>
      </c>
      <c r="E249">
        <v>0</v>
      </c>
      <c r="F249">
        <v>0</v>
      </c>
      <c r="G249">
        <v>0</v>
      </c>
      <c r="H249">
        <v>0</v>
      </c>
      <c r="I249">
        <v>0</v>
      </c>
      <c r="J249">
        <v>0</v>
      </c>
      <c r="K249">
        <v>0</v>
      </c>
      <c r="L249">
        <v>0</v>
      </c>
      <c r="M249">
        <v>0</v>
      </c>
      <c r="N249">
        <v>0</v>
      </c>
      <c r="O249">
        <v>0</v>
      </c>
      <c r="P249">
        <v>0</v>
      </c>
    </row>
    <row r="250" spans="1:16">
      <c r="A250" s="22"/>
      <c r="C250" t="s">
        <v>98</v>
      </c>
      <c r="D250" t="s">
        <v>88</v>
      </c>
      <c r="E250" t="s">
        <v>72</v>
      </c>
      <c r="F250" t="s">
        <v>72</v>
      </c>
      <c r="G250" t="s">
        <v>72</v>
      </c>
      <c r="H250" t="s">
        <v>72</v>
      </c>
      <c r="I250" t="s">
        <v>72</v>
      </c>
      <c r="J250" t="s">
        <v>72</v>
      </c>
      <c r="K250" t="s">
        <v>72</v>
      </c>
      <c r="L250" t="s">
        <v>72</v>
      </c>
      <c r="M250" t="s">
        <v>72</v>
      </c>
      <c r="N250" t="s">
        <v>72</v>
      </c>
      <c r="O250" t="s">
        <v>72</v>
      </c>
      <c r="P250" t="s">
        <v>72</v>
      </c>
    </row>
    <row r="251" spans="1:16">
      <c r="A251" s="22"/>
      <c r="B251" t="s">
        <v>8</v>
      </c>
      <c r="D251">
        <v>0</v>
      </c>
      <c r="E251">
        <v>0</v>
      </c>
      <c r="F251">
        <v>0</v>
      </c>
      <c r="G251">
        <v>0</v>
      </c>
      <c r="H251">
        <v>0</v>
      </c>
      <c r="I251">
        <v>0</v>
      </c>
      <c r="J251">
        <v>0</v>
      </c>
      <c r="K251">
        <v>0</v>
      </c>
      <c r="L251">
        <v>0</v>
      </c>
      <c r="M251">
        <v>0</v>
      </c>
      <c r="N251">
        <v>0</v>
      </c>
      <c r="O251">
        <v>0</v>
      </c>
      <c r="P251">
        <v>0</v>
      </c>
    </row>
    <row r="252" spans="1:16">
      <c r="A252" s="22"/>
      <c r="B252" t="s">
        <v>99</v>
      </c>
      <c r="D252">
        <v>0</v>
      </c>
      <c r="E252">
        <v>0</v>
      </c>
      <c r="F252">
        <v>0</v>
      </c>
      <c r="G252">
        <v>0</v>
      </c>
      <c r="H252">
        <v>0</v>
      </c>
      <c r="I252">
        <v>0</v>
      </c>
      <c r="J252">
        <v>0</v>
      </c>
      <c r="K252">
        <v>0</v>
      </c>
      <c r="L252">
        <v>0</v>
      </c>
      <c r="M252">
        <v>0</v>
      </c>
      <c r="N252">
        <v>0</v>
      </c>
      <c r="O252">
        <v>0</v>
      </c>
      <c r="P252">
        <v>0</v>
      </c>
    </row>
    <row r="253" spans="1:16">
      <c r="A253" s="22"/>
      <c r="C253" t="s">
        <v>100</v>
      </c>
      <c r="D253" t="s">
        <v>101</v>
      </c>
      <c r="E253" t="s">
        <v>78</v>
      </c>
      <c r="F253" t="s">
        <v>78</v>
      </c>
      <c r="G253" t="s">
        <v>78</v>
      </c>
      <c r="H253" t="s">
        <v>78</v>
      </c>
      <c r="I253" t="s">
        <v>78</v>
      </c>
      <c r="J253" t="s">
        <v>78</v>
      </c>
      <c r="K253" t="s">
        <v>78</v>
      </c>
      <c r="L253" t="s">
        <v>78</v>
      </c>
      <c r="M253" t="s">
        <v>78</v>
      </c>
      <c r="N253" t="s">
        <v>78</v>
      </c>
      <c r="O253" t="s">
        <v>78</v>
      </c>
      <c r="P253" t="s">
        <v>78</v>
      </c>
    </row>
    <row r="254" spans="1:16">
      <c r="A254" s="21"/>
    </row>
    <row r="255" spans="1:16">
      <c r="A255" s="22"/>
      <c r="B255" t="s">
        <v>223</v>
      </c>
    </row>
    <row r="256" spans="1:16">
      <c r="A256" s="22"/>
      <c r="B256" t="s">
        <v>224</v>
      </c>
      <c r="D256" s="23">
        <v>8605</v>
      </c>
      <c r="E256" s="23">
        <v>8874</v>
      </c>
      <c r="F256" s="23">
        <v>8565</v>
      </c>
      <c r="G256" s="23">
        <v>8995</v>
      </c>
      <c r="H256" s="23">
        <v>8726</v>
      </c>
      <c r="I256" s="23">
        <v>8352</v>
      </c>
      <c r="J256" s="23">
        <v>8892</v>
      </c>
      <c r="K256" s="23">
        <v>9173</v>
      </c>
      <c r="L256" s="23">
        <v>7386</v>
      </c>
      <c r="M256" s="23">
        <v>8786</v>
      </c>
      <c r="N256" s="23">
        <v>9232</v>
      </c>
      <c r="O256" s="23">
        <v>7679</v>
      </c>
      <c r="P256" s="23">
        <v>9165</v>
      </c>
    </row>
    <row r="257" spans="1:16">
      <c r="A257" s="22"/>
      <c r="B257" t="s">
        <v>225</v>
      </c>
      <c r="D257" s="23">
        <v>9028</v>
      </c>
      <c r="E257" s="23">
        <v>9190</v>
      </c>
      <c r="F257" s="23">
        <v>8606</v>
      </c>
      <c r="G257" s="23">
        <v>9293</v>
      </c>
      <c r="H257" s="23">
        <v>9334</v>
      </c>
      <c r="I257" s="23">
        <v>8486</v>
      </c>
      <c r="J257" s="23">
        <v>8720</v>
      </c>
      <c r="K257" s="23">
        <v>8660</v>
      </c>
      <c r="L257" s="23">
        <v>7790</v>
      </c>
      <c r="M257" s="23">
        <v>9389</v>
      </c>
      <c r="N257" s="23">
        <v>9851</v>
      </c>
      <c r="O257" s="23">
        <v>8094</v>
      </c>
      <c r="P257" s="23">
        <v>9233</v>
      </c>
    </row>
    <row r="258" spans="1:16">
      <c r="A258" s="22"/>
      <c r="C258" t="s">
        <v>98</v>
      </c>
      <c r="D258" t="s">
        <v>88</v>
      </c>
      <c r="E258" t="s">
        <v>72</v>
      </c>
      <c r="F258" t="s">
        <v>72</v>
      </c>
      <c r="G258" t="s">
        <v>72</v>
      </c>
      <c r="H258" t="s">
        <v>72</v>
      </c>
      <c r="I258" t="s">
        <v>72</v>
      </c>
      <c r="J258" t="s">
        <v>72</v>
      </c>
      <c r="K258" t="s">
        <v>72</v>
      </c>
      <c r="L258" t="s">
        <v>72</v>
      </c>
      <c r="M258" t="s">
        <v>72</v>
      </c>
      <c r="N258" t="s">
        <v>72</v>
      </c>
      <c r="O258" t="s">
        <v>72</v>
      </c>
      <c r="P258" t="s">
        <v>72</v>
      </c>
    </row>
    <row r="259" spans="1:16">
      <c r="A259" s="22"/>
      <c r="B259" t="s">
        <v>226</v>
      </c>
      <c r="D259" s="23">
        <v>17634</v>
      </c>
      <c r="E259" s="23">
        <v>18065</v>
      </c>
      <c r="F259" s="23">
        <v>17171</v>
      </c>
      <c r="G259" s="23">
        <v>18288</v>
      </c>
      <c r="H259" s="23">
        <v>18060</v>
      </c>
      <c r="I259" s="23">
        <v>16839</v>
      </c>
      <c r="J259" s="23">
        <v>17612</v>
      </c>
      <c r="K259" s="23">
        <v>17833</v>
      </c>
      <c r="L259" s="23">
        <v>15176</v>
      </c>
      <c r="M259" s="23">
        <v>18175</v>
      </c>
      <c r="N259" s="23">
        <v>19083</v>
      </c>
      <c r="O259" s="23">
        <v>15774</v>
      </c>
      <c r="P259" s="23">
        <v>18398</v>
      </c>
    </row>
    <row r="260" spans="1:16">
      <c r="A260" s="22"/>
      <c r="B260" t="s">
        <v>227</v>
      </c>
      <c r="D260">
        <v>370</v>
      </c>
      <c r="E260">
        <v>386</v>
      </c>
      <c r="F260">
        <v>385</v>
      </c>
      <c r="G260">
        <v>375</v>
      </c>
      <c r="H260">
        <v>379</v>
      </c>
      <c r="I260">
        <v>375</v>
      </c>
      <c r="J260">
        <v>387</v>
      </c>
      <c r="K260">
        <v>399</v>
      </c>
      <c r="L260">
        <v>352</v>
      </c>
      <c r="M260">
        <v>378</v>
      </c>
      <c r="N260">
        <v>385</v>
      </c>
      <c r="O260">
        <v>361</v>
      </c>
      <c r="P260">
        <v>382</v>
      </c>
    </row>
    <row r="261" spans="1:16">
      <c r="A261" s="22"/>
      <c r="B261" t="s">
        <v>228</v>
      </c>
      <c r="D261">
        <v>388</v>
      </c>
      <c r="E261">
        <v>400</v>
      </c>
      <c r="F261">
        <v>387</v>
      </c>
      <c r="G261">
        <v>387</v>
      </c>
      <c r="H261">
        <v>406</v>
      </c>
      <c r="I261">
        <v>381</v>
      </c>
      <c r="J261">
        <v>379</v>
      </c>
      <c r="K261">
        <v>377</v>
      </c>
      <c r="L261">
        <v>371</v>
      </c>
      <c r="M261">
        <v>404</v>
      </c>
      <c r="N261">
        <v>410</v>
      </c>
      <c r="O261">
        <v>381</v>
      </c>
      <c r="P261">
        <v>385</v>
      </c>
    </row>
    <row r="262" spans="1:16">
      <c r="A262" s="22"/>
      <c r="B262" t="s">
        <v>77</v>
      </c>
      <c r="D262">
        <v>758</v>
      </c>
      <c r="E262">
        <v>785</v>
      </c>
      <c r="F262">
        <v>772</v>
      </c>
      <c r="G262">
        <v>762</v>
      </c>
      <c r="H262">
        <v>785</v>
      </c>
      <c r="I262">
        <v>757</v>
      </c>
      <c r="J262">
        <v>766</v>
      </c>
      <c r="K262">
        <v>775</v>
      </c>
      <c r="L262">
        <v>723</v>
      </c>
      <c r="M262">
        <v>782</v>
      </c>
      <c r="N262">
        <v>795</v>
      </c>
      <c r="O262">
        <v>742</v>
      </c>
      <c r="P262">
        <v>767</v>
      </c>
    </row>
  </sheetData>
  <pageMargins left="0.7" right="0.7" top="0.75" bottom="0.75" header="0.3" footer="0.3"/>
  <pageSetup paperSize="9" scale="70" fitToHeight="0" orientation="landscape"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2015-12-17T08:00:00+00:00</OpenedDate>
    <Date1 xmlns="dc463f71-b30c-4ab2-9473-d307f9d35888">2015-12-17T08:00:00+00:00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152369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91FA2E3EC9E25429E856AE320E3E8DB" ma:contentTypeVersion="119" ma:contentTypeDescription="" ma:contentTypeScope="" ma:versionID="8fac8e3486070c96b351e61244604db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530EB3E-E812-4C34-B373-9349FD1F5D9B}"/>
</file>

<file path=customXml/itemProps2.xml><?xml version="1.0" encoding="utf-8"?>
<ds:datastoreItem xmlns:ds="http://schemas.openxmlformats.org/officeDocument/2006/customXml" ds:itemID="{54BB9BB1-9BD5-4938-A4B9-10628DECF003}"/>
</file>

<file path=customXml/itemProps3.xml><?xml version="1.0" encoding="utf-8"?>
<ds:datastoreItem xmlns:ds="http://schemas.openxmlformats.org/officeDocument/2006/customXml" ds:itemID="{9D54DF06-C24E-4BB9-AC1F-6651C1051366}"/>
</file>

<file path=customXml/itemProps4.xml><?xml version="1.0" encoding="utf-8"?>
<ds:datastoreItem xmlns:ds="http://schemas.openxmlformats.org/officeDocument/2006/customXml" ds:itemID="{66AD70AD-D0FC-4258-AC0F-210585DF6E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Rate Adjustment Summary</vt:lpstr>
      <vt:lpstr>4172 Tonnage</vt:lpstr>
      <vt:lpstr>Wage Summary</vt:lpstr>
      <vt:lpstr>Wage Details</vt:lpstr>
      <vt:lpstr>MRF Tonnage</vt:lpstr>
      <vt:lpstr>'4172 Tonnage'!Print_Area</vt:lpstr>
      <vt:lpstr>'Wage Details'!Print_Area</vt:lpstr>
    </vt:vector>
  </TitlesOfParts>
  <Company>Republic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Brenner, Alex</dc:creator>
  <cp:lastModifiedBy>Brenner, Alex</cp:lastModifiedBy>
  <cp:lastPrinted>2015-12-17T17:49:10Z</cp:lastPrinted>
  <dcterms:created xsi:type="dcterms:W3CDTF">2015-11-16T21:33:58Z</dcterms:created>
  <dcterms:modified xsi:type="dcterms:W3CDTF">2015-12-17T17:49:16Z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0x0101006E56B4D1795A2E4DB2F0B01679ED314A00F91FA2E3EC9E25429E856AE320E3E8DB</vt:lpwstr>
  </property>
  <property fmtid="{D5CDD505-2E9C-101B-9397-08002B2CF9AE}" pid="3" name="_docset_NoMedatataSyncRequired">
    <vt:lpwstr>False</vt:lpwstr>
  </property>
</Properties>
</file>