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huang\Documents\DATA\Avista\GRC\UE-160228 GRC\Workpaper-Haung\JH-4\"/>
    </mc:Choice>
  </mc:AlternateContent>
  <bookViews>
    <workbookView xWindow="0" yWindow="0" windowWidth="19200" windowHeight="6730"/>
  </bookViews>
  <sheets>
    <sheet name="Electric-3.09" sheetId="2" r:id="rId1"/>
    <sheet name="Gas-3.08" sheetId="3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2" l="1"/>
  <c r="E71" i="2"/>
  <c r="E70" i="2"/>
  <c r="E69" i="2"/>
  <c r="E68" i="2"/>
  <c r="E67" i="2"/>
  <c r="E64" i="2"/>
  <c r="E63" i="2"/>
  <c r="E62" i="2"/>
  <c r="E61" i="2"/>
  <c r="E60" i="2"/>
  <c r="E65" i="2" s="1"/>
  <c r="E43" i="2"/>
  <c r="E45" i="2" s="1"/>
  <c r="E32" i="2"/>
  <c r="E35" i="2" s="1"/>
  <c r="E25" i="2"/>
  <c r="E28" i="2" s="1"/>
  <c r="E17" i="2"/>
  <c r="E19" i="2" s="1"/>
  <c r="A4" i="3"/>
  <c r="A3" i="3"/>
  <c r="A1" i="3"/>
  <c r="E73" i="3"/>
  <c r="E70" i="3"/>
  <c r="E69" i="3"/>
  <c r="E68" i="3"/>
  <c r="E71" i="3" s="1"/>
  <c r="E64" i="3"/>
  <c r="E63" i="3"/>
  <c r="E62" i="3"/>
  <c r="E47" i="3"/>
  <c r="E44" i="3"/>
  <c r="E34" i="3"/>
  <c r="E36" i="3" s="1"/>
  <c r="E28" i="3"/>
  <c r="E30" i="3" s="1"/>
  <c r="E24" i="3"/>
  <c r="E17" i="3"/>
  <c r="E65" i="3" l="1"/>
  <c r="E72" i="2"/>
  <c r="E73" i="2" s="1"/>
  <c r="E76" i="2" s="1"/>
  <c r="E80" i="2" s="1"/>
  <c r="E52" i="2" s="1"/>
  <c r="E46" i="2"/>
  <c r="E48" i="2"/>
  <c r="E72" i="3"/>
  <c r="E74" i="3" s="1"/>
  <c r="E81" i="3" s="1"/>
  <c r="E54" i="3" s="1"/>
  <c r="E48" i="3"/>
  <c r="E50" i="3" s="1"/>
  <c r="E51" i="2" l="1"/>
  <c r="E56" i="2" s="1"/>
  <c r="E53" i="3"/>
  <c r="E58" i="3" s="1"/>
</calcChain>
</file>

<file path=xl/sharedStrings.xml><?xml version="1.0" encoding="utf-8"?>
<sst xmlns="http://schemas.openxmlformats.org/spreadsheetml/2006/main" count="140" uniqueCount="106">
  <si>
    <t xml:space="preserve">AVISTA UTILITIES  </t>
  </si>
  <si>
    <t xml:space="preserve">WASHINGTON ELECTRIC RESULTS - ATTRITION ADJUSTED PRO FORMA </t>
  </si>
  <si>
    <t>TWELVE MONTHS ENDED SEPTEMBER 30, 2015</t>
  </si>
  <si>
    <t xml:space="preserve">(000'S OF DOLLARS)  </t>
  </si>
  <si>
    <t>Line</t>
  </si>
  <si>
    <t>No.</t>
  </si>
  <si>
    <t>DESCRIPTION</t>
  </si>
  <si>
    <t xml:space="preserve">Adjustment Number </t>
  </si>
  <si>
    <t>Workpaper Reference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</si>
  <si>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</si>
  <si>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</si>
  <si>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</si>
  <si>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</si>
  <si>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</si>
  <si>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</si>
  <si>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</si>
  <si>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</si>
  <si>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</si>
  <si>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</si>
  <si>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</si>
  <si>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</si>
  <si>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</si>
  <si>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</si>
  <si>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</si>
  <si>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</si>
  <si>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</si>
  <si>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</si>
  <si>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</si>
  <si>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</si>
  <si>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</si>
  <si>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</si>
  <si>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</si>
  <si>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</si>
  <si>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</si>
  <si>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</si>
  <si>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</si>
  <si>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</si>
  <si>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</si>
  <si>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</si>
  <si>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</si>
  <si>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</si>
  <si>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</si>
  <si>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</si>
  <si>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</si>
  <si>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</si>
  <si>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</si>
  <si>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</si>
  <si>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</si>
  <si>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</si>
  <si>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</si>
  <si>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</si>
  <si>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</si>
  <si>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>DEFERRED DEBITS AND CREDITS &amp; OTHER</t>
  </si>
  <si>
    <t xml:space="preserve">WORKING CAPITAL </t>
  </si>
  <si>
    <t xml:space="preserve">TOTAL RATE BASE  </t>
  </si>
  <si>
    <t>Contested</t>
  </si>
  <si>
    <t xml:space="preserve">Pro Forma </t>
  </si>
  <si>
    <t>Pro Forma</t>
  </si>
  <si>
    <t>Capital Add</t>
  </si>
  <si>
    <t>Dec 2015 AMA</t>
  </si>
  <si>
    <t>G-PCAP15</t>
  </si>
  <si>
    <t xml:space="preserve">WASHINGTON NATURAL GAS - ATTRITION ADJUSTED PRO FORMA STUDY </t>
  </si>
  <si>
    <t>Adjustment Number</t>
  </si>
  <si>
    <t>REVENUES</t>
  </si>
  <si>
    <t>Total General Business</t>
  </si>
  <si>
    <t>Total Transportation</t>
  </si>
  <si>
    <t>Other Revenues</t>
  </si>
  <si>
    <t>Total Gas Revenues</t>
  </si>
  <si>
    <t>EXPENSES</t>
  </si>
  <si>
    <t>Production 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</si>
  <si>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</si>
  <si>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</si>
  <si>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</si>
  <si>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</si>
  <si>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</si>
  <si>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</si>
  <si>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Taxes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</si>
  <si>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</si>
  <si>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</si>
  <si>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</si>
  <si>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</si>
  <si>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</si>
  <si>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</si>
  <si>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</si>
  <si>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Regulatory Amortizations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</si>
  <si>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</si>
  <si>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</si>
  <si>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</si>
  <si>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</si>
  <si>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</si>
  <si>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</si>
  <si>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</si>
  <si>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</si>
  <si>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</t>
  </si>
  <si>
    <t>PLANT IN SERVICE</t>
  </si>
  <si>
    <t>Distribution Plant</t>
  </si>
  <si>
    <t>General Plant</t>
  </si>
  <si>
    <t>Total Plant in Service</t>
  </si>
  <si>
    <t>Total Accumulated Depreciation/Amortization</t>
  </si>
  <si>
    <t>NET PLANT</t>
  </si>
  <si>
    <t>DEFERRED TAXES</t>
  </si>
  <si>
    <t>GAS INVENTORY</t>
  </si>
  <si>
    <t>GAIN ON SALE OF BUILDING</t>
  </si>
  <si>
    <t>OTHER</t>
  </si>
  <si>
    <t>TOTAL RATE BASE</t>
  </si>
  <si>
    <t>E-PCAP15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</si>
</sst>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u/>
      <sz val="7.5"/>
      <color theme="0"/>
      <name val="Arial"/>
      <family val="2"/>
    </font>
    <font>
      <sz val="9"/>
      <color theme="1"/>
      <name val="Calibri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2" applyNumberFormat="1" applyFont="1" applyAlignment="1">
      <alignment horizontal="center"/>
    </xf>
    <xf numFmtId="0" fontId="3" fillId="0" borderId="0" xfId="2" applyFont="1"/>
    <xf numFmtId="0" fontId="3" fillId="0" borderId="0" xfId="2" applyNumberFormat="1" applyFont="1" applyAlignment="1">
      <alignment horizontal="left"/>
    </xf>
    <xf numFmtId="0" fontId="4" fillId="0" borderId="0" xfId="2" applyNumberFormat="1" applyFont="1" applyAlignment="1">
      <alignment horizontal="left"/>
    </xf>
    <xf numFmtId="0" fontId="5" fillId="0" borderId="0" xfId="2" applyFont="1" applyAlignment="1">
      <alignment horizontal="center"/>
    </xf>
    <xf numFmtId="0" fontId="5" fillId="0" borderId="0" xfId="2" applyNumberFormat="1" applyFont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NumberFormat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6" xfId="2" applyNumberFormat="1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2" fontId="5" fillId="0" borderId="0" xfId="2" applyNumberFormat="1" applyFont="1" applyAlignment="1">
      <alignment horizontal="center"/>
    </xf>
    <xf numFmtId="2" fontId="3" fillId="0" borderId="0" xfId="2" applyNumberFormat="1" applyFont="1" applyAlignment="1">
      <alignment horizontal="left"/>
    </xf>
    <xf numFmtId="37" fontId="3" fillId="0" borderId="0" xfId="2" applyNumberFormat="1" applyFont="1" applyAlignment="1">
      <alignment horizontal="center"/>
    </xf>
    <xf numFmtId="5" fontId="3" fillId="0" borderId="0" xfId="2" applyNumberFormat="1" applyFont="1"/>
    <xf numFmtId="37" fontId="3" fillId="0" borderId="0" xfId="2" applyNumberFormat="1" applyFont="1"/>
    <xf numFmtId="37" fontId="3" fillId="0" borderId="0" xfId="2" applyNumberFormat="1" applyFont="1" applyFill="1"/>
    <xf numFmtId="37" fontId="3" fillId="0" borderId="0" xfId="2" applyNumberFormat="1" applyFont="1" applyFill="1" applyAlignment="1">
      <alignment horizontal="center"/>
    </xf>
    <xf numFmtId="1" fontId="3" fillId="0" borderId="0" xfId="3" applyNumberFormat="1" applyFont="1" applyAlignment="1">
      <alignment horizontal="center"/>
    </xf>
    <xf numFmtId="9" fontId="3" fillId="0" borderId="0" xfId="1" applyFont="1"/>
    <xf numFmtId="3" fontId="3" fillId="0" borderId="0" xfId="3" applyNumberFormat="1" applyFont="1" applyAlignment="1">
      <alignment horizontal="center"/>
    </xf>
    <xf numFmtId="3" fontId="3" fillId="0" borderId="0" xfId="3" applyNumberFormat="1" applyFont="1" applyFill="1" applyAlignment="1">
      <alignment horizontal="center"/>
    </xf>
    <xf numFmtId="41" fontId="6" fillId="0" borderId="0" xfId="2" applyNumberFormat="1" applyFont="1" applyFill="1"/>
    <xf numFmtId="3" fontId="7" fillId="0" borderId="0" xfId="4" applyNumberFormat="1" applyFont="1" applyAlignment="1">
      <alignment horizontal="center"/>
    </xf>
    <xf numFmtId="41" fontId="6" fillId="0" borderId="0" xfId="4" applyNumberFormat="1" applyFont="1" applyFill="1" applyAlignment="1">
      <alignment horizontal="center"/>
    </xf>
    <xf numFmtId="2" fontId="7" fillId="0" borderId="0" xfId="5" applyNumberFormat="1" applyFont="1" applyFill="1" applyAlignment="1" applyProtection="1">
      <alignment horizontal="center"/>
    </xf>
    <xf numFmtId="2" fontId="7" fillId="0" borderId="0" xfId="5" applyNumberFormat="1" applyFont="1" applyFill="1" applyBorder="1" applyAlignment="1" applyProtection="1">
      <alignment horizontal="center"/>
    </xf>
    <xf numFmtId="41" fontId="6" fillId="0" borderId="0" xfId="2" applyNumberFormat="1" applyFont="1" applyFill="1" applyBorder="1"/>
    <xf numFmtId="5" fontId="6" fillId="0" borderId="0" xfId="6" applyNumberFormat="1" applyFont="1" applyFill="1" applyBorder="1"/>
    <xf numFmtId="41" fontId="6" fillId="0" borderId="8" xfId="2" applyNumberFormat="1" applyFont="1" applyFill="1" applyBorder="1"/>
    <xf numFmtId="41" fontId="6" fillId="0" borderId="0" xfId="2" applyNumberFormat="1" applyFont="1" applyBorder="1"/>
    <xf numFmtId="5" fontId="6" fillId="0" borderId="11" xfId="2" applyNumberFormat="1" applyFont="1" applyFill="1" applyBorder="1"/>
    <xf numFmtId="5" fontId="6" fillId="0" borderId="0" xfId="2" applyNumberFormat="1" applyFont="1" applyFill="1" applyBorder="1"/>
    <xf numFmtId="41" fontId="6" fillId="0" borderId="3" xfId="2" applyNumberFormat="1" applyFont="1" applyFill="1" applyBorder="1"/>
    <xf numFmtId="41" fontId="6" fillId="0" borderId="11" xfId="2" applyNumberFormat="1" applyFont="1" applyFill="1" applyBorder="1"/>
    <xf numFmtId="41" fontId="6" fillId="0" borderId="0" xfId="2" applyNumberFormat="1" applyFont="1" applyFill="1" applyAlignment="1">
      <alignment horizontal="center"/>
    </xf>
    <xf numFmtId="3" fontId="6" fillId="0" borderId="0" xfId="4" applyNumberFormat="1" applyFont="1" applyFill="1"/>
    <xf numFmtId="3" fontId="7" fillId="0" borderId="0" xfId="4" applyNumberFormat="1" applyFont="1" applyFill="1" applyBorder="1" applyAlignment="1"/>
    <xf numFmtId="3" fontId="3" fillId="0" borderId="0" xfId="4" applyNumberFormat="1" applyFont="1" applyAlignment="1">
      <alignment horizontal="center"/>
    </xf>
    <xf numFmtId="3" fontId="7" fillId="0" borderId="1" xfId="4" applyNumberFormat="1" applyFont="1" applyFill="1" applyBorder="1" applyAlignment="1">
      <alignment horizontal="center"/>
    </xf>
    <xf numFmtId="3" fontId="7" fillId="0" borderId="4" xfId="4" applyNumberFormat="1" applyFont="1" applyFill="1" applyBorder="1" applyAlignment="1">
      <alignment horizontal="center"/>
    </xf>
    <xf numFmtId="3" fontId="7" fillId="0" borderId="6" xfId="4" applyNumberFormat="1" applyFont="1" applyFill="1" applyBorder="1" applyAlignment="1">
      <alignment horizontal="center"/>
    </xf>
    <xf numFmtId="4" fontId="7" fillId="0" borderId="0" xfId="4" applyNumberFormat="1" applyFont="1" applyFill="1" applyBorder="1" applyAlignment="1">
      <alignment horizontal="center"/>
    </xf>
    <xf numFmtId="3" fontId="7" fillId="0" borderId="0" xfId="4" applyNumberFormat="1" applyFont="1" applyFill="1" applyBorder="1" applyAlignment="1">
      <alignment horizontal="center"/>
    </xf>
    <xf numFmtId="3" fontId="6" fillId="0" borderId="0" xfId="4" applyNumberFormat="1" applyFont="1" applyFill="1" applyBorder="1"/>
    <xf numFmtId="42" fontId="6" fillId="0" borderId="0" xfId="6" applyNumberFormat="1" applyFont="1" applyFill="1" applyBorder="1"/>
    <xf numFmtId="41" fontId="6" fillId="0" borderId="0" xfId="6" applyNumberFormat="1" applyFont="1" applyFill="1" applyBorder="1"/>
    <xf numFmtId="41" fontId="6" fillId="0" borderId="8" xfId="6" applyNumberFormat="1" applyFont="1" applyFill="1" applyBorder="1"/>
    <xf numFmtId="41" fontId="6" fillId="0" borderId="0" xfId="4" applyNumberFormat="1" applyFont="1" applyFill="1" applyBorder="1"/>
    <xf numFmtId="41" fontId="6" fillId="0" borderId="8" xfId="4" applyNumberFormat="1" applyFont="1" applyFill="1" applyBorder="1"/>
    <xf numFmtId="42" fontId="6" fillId="0" borderId="11" xfId="4" applyNumberFormat="1" applyFont="1" applyFill="1" applyBorder="1"/>
    <xf numFmtId="164" fontId="6" fillId="0" borderId="0" xfId="7" applyNumberFormat="1" applyFont="1" applyFill="1" applyBorder="1"/>
    <xf numFmtId="41" fontId="6" fillId="0" borderId="12" xfId="4" applyNumberFormat="1" applyFont="1" applyFill="1" applyBorder="1"/>
    <xf numFmtId="41" fontId="6" fillId="0" borderId="0" xfId="4" applyNumberFormat="1" applyFont="1" applyBorder="1"/>
    <xf numFmtId="42" fontId="7" fillId="0" borderId="11" xfId="4" applyNumberFormat="1" applyFont="1" applyBorder="1"/>
    <xf numFmtId="0" fontId="9" fillId="0" borderId="0" xfId="0" applyFont="1" applyBorder="1" applyAlignment="1">
      <alignment horizontal="left"/>
    </xf>
    <xf numFmtId="3" fontId="6" fillId="0" borderId="0" xfId="2" applyNumberFormat="1" applyFont="1" applyFill="1" applyBorder="1"/>
    <xf numFmtId="0" fontId="5" fillId="0" borderId="0" xfId="4" applyNumberFormat="1" applyFont="1" applyAlignment="1">
      <alignment horizontal="left"/>
    </xf>
    <xf numFmtId="0" fontId="3" fillId="0" borderId="0" xfId="4" applyFont="1"/>
    <xf numFmtId="0" fontId="10" fillId="0" borderId="0" xfId="4" applyNumberFormat="1" applyFont="1" applyAlignment="1">
      <alignment horizontal="left"/>
    </xf>
    <xf numFmtId="0" fontId="3" fillId="0" borderId="0" xfId="4" applyNumberFormat="1" applyFont="1" applyAlignment="1">
      <alignment horizontal="center"/>
    </xf>
    <xf numFmtId="0" fontId="5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1" xfId="4" applyNumberFormat="1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3" fillId="0" borderId="13" xfId="4" applyFont="1" applyBorder="1"/>
    <xf numFmtId="0" fontId="5" fillId="0" borderId="4" xfId="4" applyNumberFormat="1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3" fillId="0" borderId="9" xfId="4" applyFont="1" applyBorder="1"/>
    <xf numFmtId="0" fontId="5" fillId="0" borderId="6" xfId="4" applyNumberFormat="1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5" fillId="0" borderId="8" xfId="4" applyFont="1" applyBorder="1" applyAlignment="1">
      <alignment horizontal="center"/>
    </xf>
    <xf numFmtId="0" fontId="5" fillId="0" borderId="10" xfId="4" applyFont="1" applyBorder="1" applyAlignment="1">
      <alignment horizontal="center"/>
    </xf>
    <xf numFmtId="0" fontId="3" fillId="0" borderId="0" xfId="4" applyFont="1" applyAlignment="1">
      <alignment horizontal="left"/>
    </xf>
    <xf numFmtId="5" fontId="3" fillId="0" borderId="0" xfId="4" applyNumberFormat="1" applyFont="1"/>
    <xf numFmtId="37" fontId="3" fillId="0" borderId="0" xfId="4" applyNumberFormat="1" applyFont="1"/>
    <xf numFmtId="0" fontId="3" fillId="0" borderId="0" xfId="0" applyFont="1"/>
    <xf numFmtId="0" fontId="3" fillId="0" borderId="0" xfId="4" applyNumberFormat="1" applyFont="1" applyBorder="1" applyAlignment="1">
      <alignment horizontal="center"/>
    </xf>
    <xf numFmtId="37" fontId="3" fillId="0" borderId="0" xfId="4" applyNumberFormat="1" applyFont="1" applyBorder="1"/>
    <xf numFmtId="5" fontId="5" fillId="0" borderId="0" xfId="4" applyNumberFormat="1" applyFont="1"/>
    <xf numFmtId="0" fontId="3" fillId="0" borderId="0" xfId="4" applyNumberFormat="1" applyFont="1" applyFill="1" applyBorder="1" applyAlignment="1">
      <alignment horizontal="center"/>
    </xf>
    <xf numFmtId="0" fontId="3" fillId="0" borderId="0" xfId="4" applyFont="1" applyFill="1" applyBorder="1"/>
    <xf numFmtId="0" fontId="3" fillId="0" borderId="0" xfId="2" applyFont="1" applyFill="1" applyBorder="1"/>
    <xf numFmtId="0" fontId="3" fillId="0" borderId="0" xfId="2" applyFont="1" applyFill="1" applyBorder="1" applyAlignment="1">
      <alignment horizontal="right"/>
    </xf>
    <xf numFmtId="0" fontId="3" fillId="0" borderId="0" xfId="4" applyFont="1" applyBorder="1"/>
    <xf numFmtId="41" fontId="7" fillId="0" borderId="1" xfId="6" applyNumberFormat="1" applyFont="1" applyFill="1" applyBorder="1" applyAlignment="1">
      <alignment horizontal="center"/>
    </xf>
    <xf numFmtId="41" fontId="7" fillId="0" borderId="4" xfId="2" applyNumberFormat="1" applyFont="1" applyFill="1" applyBorder="1" applyAlignment="1">
      <alignment horizontal="center"/>
    </xf>
    <xf numFmtId="41" fontId="7" fillId="0" borderId="6" xfId="2" applyNumberFormat="1" applyFont="1" applyFill="1" applyBorder="1" applyAlignment="1">
      <alignment horizontal="center"/>
    </xf>
  </cellXfs>
  <cellStyles count="8">
    <cellStyle name="Comma" xfId="7" builtinId="3"/>
    <cellStyle name="Followed Hyperlink" xfId="5" builtinId="9"/>
    <cellStyle name="Normal" xfId="0" builtinId="0"/>
    <cellStyle name="Normal_DFIT-WaEle_SUM" xfId="3"/>
    <cellStyle name="Normal_IDGas6_97" xfId="6"/>
    <cellStyle name="Normal_WAElec6_97" xfId="2"/>
    <cellStyle name="Normal_WAGas6_97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uang/Documents/DATA/Avista/GRC/UE-160228%20GRC/Workpaper-Haung/RR/Huang%20Exh%20JH-3%20Revised%2011-1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huang/Documents/DATA/Avista/GRC/UE-160228%20GRC/Workpaper-Haung/RR/Huang%20Exh%20JH-2%20Nov-1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"/>
      <sheetName val="ROO"/>
      <sheetName val="2018 ROO-not used"/>
      <sheetName val="RR SUMMARY"/>
      <sheetName val="CF"/>
      <sheetName val="ADJ DETAIL INPUT"/>
      <sheetName val="Recap Summary"/>
      <sheetName val="DEBT CALC"/>
      <sheetName val="LEAD SHEETS-DO NOT ENTER"/>
      <sheetName val="ADJ SUMMARY"/>
      <sheetName val="ROO INPUT"/>
    </sheetNames>
    <sheetDataSet>
      <sheetData sheetId="0"/>
      <sheetData sheetId="1"/>
      <sheetData sheetId="2"/>
      <sheetData sheetId="3">
        <row r="14">
          <cell r="O14">
            <v>2.8388104000000001E-2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AVISTA UTILITIES</v>
          </cell>
        </row>
        <row r="5">
          <cell r="A5" t="str">
            <v>TWELVE MONTHS ENDED SEPTEMBER 30, 2015</v>
          </cell>
        </row>
        <row r="6">
          <cell r="A6" t="str">
            <v xml:space="preserve">(000'S OF DOLLARS)  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"/>
      <sheetName val="ROO "/>
      <sheetName val="2018"/>
      <sheetName val="RR SUMMARY"/>
      <sheetName val="CF "/>
      <sheetName val="ADJ DETAIL-INPUT"/>
      <sheetName val="Recap Summary"/>
      <sheetName val="DEBT CALC"/>
      <sheetName val="LEAD SHEETS-DO NOT ENTER"/>
      <sheetName val="ADJ SUMMARY"/>
      <sheetName val="ROO INPUT"/>
    </sheetNames>
    <sheetDataSet>
      <sheetData sheetId="0"/>
      <sheetData sheetId="1"/>
      <sheetData sheetId="2"/>
      <sheetData sheetId="3">
        <row r="13">
          <cell r="Q13">
            <v>2.8388104000000001E-2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6"/>
  <sheetViews>
    <sheetView tabSelected="1" topLeftCell="A42" workbookViewId="0">
      <selection activeCell="A82" sqref="A82:XFD96"/>
    </sheetView>
  </sheetViews>
  <sheetFormatPr defaultRowHeight="14.5"/>
  <cols>
    <col min="1" max="1" width="4.54296875" style="1" customWidth="1"/>
    <col min="2" max="3" width="1.54296875" style="2" customWidth="1"/>
    <col min="4" max="4" width="35.453125" style="2" customWidth="1"/>
    <col min="5" max="5" width="13.54296875" style="27" bestFit="1" customWidth="1"/>
  </cols>
  <sheetData>
    <row r="2" spans="1:5">
      <c r="A2" s="3" t="s">
        <v>0</v>
      </c>
      <c r="D2" s="1"/>
    </row>
    <row r="3" spans="1:5">
      <c r="A3" s="4" t="s">
        <v>1</v>
      </c>
      <c r="D3" s="1"/>
    </row>
    <row r="4" spans="1:5">
      <c r="A4" s="3" t="s">
        <v>2</v>
      </c>
      <c r="D4" s="1"/>
    </row>
    <row r="5" spans="1:5">
      <c r="A5" s="3" t="s">
        <v>3</v>
      </c>
      <c r="D5" s="1"/>
      <c r="E5" s="28"/>
    </row>
    <row r="6" spans="1:5">
      <c r="A6" s="5"/>
      <c r="B6" s="5"/>
      <c r="C6" s="5"/>
      <c r="D6" s="6"/>
      <c r="E6" s="29" t="s">
        <v>55</v>
      </c>
    </row>
    <row r="7" spans="1:5">
      <c r="A7" s="7"/>
      <c r="B7" s="8"/>
      <c r="C7" s="9"/>
      <c r="D7" s="9"/>
      <c r="E7" s="92" t="s">
        <v>56</v>
      </c>
    </row>
    <row r="8" spans="1:5">
      <c r="A8" s="10" t="s">
        <v>4</v>
      </c>
      <c r="B8" s="11"/>
      <c r="C8" s="12"/>
      <c r="D8" s="12"/>
      <c r="E8" s="93" t="s">
        <v>58</v>
      </c>
    </row>
    <row r="9" spans="1:5">
      <c r="A9" s="13" t="s">
        <v>5</v>
      </c>
      <c r="B9" s="14"/>
      <c r="C9" s="15"/>
      <c r="D9" s="15" t="s">
        <v>6</v>
      </c>
      <c r="E9" s="94" t="s">
        <v>59</v>
      </c>
    </row>
    <row r="10" spans="1:5">
      <c r="A10" s="16"/>
      <c r="B10" s="17" t="s">
        <v>7</v>
      </c>
      <c r="C10" s="16"/>
      <c r="D10" s="16"/>
      <c r="E10" s="30">
        <v>3.09</v>
      </c>
    </row>
    <row r="11" spans="1:5">
      <c r="A11" s="16"/>
      <c r="B11" s="17" t="s">
        <v>8</v>
      </c>
      <c r="C11" s="16"/>
      <c r="D11" s="16"/>
      <c r="E11" s="30" t="s">
        <v>105</v>
      </c>
    </row>
    <row r="12" spans="1:5">
      <c r="A12" s="16"/>
      <c r="B12" s="17"/>
      <c r="C12" s="16"/>
      <c r="D12" s="16"/>
      <c r="E12" s="31"/>
    </row>
    <row r="13" spans="1:5">
      <c r="B13" s="2" t="s">
        <v>9</v>
      </c>
      <c r="E13" s="32"/>
    </row>
    <row r="14" spans="1:5">
      <c r="A14" s="18">
        <v>1</v>
      </c>
      <c r="B14" s="19" t="s">
        <v>10</v>
      </c>
      <c r="C14" s="19"/>
      <c r="D14" s="19"/>
      <c r="E14" s="33">
        <v>0</v>
      </c>
    </row>
    <row r="15" spans="1:5">
      <c r="A15" s="18">
        <v>2</v>
      </c>
      <c r="B15" s="20" t="s">
        <v>11</v>
      </c>
      <c r="C15" s="20"/>
      <c r="D15" s="20"/>
      <c r="E15" s="32">
        <v>0</v>
      </c>
    </row>
    <row r="16" spans="1:5">
      <c r="A16" s="18">
        <v>3</v>
      </c>
      <c r="B16" s="20" t="s">
        <v>12</v>
      </c>
      <c r="C16" s="20"/>
      <c r="D16" s="20"/>
      <c r="E16" s="34">
        <v>0</v>
      </c>
    </row>
    <row r="17" spans="1:5">
      <c r="A17" s="18">
        <v>4</v>
      </c>
      <c r="B17" s="20" t="s">
        <v>13</v>
      </c>
      <c r="C17" s="20"/>
      <c r="D17" s="20"/>
      <c r="E17" s="32">
        <f t="shared" ref="E17" si="0">SUM(E14:E16)</f>
        <v>0</v>
      </c>
    </row>
    <row r="18" spans="1:5">
      <c r="A18" s="18">
        <v>5</v>
      </c>
      <c r="B18" s="20" t="s">
        <v>14</v>
      </c>
      <c r="C18" s="20"/>
      <c r="D18" s="20"/>
      <c r="E18" s="34">
        <v>0</v>
      </c>
    </row>
    <row r="19" spans="1:5">
      <c r="A19" s="18">
        <v>6</v>
      </c>
      <c r="B19" s="20" t="s">
        <v>15</v>
      </c>
      <c r="C19" s="20"/>
      <c r="D19" s="20"/>
      <c r="E19" s="32">
        <f t="shared" ref="E19" si="1">SUM(E17:E18)</f>
        <v>0</v>
      </c>
    </row>
    <row r="20" spans="1:5">
      <c r="A20" s="18"/>
      <c r="B20" s="20"/>
      <c r="C20" s="20"/>
      <c r="D20" s="20"/>
      <c r="E20" s="32"/>
    </row>
    <row r="21" spans="1:5">
      <c r="A21" s="18"/>
      <c r="B21" s="20" t="s">
        <v>16</v>
      </c>
      <c r="C21" s="20"/>
      <c r="D21" s="20"/>
      <c r="E21" s="32"/>
    </row>
    <row r="22" spans="1:5">
      <c r="A22" s="18"/>
      <c r="B22" s="20" t="s">
        <v>17</v>
      </c>
      <c r="C22" s="20"/>
      <c r="D22" s="20"/>
      <c r="E22" s="32"/>
    </row>
    <row r="23" spans="1:5">
      <c r="A23" s="18">
        <v>7</v>
      </c>
      <c r="B23" s="20"/>
      <c r="C23" s="20" t="s">
        <v>18</v>
      </c>
      <c r="D23" s="20"/>
      <c r="E23" s="32">
        <v>0</v>
      </c>
    </row>
    <row r="24" spans="1:5">
      <c r="A24" s="18">
        <v>8</v>
      </c>
      <c r="B24" s="20"/>
      <c r="C24" s="20" t="s">
        <v>19</v>
      </c>
      <c r="D24" s="20"/>
      <c r="E24" s="32">
        <v>0</v>
      </c>
    </row>
    <row r="25" spans="1:5">
      <c r="A25" s="18">
        <v>9</v>
      </c>
      <c r="B25" s="20"/>
      <c r="C25" s="20" t="s">
        <v>20</v>
      </c>
      <c r="D25" s="20"/>
      <c r="E25" s="32">
        <f>174+372</f>
        <v>546</v>
      </c>
    </row>
    <row r="26" spans="1:5">
      <c r="A26" s="18">
        <v>10</v>
      </c>
      <c r="B26" s="20"/>
      <c r="C26" s="21" t="s">
        <v>21</v>
      </c>
      <c r="D26" s="21"/>
      <c r="E26" s="32"/>
    </row>
    <row r="27" spans="1:5">
      <c r="A27" s="18">
        <v>11</v>
      </c>
      <c r="B27" s="20"/>
      <c r="C27" s="20" t="s">
        <v>22</v>
      </c>
      <c r="D27" s="20"/>
      <c r="E27" s="34">
        <v>0</v>
      </c>
    </row>
    <row r="28" spans="1:5">
      <c r="A28" s="18">
        <v>12</v>
      </c>
      <c r="B28" s="20" t="s">
        <v>23</v>
      </c>
      <c r="C28" s="20"/>
      <c r="D28" s="20"/>
      <c r="E28" s="32">
        <f t="shared" ref="E28" si="2">SUM(E23:E27)</f>
        <v>546</v>
      </c>
    </row>
    <row r="29" spans="1:5">
      <c r="A29" s="18"/>
      <c r="B29" s="20"/>
      <c r="C29" s="20"/>
      <c r="D29" s="20"/>
      <c r="E29" s="32"/>
    </row>
    <row r="30" spans="1:5">
      <c r="A30" s="18"/>
      <c r="B30" s="20" t="s">
        <v>24</v>
      </c>
      <c r="C30" s="20"/>
      <c r="D30" s="20"/>
      <c r="E30" s="32"/>
    </row>
    <row r="31" spans="1:5">
      <c r="A31" s="18">
        <v>13</v>
      </c>
      <c r="B31" s="20"/>
      <c r="C31" s="20" t="s">
        <v>18</v>
      </c>
      <c r="D31" s="20"/>
      <c r="E31" s="32">
        <v>0</v>
      </c>
    </row>
    <row r="32" spans="1:5">
      <c r="A32" s="18">
        <v>14</v>
      </c>
      <c r="B32" s="20"/>
      <c r="C32" s="20" t="s">
        <v>25</v>
      </c>
      <c r="D32" s="20"/>
      <c r="E32" s="32">
        <f>142+288</f>
        <v>430</v>
      </c>
    </row>
    <row r="33" spans="1:5">
      <c r="A33" s="18">
        <v>15</v>
      </c>
      <c r="B33" s="20"/>
      <c r="C33" s="20" t="s">
        <v>21</v>
      </c>
      <c r="D33" s="20"/>
      <c r="E33" s="32">
        <v>0</v>
      </c>
    </row>
    <row r="34" spans="1:5">
      <c r="A34" s="18">
        <v>16</v>
      </c>
      <c r="B34" s="20"/>
      <c r="C34" s="20" t="s">
        <v>22</v>
      </c>
      <c r="D34" s="20"/>
      <c r="E34" s="34">
        <v>0</v>
      </c>
    </row>
    <row r="35" spans="1:5">
      <c r="A35" s="18">
        <v>17</v>
      </c>
      <c r="B35" s="20" t="s">
        <v>26</v>
      </c>
      <c r="C35" s="20"/>
      <c r="D35" s="20"/>
      <c r="E35" s="32">
        <f t="shared" ref="E35" si="3">SUM(E31:E34)</f>
        <v>430</v>
      </c>
    </row>
    <row r="36" spans="1:5">
      <c r="A36" s="20"/>
      <c r="B36" s="20"/>
      <c r="C36" s="20"/>
      <c r="D36" s="20"/>
      <c r="E36" s="32"/>
    </row>
    <row r="37" spans="1:5">
      <c r="A37" s="18">
        <v>18</v>
      </c>
      <c r="B37" s="20" t="s">
        <v>27</v>
      </c>
      <c r="C37" s="20"/>
      <c r="D37" s="20"/>
      <c r="E37" s="32">
        <v>0</v>
      </c>
    </row>
    <row r="38" spans="1:5">
      <c r="A38" s="18">
        <v>19</v>
      </c>
      <c r="B38" s="20" t="s">
        <v>28</v>
      </c>
      <c r="C38" s="20"/>
      <c r="D38" s="20"/>
      <c r="E38" s="32">
        <v>0</v>
      </c>
    </row>
    <row r="39" spans="1:5">
      <c r="A39" s="18">
        <v>20</v>
      </c>
      <c r="B39" s="20" t="s">
        <v>29</v>
      </c>
      <c r="C39" s="20"/>
      <c r="D39" s="20"/>
      <c r="E39" s="32">
        <v>0</v>
      </c>
    </row>
    <row r="40" spans="1:5">
      <c r="A40" s="18"/>
      <c r="B40" s="20"/>
      <c r="C40" s="20"/>
      <c r="D40" s="20"/>
      <c r="E40" s="32"/>
    </row>
    <row r="41" spans="1:5">
      <c r="A41" s="20"/>
      <c r="B41" s="20" t="s">
        <v>30</v>
      </c>
      <c r="C41" s="20"/>
      <c r="D41" s="20"/>
      <c r="E41" s="32"/>
    </row>
    <row r="42" spans="1:5">
      <c r="A42" s="18">
        <v>21</v>
      </c>
      <c r="B42" s="20"/>
      <c r="C42" s="20" t="s">
        <v>18</v>
      </c>
      <c r="D42" s="20"/>
      <c r="E42" s="32">
        <v>0</v>
      </c>
    </row>
    <row r="43" spans="1:5">
      <c r="A43" s="18">
        <v>22</v>
      </c>
      <c r="B43" s="20"/>
      <c r="C43" s="20" t="s">
        <v>25</v>
      </c>
      <c r="D43" s="20"/>
      <c r="E43" s="32">
        <f>-813+2411-343</f>
        <v>1255</v>
      </c>
    </row>
    <row r="44" spans="1:5">
      <c r="A44" s="22">
        <v>23</v>
      </c>
      <c r="B44" s="20"/>
      <c r="C44" s="20" t="s">
        <v>22</v>
      </c>
      <c r="D44" s="20"/>
      <c r="E44" s="34">
        <v>0</v>
      </c>
    </row>
    <row r="45" spans="1:5">
      <c r="A45" s="18">
        <v>24</v>
      </c>
      <c r="B45" s="20" t="s">
        <v>31</v>
      </c>
      <c r="C45" s="20"/>
      <c r="D45" s="20"/>
      <c r="E45" s="34">
        <f t="shared" ref="E45" si="4">SUM(E42:E44)</f>
        <v>1255</v>
      </c>
    </row>
    <row r="46" spans="1:5">
      <c r="A46" s="18">
        <v>25</v>
      </c>
      <c r="B46" s="20" t="s">
        <v>32</v>
      </c>
      <c r="C46" s="20"/>
      <c r="D46" s="20"/>
      <c r="E46" s="34">
        <f t="shared" ref="E46" si="5">E45+E39+E38+E37+E35+E28</f>
        <v>2231</v>
      </c>
    </row>
    <row r="47" spans="1:5">
      <c r="A47" s="20"/>
      <c r="B47" s="20"/>
      <c r="C47" s="20"/>
      <c r="D47" s="20"/>
      <c r="E47" s="32"/>
    </row>
    <row r="48" spans="1:5">
      <c r="A48" s="18">
        <v>26</v>
      </c>
      <c r="B48" s="20" t="s">
        <v>33</v>
      </c>
      <c r="C48" s="20"/>
      <c r="D48" s="20"/>
      <c r="E48" s="32">
        <f t="shared" ref="E48" si="6">E19-E46</f>
        <v>-2231</v>
      </c>
    </row>
    <row r="49" spans="1:5">
      <c r="A49" s="18"/>
      <c r="B49" s="20"/>
      <c r="C49" s="20"/>
      <c r="D49" s="20"/>
      <c r="E49" s="32"/>
    </row>
    <row r="50" spans="1:5">
      <c r="A50" s="23"/>
      <c r="B50" s="20" t="s">
        <v>34</v>
      </c>
      <c r="C50" s="20"/>
      <c r="D50" s="20"/>
      <c r="E50" s="32"/>
    </row>
    <row r="51" spans="1:5">
      <c r="A51" s="22">
        <v>27</v>
      </c>
      <c r="B51" s="20" t="s">
        <v>35</v>
      </c>
      <c r="C51" s="20"/>
      <c r="D51" s="24"/>
      <c r="E51" s="35">
        <f t="shared" ref="E51" si="7">E48*0.35</f>
        <v>-780.84999999999991</v>
      </c>
    </row>
    <row r="52" spans="1:5">
      <c r="A52" s="18">
        <v>28</v>
      </c>
      <c r="B52" s="21" t="s">
        <v>36</v>
      </c>
      <c r="C52" s="21"/>
      <c r="D52" s="21"/>
      <c r="E52" s="32">
        <f>(E80*'[2]RR SUMMARY'!$Q$13)*-0.35</f>
        <v>-214.70348876759996</v>
      </c>
    </row>
    <row r="53" spans="1:5">
      <c r="A53" s="18">
        <v>29</v>
      </c>
      <c r="B53" s="20" t="s">
        <v>37</v>
      </c>
      <c r="C53" s="20"/>
      <c r="D53" s="20"/>
      <c r="E53" s="32">
        <v>0</v>
      </c>
    </row>
    <row r="54" spans="1:5">
      <c r="A54" s="23">
        <v>30</v>
      </c>
      <c r="B54" s="20" t="s">
        <v>38</v>
      </c>
      <c r="C54" s="20"/>
      <c r="D54" s="20"/>
      <c r="E54" s="34">
        <v>0</v>
      </c>
    </row>
    <row r="55" spans="1:5">
      <c r="E55" s="32"/>
    </row>
    <row r="56" spans="1:5" ht="15" thickBot="1">
      <c r="A56" s="25">
        <v>31</v>
      </c>
      <c r="B56" s="19" t="s">
        <v>39</v>
      </c>
      <c r="C56" s="19"/>
      <c r="D56" s="19"/>
      <c r="E56" s="36">
        <f t="shared" ref="E56" si="8">E48-SUM(E51:E54)</f>
        <v>-1235.4465112324001</v>
      </c>
    </row>
    <row r="57" spans="1:5" ht="15" thickTop="1">
      <c r="A57" s="25"/>
      <c r="E57" s="32"/>
    </row>
    <row r="58" spans="1:5">
      <c r="A58" s="25"/>
      <c r="B58" s="2" t="s">
        <v>40</v>
      </c>
      <c r="E58" s="32"/>
    </row>
    <row r="59" spans="1:5">
      <c r="B59" s="2" t="s">
        <v>41</v>
      </c>
      <c r="E59" s="32"/>
    </row>
    <row r="60" spans="1:5">
      <c r="A60" s="26">
        <v>32</v>
      </c>
      <c r="B60" s="19"/>
      <c r="C60" s="19" t="s">
        <v>42</v>
      </c>
      <c r="D60" s="19"/>
      <c r="E60" s="37">
        <f>17298-5205</f>
        <v>12093</v>
      </c>
    </row>
    <row r="61" spans="1:5">
      <c r="A61" s="25">
        <v>33</v>
      </c>
      <c r="B61" s="20"/>
      <c r="C61" s="20" t="s">
        <v>43</v>
      </c>
      <c r="D61" s="20"/>
      <c r="E61" s="32">
        <f>4012+12596</f>
        <v>16608</v>
      </c>
    </row>
    <row r="62" spans="1:5">
      <c r="A62" s="25">
        <v>34</v>
      </c>
      <c r="B62" s="20"/>
      <c r="C62" s="20" t="s">
        <v>44</v>
      </c>
      <c r="D62" s="20"/>
      <c r="E62" s="32">
        <f>5019+6441</f>
        <v>11460</v>
      </c>
    </row>
    <row r="63" spans="1:5">
      <c r="A63" s="25">
        <v>35</v>
      </c>
      <c r="B63" s="20"/>
      <c r="C63" s="20" t="s">
        <v>24</v>
      </c>
      <c r="D63" s="20"/>
      <c r="E63" s="32">
        <f>13449+643</f>
        <v>14092</v>
      </c>
    </row>
    <row r="64" spans="1:5">
      <c r="A64" s="25">
        <v>36</v>
      </c>
      <c r="B64" s="20"/>
      <c r="C64" s="20" t="s">
        <v>45</v>
      </c>
      <c r="D64" s="20"/>
      <c r="E64" s="34">
        <f>-2945+8011</f>
        <v>5066</v>
      </c>
    </row>
    <row r="65" spans="1:5">
      <c r="A65" s="25">
        <v>37</v>
      </c>
      <c r="B65" s="20" t="s">
        <v>46</v>
      </c>
      <c r="C65" s="20"/>
      <c r="D65" s="20"/>
      <c r="E65" s="37">
        <f t="shared" ref="E65" si="9">SUM(E60:E64)</f>
        <v>59319</v>
      </c>
    </row>
    <row r="66" spans="1:5">
      <c r="A66" s="25"/>
      <c r="B66" s="20" t="s">
        <v>47</v>
      </c>
      <c r="C66" s="20"/>
      <c r="D66" s="20"/>
      <c r="E66" s="32"/>
    </row>
    <row r="67" spans="1:5">
      <c r="A67" s="25">
        <v>38</v>
      </c>
      <c r="B67" s="20"/>
      <c r="C67" s="19" t="s">
        <v>42</v>
      </c>
      <c r="D67" s="20"/>
      <c r="E67" s="32">
        <f>-1396-100</f>
        <v>-1496</v>
      </c>
    </row>
    <row r="68" spans="1:5">
      <c r="A68" s="25">
        <v>39</v>
      </c>
      <c r="B68" s="20"/>
      <c r="C68" s="20" t="s">
        <v>43</v>
      </c>
      <c r="D68" s="20"/>
      <c r="E68" s="32">
        <f>-2322-5955</f>
        <v>-8277</v>
      </c>
    </row>
    <row r="69" spans="1:5">
      <c r="A69" s="25">
        <v>40</v>
      </c>
      <c r="B69" s="20"/>
      <c r="C69" s="20" t="s">
        <v>44</v>
      </c>
      <c r="D69" s="20"/>
      <c r="E69" s="32">
        <f>-584-2513</f>
        <v>-3097</v>
      </c>
    </row>
    <row r="70" spans="1:5">
      <c r="A70" s="25">
        <v>41</v>
      </c>
      <c r="B70" s="20"/>
      <c r="C70" s="20" t="s">
        <v>24</v>
      </c>
      <c r="D70" s="20"/>
      <c r="E70" s="32">
        <f>-5477+166</f>
        <v>-5311</v>
      </c>
    </row>
    <row r="71" spans="1:5">
      <c r="A71" s="25">
        <v>42</v>
      </c>
      <c r="B71" s="20"/>
      <c r="C71" s="20" t="s">
        <v>45</v>
      </c>
      <c r="D71" s="20"/>
      <c r="E71" s="32">
        <f>2234-4485</f>
        <v>-2251</v>
      </c>
    </row>
    <row r="72" spans="1:5">
      <c r="A72" s="25">
        <v>43</v>
      </c>
      <c r="B72" s="20" t="s">
        <v>48</v>
      </c>
      <c r="C72" s="20"/>
      <c r="D72" s="20"/>
      <c r="E72" s="38">
        <f t="shared" ref="E72" si="10">SUM(E67:E71)</f>
        <v>-20432</v>
      </c>
    </row>
    <row r="73" spans="1:5">
      <c r="A73" s="25">
        <v>44</v>
      </c>
      <c r="B73" s="20" t="s">
        <v>49</v>
      </c>
      <c r="C73" s="20"/>
      <c r="D73" s="20"/>
      <c r="E73" s="38">
        <f>E65+E72</f>
        <v>38887</v>
      </c>
    </row>
    <row r="74" spans="1:5">
      <c r="A74" s="25"/>
      <c r="B74" s="20"/>
      <c r="C74" s="20"/>
      <c r="D74" s="20"/>
      <c r="E74" s="32"/>
    </row>
    <row r="75" spans="1:5">
      <c r="A75" s="23">
        <v>45</v>
      </c>
      <c r="B75" s="20" t="s">
        <v>50</v>
      </c>
      <c r="C75" s="20"/>
      <c r="D75" s="20"/>
      <c r="E75" s="34">
        <f>-10981-6297</f>
        <v>-17278</v>
      </c>
    </row>
    <row r="76" spans="1:5">
      <c r="A76" s="23">
        <v>46</v>
      </c>
      <c r="B76" s="20"/>
      <c r="C76" s="20" t="s">
        <v>51</v>
      </c>
      <c r="D76" s="20"/>
      <c r="E76" s="32">
        <f t="shared" ref="E76" si="11">SUM(E73:E75)</f>
        <v>21609</v>
      </c>
    </row>
    <row r="77" spans="1:5">
      <c r="A77" s="25">
        <v>47</v>
      </c>
      <c r="B77" s="20" t="s">
        <v>52</v>
      </c>
      <c r="C77" s="20"/>
      <c r="D77" s="20"/>
      <c r="E77" s="32">
        <v>0</v>
      </c>
    </row>
    <row r="78" spans="1:5">
      <c r="A78" s="25">
        <v>48</v>
      </c>
      <c r="B78" s="20" t="s">
        <v>53</v>
      </c>
      <c r="C78" s="20"/>
      <c r="D78" s="20"/>
      <c r="E78" s="34">
        <v>0</v>
      </c>
    </row>
    <row r="79" spans="1:5">
      <c r="A79" s="23"/>
      <c r="B79" s="20"/>
      <c r="C79" s="20"/>
      <c r="D79" s="20"/>
      <c r="E79" s="32"/>
    </row>
    <row r="80" spans="1:5" ht="15" thickBot="1">
      <c r="A80" s="18">
        <v>49</v>
      </c>
      <c r="B80" s="19" t="s">
        <v>54</v>
      </c>
      <c r="C80" s="19"/>
      <c r="D80" s="19"/>
      <c r="E80" s="39">
        <f t="shared" ref="E80" si="12">SUM(E76:E78)</f>
        <v>21609</v>
      </c>
    </row>
    <row r="81" spans="1:5" ht="15" thickTop="1">
      <c r="A81" s="18"/>
    </row>
    <row r="86" spans="1:5">
      <c r="E86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>
      <selection activeCell="G78" sqref="G78"/>
    </sheetView>
  </sheetViews>
  <sheetFormatPr defaultRowHeight="14.5"/>
  <cols>
    <col min="1" max="1" width="5.7265625" style="65" customWidth="1"/>
    <col min="2" max="3" width="1.7265625" style="63" customWidth="1"/>
    <col min="4" max="4" width="34.1796875" style="63" customWidth="1"/>
    <col min="5" max="5" width="12.26953125" style="41" bestFit="1" customWidth="1"/>
  </cols>
  <sheetData>
    <row r="1" spans="1:5">
      <c r="A1" s="62" t="str">
        <f>'[1]ROO INPUT'!A3:C3</f>
        <v>AVISTA UTILITIES</v>
      </c>
    </row>
    <row r="2" spans="1:5">
      <c r="A2" s="64" t="s">
        <v>61</v>
      </c>
    </row>
    <row r="3" spans="1:5">
      <c r="A3" s="62" t="str">
        <f>'[1]ROO INPUT'!A5:C5</f>
        <v>TWELVE MONTHS ENDED SEPTEMBER 30, 2015</v>
      </c>
      <c r="B3" s="65"/>
    </row>
    <row r="4" spans="1:5">
      <c r="A4" s="62" t="str">
        <f>'[1]ROO INPUT'!A6:C6</f>
        <v xml:space="preserve">(000'S OF DOLLARS)   </v>
      </c>
      <c r="C4" s="65"/>
      <c r="D4" s="65"/>
      <c r="E4" s="40"/>
    </row>
    <row r="5" spans="1:5">
      <c r="A5" s="63"/>
      <c r="E5" s="42"/>
    </row>
    <row r="6" spans="1:5">
      <c r="A6" s="66"/>
      <c r="B6" s="67"/>
      <c r="C6" s="67"/>
      <c r="D6" s="67"/>
      <c r="E6" s="43" t="s">
        <v>55</v>
      </c>
    </row>
    <row r="7" spans="1:5">
      <c r="A7" s="68"/>
      <c r="B7" s="69"/>
      <c r="C7" s="70"/>
      <c r="D7" s="71"/>
      <c r="E7" s="44" t="s">
        <v>57</v>
      </c>
    </row>
    <row r="8" spans="1:5">
      <c r="A8" s="72" t="s">
        <v>4</v>
      </c>
      <c r="B8" s="73"/>
      <c r="C8" s="74"/>
      <c r="D8" s="75"/>
      <c r="E8" s="45" t="s">
        <v>58</v>
      </c>
    </row>
    <row r="9" spans="1:5">
      <c r="A9" s="76" t="s">
        <v>5</v>
      </c>
      <c r="B9" s="77"/>
      <c r="C9" s="78"/>
      <c r="D9" s="79" t="s">
        <v>6</v>
      </c>
      <c r="E9" s="46" t="s">
        <v>59</v>
      </c>
    </row>
    <row r="10" spans="1:5">
      <c r="A10" s="66"/>
      <c r="B10" s="80" t="s">
        <v>62</v>
      </c>
      <c r="C10" s="67"/>
      <c r="D10" s="67"/>
      <c r="E10" s="47">
        <v>3.08</v>
      </c>
    </row>
    <row r="11" spans="1:5">
      <c r="A11" s="66"/>
      <c r="B11" s="80" t="s">
        <v>8</v>
      </c>
      <c r="C11" s="67"/>
      <c r="D11" s="67"/>
      <c r="E11" s="48" t="s">
        <v>60</v>
      </c>
    </row>
    <row r="12" spans="1:5">
      <c r="E12" s="49"/>
    </row>
    <row r="13" spans="1:5">
      <c r="B13" s="63" t="s">
        <v>63</v>
      </c>
      <c r="E13" s="49"/>
    </row>
    <row r="14" spans="1:5">
      <c r="A14" s="65">
        <v>1</v>
      </c>
      <c r="B14" s="81" t="s">
        <v>64</v>
      </c>
      <c r="C14" s="81"/>
      <c r="D14" s="81"/>
      <c r="E14" s="50">
        <v>0</v>
      </c>
    </row>
    <row r="15" spans="1:5">
      <c r="A15" s="65">
        <v>2</v>
      </c>
      <c r="B15" s="82" t="s">
        <v>65</v>
      </c>
      <c r="D15" s="82"/>
      <c r="E15" s="51">
        <v>0</v>
      </c>
    </row>
    <row r="16" spans="1:5">
      <c r="A16" s="65">
        <v>3</v>
      </c>
      <c r="B16" s="82" t="s">
        <v>66</v>
      </c>
      <c r="D16" s="82"/>
      <c r="E16" s="52">
        <v>0</v>
      </c>
    </row>
    <row r="17" spans="1:5">
      <c r="A17" s="65">
        <v>4</v>
      </c>
      <c r="B17" s="63" t="s">
        <v>67</v>
      </c>
      <c r="C17" s="82"/>
      <c r="D17" s="82"/>
      <c r="E17" s="53">
        <f>SUM(E14:E16)</f>
        <v>0</v>
      </c>
    </row>
    <row r="18" spans="1:5">
      <c r="C18" s="82"/>
      <c r="D18" s="82"/>
      <c r="E18" s="51"/>
    </row>
    <row r="19" spans="1:5">
      <c r="B19" s="63" t="s">
        <v>68</v>
      </c>
      <c r="C19" s="82"/>
      <c r="D19" s="82"/>
      <c r="E19" s="51"/>
    </row>
    <row r="20" spans="1:5">
      <c r="B20" s="82" t="s">
        <v>69</v>
      </c>
      <c r="D20" s="82"/>
      <c r="E20" s="51"/>
    </row>
    <row r="21" spans="1:5">
      <c r="A21" s="65">
        <v>5</v>
      </c>
      <c r="C21" s="82" t="s">
        <v>70</v>
      </c>
      <c r="D21" s="82"/>
      <c r="E21" s="51">
        <v>0</v>
      </c>
    </row>
    <row r="22" spans="1:5">
      <c r="A22" s="65">
        <v>6</v>
      </c>
      <c r="C22" s="82" t="s">
        <v>71</v>
      </c>
      <c r="D22" s="82"/>
      <c r="E22" s="51">
        <v>0</v>
      </c>
    </row>
    <row r="23" spans="1:5">
      <c r="A23" s="65">
        <v>7</v>
      </c>
      <c r="C23" s="82" t="s">
        <v>72</v>
      </c>
      <c r="D23" s="82"/>
      <c r="E23" s="52">
        <v>0</v>
      </c>
    </row>
    <row r="24" spans="1:5">
      <c r="A24" s="65">
        <v>8</v>
      </c>
      <c r="B24" s="82" t="s">
        <v>73</v>
      </c>
      <c r="C24" s="82"/>
      <c r="E24" s="53">
        <f>SUM(E21:E23)</f>
        <v>0</v>
      </c>
    </row>
    <row r="25" spans="1:5">
      <c r="B25" s="82"/>
      <c r="C25" s="82"/>
      <c r="E25" s="53"/>
    </row>
    <row r="26" spans="1:5">
      <c r="B26" s="82" t="s">
        <v>74</v>
      </c>
      <c r="D26" s="82"/>
      <c r="E26" s="51"/>
    </row>
    <row r="27" spans="1:5">
      <c r="A27" s="65">
        <v>9</v>
      </c>
      <c r="C27" s="82" t="s">
        <v>75</v>
      </c>
      <c r="D27" s="82"/>
      <c r="E27" s="51">
        <v>0</v>
      </c>
    </row>
    <row r="28" spans="1:5">
      <c r="A28" s="65">
        <v>10</v>
      </c>
      <c r="C28" s="82" t="s">
        <v>25</v>
      </c>
      <c r="D28" s="82"/>
      <c r="E28" s="51">
        <f>-2+12</f>
        <v>10</v>
      </c>
    </row>
    <row r="29" spans="1:5">
      <c r="A29" s="65">
        <v>11</v>
      </c>
      <c r="C29" s="82" t="s">
        <v>76</v>
      </c>
      <c r="D29" s="82"/>
      <c r="E29" s="52">
        <v>0</v>
      </c>
    </row>
    <row r="30" spans="1:5">
      <c r="A30" s="65">
        <v>12</v>
      </c>
      <c r="B30" s="82" t="s">
        <v>77</v>
      </c>
      <c r="C30" s="82"/>
      <c r="E30" s="53">
        <f>SUM(E27:E29)</f>
        <v>10</v>
      </c>
    </row>
    <row r="31" spans="1:5">
      <c r="B31" s="82"/>
      <c r="C31" s="82"/>
      <c r="E31" s="53"/>
    </row>
    <row r="32" spans="1:5">
      <c r="B32" s="82" t="s">
        <v>78</v>
      </c>
      <c r="D32" s="82"/>
      <c r="E32" s="51"/>
    </row>
    <row r="33" spans="1:5">
      <c r="A33" s="65">
        <v>13</v>
      </c>
      <c r="C33" s="82" t="s">
        <v>75</v>
      </c>
      <c r="D33" s="82"/>
      <c r="E33" s="51">
        <v>0</v>
      </c>
    </row>
    <row r="34" spans="1:5">
      <c r="A34" s="65">
        <v>14</v>
      </c>
      <c r="C34" s="82" t="s">
        <v>25</v>
      </c>
      <c r="D34" s="82"/>
      <c r="E34" s="51">
        <f>126+37</f>
        <v>163</v>
      </c>
    </row>
    <row r="35" spans="1:5">
      <c r="A35" s="65">
        <v>15</v>
      </c>
      <c r="C35" s="82" t="s">
        <v>76</v>
      </c>
      <c r="D35" s="82"/>
      <c r="E35" s="52">
        <v>0</v>
      </c>
    </row>
    <row r="36" spans="1:5">
      <c r="A36" s="65">
        <v>16</v>
      </c>
      <c r="B36" s="82" t="s">
        <v>79</v>
      </c>
      <c r="C36" s="82"/>
      <c r="E36" s="53">
        <f>SUM(E33:E35)</f>
        <v>163</v>
      </c>
    </row>
    <row r="37" spans="1:5">
      <c r="C37" s="82"/>
      <c r="D37" s="82"/>
      <c r="E37" s="53"/>
    </row>
    <row r="38" spans="1:5">
      <c r="A38" s="65">
        <v>17</v>
      </c>
      <c r="B38" s="63" t="s">
        <v>80</v>
      </c>
      <c r="C38" s="82"/>
      <c r="D38" s="82"/>
      <c r="E38" s="51">
        <v>0</v>
      </c>
    </row>
    <row r="39" spans="1:5">
      <c r="A39" s="65">
        <v>18</v>
      </c>
      <c r="B39" s="63" t="s">
        <v>81</v>
      </c>
      <c r="C39" s="82"/>
      <c r="D39" s="82"/>
      <c r="E39" s="51">
        <v>0</v>
      </c>
    </row>
    <row r="40" spans="1:5">
      <c r="A40" s="65">
        <v>19</v>
      </c>
      <c r="B40" s="63" t="s">
        <v>82</v>
      </c>
      <c r="C40" s="82"/>
      <c r="D40" s="82"/>
      <c r="E40" s="51">
        <v>0</v>
      </c>
    </row>
    <row r="41" spans="1:5">
      <c r="C41" s="82"/>
      <c r="D41" s="82"/>
      <c r="E41" s="51"/>
    </row>
    <row r="42" spans="1:5">
      <c r="B42" s="63" t="s">
        <v>83</v>
      </c>
      <c r="C42" s="82"/>
      <c r="D42" s="82"/>
      <c r="E42" s="51"/>
    </row>
    <row r="43" spans="1:5">
      <c r="A43" s="65">
        <v>20</v>
      </c>
      <c r="C43" s="82" t="s">
        <v>75</v>
      </c>
      <c r="D43" s="82"/>
      <c r="E43" s="51">
        <v>0</v>
      </c>
    </row>
    <row r="44" spans="1:5">
      <c r="A44" s="65">
        <v>21</v>
      </c>
      <c r="C44" s="82" t="s">
        <v>25</v>
      </c>
      <c r="D44" s="82"/>
      <c r="E44" s="51">
        <f>671-219-9</f>
        <v>443</v>
      </c>
    </row>
    <row r="45" spans="1:5">
      <c r="A45" s="65">
        <v>22</v>
      </c>
      <c r="C45" s="83" t="s">
        <v>84</v>
      </c>
      <c r="D45" s="82"/>
      <c r="E45" s="51"/>
    </row>
    <row r="46" spans="1:5">
      <c r="A46" s="65">
        <v>23</v>
      </c>
      <c r="C46" s="82" t="s">
        <v>76</v>
      </c>
      <c r="D46" s="82"/>
      <c r="E46" s="52">
        <v>0</v>
      </c>
    </row>
    <row r="47" spans="1:5">
      <c r="A47" s="84">
        <v>24</v>
      </c>
      <c r="B47" s="82" t="s">
        <v>85</v>
      </c>
      <c r="C47" s="82"/>
      <c r="E47" s="54">
        <f>SUM(E43:E46)</f>
        <v>443</v>
      </c>
    </row>
    <row r="48" spans="1:5">
      <c r="A48" s="84">
        <v>25</v>
      </c>
      <c r="B48" s="63" t="s">
        <v>86</v>
      </c>
      <c r="C48" s="82"/>
      <c r="D48" s="82"/>
      <c r="E48" s="54">
        <f>E20+E24+E30+E36+E38+E39+E40+E47</f>
        <v>616</v>
      </c>
    </row>
    <row r="49" spans="1:5">
      <c r="A49" s="84"/>
      <c r="C49" s="82"/>
      <c r="D49" s="82"/>
      <c r="E49" s="53"/>
    </row>
    <row r="50" spans="1:5">
      <c r="A50" s="84">
        <v>26</v>
      </c>
      <c r="B50" s="63" t="s">
        <v>87</v>
      </c>
      <c r="C50" s="82"/>
      <c r="D50" s="82"/>
      <c r="E50" s="53">
        <f>E17-E48</f>
        <v>-616</v>
      </c>
    </row>
    <row r="51" spans="1:5">
      <c r="A51" s="84"/>
      <c r="C51" s="82"/>
      <c r="D51" s="82"/>
      <c r="E51" s="53"/>
    </row>
    <row r="52" spans="1:5">
      <c r="A52" s="84"/>
      <c r="B52" s="63" t="s">
        <v>88</v>
      </c>
      <c r="C52" s="82"/>
      <c r="D52" s="82"/>
      <c r="E52" s="51"/>
    </row>
    <row r="53" spans="1:5">
      <c r="A53" s="84">
        <v>27</v>
      </c>
      <c r="B53" s="82" t="s">
        <v>89</v>
      </c>
      <c r="D53" s="82"/>
      <c r="E53" s="51">
        <f t="shared" ref="E53" si="0">E50*0.35</f>
        <v>-215.6</v>
      </c>
    </row>
    <row r="54" spans="1:5">
      <c r="A54" s="84">
        <v>28</v>
      </c>
      <c r="B54" s="82" t="s">
        <v>36</v>
      </c>
      <c r="D54" s="82"/>
      <c r="E54" s="51">
        <f>(E81*'[1]RR SUMMARY'!$O$14)*-0.35</f>
        <v>-95.781462896000008</v>
      </c>
    </row>
    <row r="55" spans="1:5">
      <c r="A55" s="84">
        <v>29</v>
      </c>
      <c r="B55" s="82" t="s">
        <v>90</v>
      </c>
      <c r="D55" s="82"/>
      <c r="E55" s="51">
        <v>0</v>
      </c>
    </row>
    <row r="56" spans="1:5">
      <c r="A56" s="84">
        <v>30</v>
      </c>
      <c r="B56" s="82" t="s">
        <v>91</v>
      </c>
      <c r="D56" s="82"/>
      <c r="E56" s="52">
        <v>0</v>
      </c>
    </row>
    <row r="57" spans="1:5">
      <c r="A57" s="84"/>
      <c r="E57" s="53"/>
    </row>
    <row r="58" spans="1:5" ht="15" thickBot="1">
      <c r="A58" s="65">
        <v>31</v>
      </c>
      <c r="B58" s="81" t="s">
        <v>92</v>
      </c>
      <c r="C58" s="81"/>
      <c r="D58" s="81"/>
      <c r="E58" s="55">
        <f t="shared" ref="E58" si="1">E50-SUM(E53:E56)</f>
        <v>-304.61853710399998</v>
      </c>
    </row>
    <row r="59" spans="1:5" ht="15" thickTop="1">
      <c r="E59" s="53"/>
    </row>
    <row r="60" spans="1:5">
      <c r="B60" s="63" t="s">
        <v>93</v>
      </c>
      <c r="E60" s="53"/>
    </row>
    <row r="61" spans="1:5">
      <c r="B61" s="63" t="s">
        <v>94</v>
      </c>
      <c r="E61" s="51"/>
    </row>
    <row r="62" spans="1:5">
      <c r="A62" s="65">
        <v>32</v>
      </c>
      <c r="B62" s="82"/>
      <c r="C62" s="82" t="s">
        <v>74</v>
      </c>
      <c r="D62" s="82"/>
      <c r="E62" s="50">
        <f>163-65</f>
        <v>98</v>
      </c>
    </row>
    <row r="63" spans="1:5">
      <c r="A63" s="65">
        <v>33</v>
      </c>
      <c r="B63" s="82"/>
      <c r="C63" s="82" t="s">
        <v>95</v>
      </c>
      <c r="D63" s="82"/>
      <c r="E63" s="51">
        <f>5261+991</f>
        <v>6252</v>
      </c>
    </row>
    <row r="64" spans="1:5">
      <c r="A64" s="65">
        <v>34</v>
      </c>
      <c r="B64" s="82"/>
      <c r="C64" s="82" t="s">
        <v>96</v>
      </c>
      <c r="D64" s="82"/>
      <c r="E64" s="52">
        <f>4760-1312+1+2341</f>
        <v>5790</v>
      </c>
    </row>
    <row r="65" spans="1:5">
      <c r="A65" s="65">
        <v>35</v>
      </c>
      <c r="B65" s="82" t="s">
        <v>97</v>
      </c>
      <c r="C65" s="82"/>
      <c r="E65" s="53">
        <f>SUM(E62:E64)</f>
        <v>12140</v>
      </c>
    </row>
    <row r="66" spans="1:5">
      <c r="B66" s="82"/>
      <c r="C66" s="82"/>
      <c r="E66" s="53"/>
    </row>
    <row r="67" spans="1:5">
      <c r="B67" s="82" t="s">
        <v>47</v>
      </c>
      <c r="C67" s="82"/>
      <c r="D67" s="82"/>
      <c r="E67" s="51"/>
    </row>
    <row r="68" spans="1:5">
      <c r="A68" s="65">
        <v>36</v>
      </c>
      <c r="B68" s="82"/>
      <c r="C68" s="82" t="s">
        <v>74</v>
      </c>
      <c r="D68" s="82"/>
      <c r="E68" s="56">
        <f>-103+21</f>
        <v>-82</v>
      </c>
    </row>
    <row r="69" spans="1:5">
      <c r="A69" s="65">
        <v>37</v>
      </c>
      <c r="B69" s="82"/>
      <c r="C69" s="82" t="s">
        <v>95</v>
      </c>
      <c r="D69" s="82"/>
      <c r="E69" s="51">
        <f>-1320-514</f>
        <v>-1834</v>
      </c>
    </row>
    <row r="70" spans="1:5">
      <c r="A70" s="65">
        <v>38</v>
      </c>
      <c r="B70" s="82"/>
      <c r="C70" s="82" t="s">
        <v>96</v>
      </c>
      <c r="D70" s="82"/>
      <c r="E70" s="52">
        <f>930-318-1892</f>
        <v>-1280</v>
      </c>
    </row>
    <row r="71" spans="1:5">
      <c r="A71" s="65">
        <v>39</v>
      </c>
      <c r="B71" s="82" t="s">
        <v>98</v>
      </c>
      <c r="C71" s="82"/>
      <c r="E71" s="57">
        <f t="shared" ref="E71" si="2">SUM(E68:E70)</f>
        <v>-3196</v>
      </c>
    </row>
    <row r="72" spans="1:5">
      <c r="A72" s="65">
        <v>40</v>
      </c>
      <c r="B72" s="82" t="s">
        <v>99</v>
      </c>
      <c r="C72" s="82"/>
      <c r="D72" s="82"/>
      <c r="E72" s="58">
        <f>E65+E71</f>
        <v>8944</v>
      </c>
    </row>
    <row r="73" spans="1:5">
      <c r="A73" s="84">
        <v>41</v>
      </c>
      <c r="B73" s="85" t="s">
        <v>100</v>
      </c>
      <c r="C73" s="85"/>
      <c r="D73" s="85"/>
      <c r="E73" s="52">
        <f>-1956+2652</f>
        <v>696</v>
      </c>
    </row>
    <row r="74" spans="1:5">
      <c r="A74" s="84">
        <v>42</v>
      </c>
      <c r="B74" s="85" t="s">
        <v>51</v>
      </c>
      <c r="C74" s="85"/>
      <c r="D74" s="85"/>
      <c r="E74" s="53">
        <f>E72+E73</f>
        <v>9640</v>
      </c>
    </row>
    <row r="75" spans="1:5">
      <c r="A75" s="65">
        <v>43</v>
      </c>
      <c r="B75" s="82" t="s">
        <v>101</v>
      </c>
      <c r="C75" s="82"/>
      <c r="D75" s="82"/>
      <c r="E75" s="51"/>
    </row>
    <row r="76" spans="1:5">
      <c r="A76" s="84">
        <v>44</v>
      </c>
      <c r="B76" s="85" t="s">
        <v>102</v>
      </c>
      <c r="C76" s="85"/>
      <c r="D76" s="85"/>
      <c r="E76" s="51"/>
    </row>
    <row r="77" spans="1:5">
      <c r="A77" s="84">
        <v>45</v>
      </c>
      <c r="B77" s="85" t="s">
        <v>103</v>
      </c>
      <c r="C77" s="85"/>
      <c r="D77" s="85"/>
      <c r="E77" s="51"/>
    </row>
    <row r="78" spans="1:5">
      <c r="A78" s="65">
        <v>46</v>
      </c>
      <c r="B78" s="82" t="s">
        <v>53</v>
      </c>
      <c r="C78" s="82"/>
      <c r="D78" s="82"/>
      <c r="E78" s="52"/>
    </row>
    <row r="79" spans="1:5">
      <c r="E79" s="49"/>
    </row>
    <row r="80" spans="1:5">
      <c r="E80" s="53"/>
    </row>
    <row r="81" spans="1:5" ht="15" thickBot="1">
      <c r="A81" s="66">
        <v>47</v>
      </c>
      <c r="B81" s="86" t="s">
        <v>104</v>
      </c>
      <c r="C81" s="86"/>
      <c r="D81" s="86"/>
      <c r="E81" s="59">
        <f>E74+E75+E76+E78+E77</f>
        <v>9640</v>
      </c>
    </row>
    <row r="82" spans="1:5" ht="15" thickTop="1">
      <c r="A82" s="87"/>
      <c r="B82" s="88"/>
      <c r="C82" s="88"/>
      <c r="D82" s="89"/>
      <c r="E82" s="60"/>
    </row>
    <row r="83" spans="1:5">
      <c r="A83" s="87"/>
      <c r="B83" s="88"/>
      <c r="C83" s="88"/>
      <c r="D83" s="90"/>
      <c r="E83" s="61"/>
    </row>
    <row r="84" spans="1:5">
      <c r="A84" s="87"/>
      <c r="B84" s="88"/>
      <c r="C84" s="88"/>
      <c r="D84" s="88"/>
      <c r="E84" s="49"/>
    </row>
    <row r="85" spans="1:5">
      <c r="A85" s="87"/>
      <c r="B85" s="88"/>
      <c r="C85" s="88"/>
      <c r="D85" s="88"/>
      <c r="E85" s="49"/>
    </row>
    <row r="86" spans="1:5">
      <c r="A86" s="84"/>
      <c r="B86" s="91"/>
      <c r="C86" s="91"/>
      <c r="D86" s="91"/>
      <c r="E86" s="49"/>
    </row>
    <row r="87" spans="1:5">
      <c r="A87" s="84"/>
      <c r="B87" s="91"/>
      <c r="C87" s="91"/>
      <c r="D87" s="91"/>
      <c r="E87" s="49"/>
    </row>
    <row r="88" spans="1:5">
      <c r="A88" s="84"/>
      <c r="B88" s="91"/>
      <c r="C88" s="91"/>
      <c r="D88" s="91"/>
      <c r="E88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2016-11-07T23:29:17+00:00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B12E5B-217E-41B1-AF38-B7BB345FCB6C}"/>
</file>

<file path=customXml/itemProps2.xml><?xml version="1.0" encoding="utf-8"?>
<ds:datastoreItem xmlns:ds="http://schemas.openxmlformats.org/officeDocument/2006/customXml" ds:itemID="{4325E639-1682-4442-AF23-83716D3D20DD}"/>
</file>

<file path=customXml/itemProps3.xml><?xml version="1.0" encoding="utf-8"?>
<ds:datastoreItem xmlns:ds="http://schemas.openxmlformats.org/officeDocument/2006/customXml" ds:itemID="{0074333A-57F2-47D1-9BB9-FB56762683CC}"/>
</file>

<file path=customXml/itemProps4.xml><?xml version="1.0" encoding="utf-8"?>
<ds:datastoreItem xmlns:ds="http://schemas.openxmlformats.org/officeDocument/2006/customXml" ds:itemID="{38ACFE58-97EB-4636-925B-DD893C64F1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Electric-3.09</vt:lpstr>
      <vt:lpstr>Gas-3.08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Joanna (UTC)</dc:creator>
  <cp:lastModifiedBy>Huang, Joanna (UTC)</cp:lastModifiedBy>
  <dcterms:created xsi:type="dcterms:W3CDTF">2016-11-01T22:22:26Z</dcterms:created>
  <dcterms:modified xsi:type="dcterms:W3CDTF">2016-11-01T23:42:59Z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