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5.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styles.xml" ContentType="application/vnd.openxmlformats-officedocument.spreadsheetml.styles+xml"/>
  <Override PartName="/xl/drawings/drawing4.xml" ContentType="application/vnd.openxmlformats-officedocument.drawing+xml"/>
  <Override PartName="/xl/worksheets/sheet18.xml" ContentType="application/vnd.openxmlformats-officedocument.spreadsheetml.worksheet+xml"/>
  <Override PartName="/xl/sharedStrings.xml" ContentType="application/vnd.openxmlformats-officedocument.spreadsheetml.sharedStrings+xml"/>
  <Override PartName="/xl/charts/chart4.xml" ContentType="application/vnd.openxmlformats-officedocument.drawingml.char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chart3.xml" ContentType="application/vnd.openxmlformats-officedocument.drawingml.chart+xml"/>
  <Override PartName="/xl/theme/theme1.xml" ContentType="application/vnd.openxmlformats-officedocument.them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drawings/drawing3.xml" ContentType="application/vnd.openxmlformats-officedocument.drawing+xml"/>
  <Override PartName="/xl/worksheets/sheet13.xml" ContentType="application/vnd.openxmlformats-officedocument.spreadsheetml.worksheet+xml"/>
  <Override PartName="/xl/worksheets/sheet17.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7.xml" ContentType="application/vnd.openxmlformats-officedocument.drawing+xml"/>
  <Override PartName="/xl/charts/chart7.xml" ContentType="application/vnd.openxmlformats-officedocument.drawingml.chart+xml"/>
  <Override PartName="/xl/worksheets/sheet5.xml" ContentType="application/vnd.openxmlformats-officedocument.spreadsheetml.worksheet+xml"/>
  <Override PartName="/xl/drawings/drawing8.xml" ContentType="application/vnd.openxmlformats-officedocument.drawing+xml"/>
  <Override PartName="/xl/charts/chart8.xml" ContentType="application/vnd.openxmlformats-officedocument.drawingml.chart+xml"/>
  <Override PartName="/xl/worksheets/sheet7.xml" ContentType="application/vnd.openxmlformats-officedocument.spreadsheetml.worksheet+xml"/>
  <Override PartName="/xl/worksheets/sheet6.xml" ContentType="application/vnd.openxmlformats-officedocument.spreadsheetml.worksheet+xml"/>
  <Override PartName="/xl/drawings/drawing5.xml" ContentType="application/vnd.openxmlformats-officedocument.drawing+xml"/>
  <Override PartName="/xl/charts/chart6.xml" ContentType="application/vnd.openxmlformats-officedocument.drawingml.chart+xml"/>
  <Override PartName="/xl/worksheets/sheet9.xml" ContentType="application/vnd.openxmlformats-officedocument.spreadsheetml.worksheet+xml"/>
  <Override PartName="/xl/worksheets/sheet10.xml" ContentType="application/vnd.openxmlformats-officedocument.spreadsheetml.worksheet+xml"/>
  <Override PartName="/xl/charts/chart5.xml" ContentType="application/vnd.openxmlformats-officedocument.drawingml.chart+xml"/>
  <Override PartName="/xl/worksheets/sheet8.xml" ContentType="application/vnd.openxmlformats-officedocument.spreadsheetml.worksheet+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mc:AlternateContent xmlns:mc="http://schemas.openxmlformats.org/markup-compatibility/2006">
    <mc:Choice Requires="x15">
      <x15ac:absPath xmlns:x15ac="http://schemas.microsoft.com/office/spreadsheetml/2010/11/ac" url="K:\wrk\30_ava\3046-12-2020GRC\dir\_exh\"/>
    </mc:Choice>
  </mc:AlternateContent>
  <bookViews>
    <workbookView xWindow="0" yWindow="1800" windowWidth="20850" windowHeight="8775" tabRatio="744"/>
  </bookViews>
  <sheets>
    <sheet name="Growth Rate Table" sheetId="42" r:id="rId1"/>
    <sheet name="Lead" sheetId="41" r:id="rId2"/>
    <sheet name="4.01" sheetId="20" r:id="rId3"/>
    <sheet name="4.02" sheetId="21" r:id="rId4"/>
    <sheet name="4.03 UG.Dep" sheetId="22" r:id="rId5"/>
    <sheet name="4.04" sheetId="23" r:id="rId6"/>
    <sheet name="4.05" sheetId="24" r:id="rId7"/>
    <sheet name="4.06 D.Dep" sheetId="25" r:id="rId8"/>
    <sheet name="4.07" sheetId="26" r:id="rId9"/>
    <sheet name="4.08" sheetId="27" r:id="rId10"/>
    <sheet name="4.09" sheetId="28" r:id="rId11"/>
    <sheet name="4.10" sheetId="29" r:id="rId12"/>
    <sheet name="4.11 A.Dep" sheetId="30" r:id="rId13"/>
    <sheet name="4.12" sheetId="31" r:id="rId14"/>
    <sheet name="4.13" sheetId="32" r:id="rId15"/>
    <sheet name="4.14" sheetId="33" r:id="rId16"/>
    <sheet name="4.15" sheetId="34" r:id="rId17"/>
    <sheet name="Cost Trends" sheetId="1" r:id="rId18"/>
    <sheet name="Riders and Gas Cost Revenue" sheetId="2" r:id="rId19"/>
    <sheet name="Reg Amort and Other RB" sheetId="6" r:id="rId20"/>
  </sheets>
  <externalReferences>
    <externalReference r:id="rId21"/>
    <externalReference r:id="rId22"/>
    <externalReference r:id="rId23"/>
    <externalReference r:id="rId24"/>
    <externalReference r:id="rId25"/>
    <externalReference r:id="rId26"/>
  </externalReferences>
  <definedNames>
    <definedName name="Actuals_Mo">[1]Tables!$B$19</definedName>
    <definedName name="Allocation_Categories">OFFSET('[2]Allocation Factors'!$A$4,0,0,COUNTA('[2]Allocation Factors'!$A:$A)-COUNTA('[2]Allocation Factors'!$A$1:$A$3),1)</definedName>
    <definedName name="Base1_Billing2" localSheetId="2">#REF!</definedName>
    <definedName name="Base1_Billing2" localSheetId="3">#REF!</definedName>
    <definedName name="Base1_Billing2" localSheetId="4">#REF!</definedName>
    <definedName name="Base1_Billing2" localSheetId="5">#REF!</definedName>
    <definedName name="Base1_Billing2" localSheetId="6">#REF!</definedName>
    <definedName name="Base1_Billing2" localSheetId="7">#REF!</definedName>
    <definedName name="Base1_Billing2" localSheetId="8">#REF!</definedName>
    <definedName name="Base1_Billing2" localSheetId="9">#REF!</definedName>
    <definedName name="Base1_Billing2" localSheetId="10">#REF!</definedName>
    <definedName name="Base1_Billing2" localSheetId="11">#REF!</definedName>
    <definedName name="Base1_Billing2" localSheetId="12">#REF!</definedName>
    <definedName name="Base1_Billing2" localSheetId="13">#REF!</definedName>
    <definedName name="Base1_Billing2" localSheetId="14">#REF!</definedName>
    <definedName name="Base1_Billing2" localSheetId="15">#REF!</definedName>
    <definedName name="Base1_Billing2" localSheetId="16">#REF!</definedName>
    <definedName name="Base1_Billing2" localSheetId="0">#REF!</definedName>
    <definedName name="Base1_Billing2" localSheetId="1">#REF!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2">#REF!</definedName>
    <definedName name="ID" localSheetId="3">#REF!</definedName>
    <definedName name="ID" localSheetId="4">#REF!</definedName>
    <definedName name="ID" localSheetId="5">#REF!</definedName>
    <definedName name="ID" localSheetId="6">#REF!</definedName>
    <definedName name="ID" localSheetId="7">#REF!</definedName>
    <definedName name="ID" localSheetId="8">#REF!</definedName>
    <definedName name="ID" localSheetId="9">#REF!</definedName>
    <definedName name="ID" localSheetId="10">#REF!</definedName>
    <definedName name="ID" localSheetId="11">#REF!</definedName>
    <definedName name="ID" localSheetId="12">#REF!</definedName>
    <definedName name="ID" localSheetId="13">#REF!</definedName>
    <definedName name="ID" localSheetId="14">#REF!</definedName>
    <definedName name="ID" localSheetId="15">#REF!</definedName>
    <definedName name="ID" localSheetId="16">#REF!</definedName>
    <definedName name="ID" localSheetId="0">#REF!</definedName>
    <definedName name="ID" localSheetId="1">#REF!</definedName>
    <definedName name="ID">#REF!</definedName>
    <definedName name="ID_001b" localSheetId="2">#REF!</definedName>
    <definedName name="ID_001b" localSheetId="3">#REF!</definedName>
    <definedName name="ID_001b" localSheetId="4">#REF!</definedName>
    <definedName name="ID_001b" localSheetId="5">#REF!</definedName>
    <definedName name="ID_001b" localSheetId="6">#REF!</definedName>
    <definedName name="ID_001b" localSheetId="7">#REF!</definedName>
    <definedName name="ID_001b" localSheetId="8">#REF!</definedName>
    <definedName name="ID_001b" localSheetId="9">#REF!</definedName>
    <definedName name="ID_001b" localSheetId="10">#REF!</definedName>
    <definedName name="ID_001b" localSheetId="11">#REF!</definedName>
    <definedName name="ID_001b" localSheetId="12">#REF!</definedName>
    <definedName name="ID_001b" localSheetId="13">#REF!</definedName>
    <definedName name="ID_001b" localSheetId="14">#REF!</definedName>
    <definedName name="ID_001b" localSheetId="15">#REF!</definedName>
    <definedName name="ID_001b" localSheetId="16">#REF!</definedName>
    <definedName name="ID_001b" localSheetId="0">#REF!</definedName>
    <definedName name="ID_001b" localSheetId="1">#REF!</definedName>
    <definedName name="ID_001b">#REF!</definedName>
    <definedName name="ID_011b" localSheetId="2">#REF!</definedName>
    <definedName name="ID_011b" localSheetId="3">#REF!</definedName>
    <definedName name="ID_011b" localSheetId="4">#REF!</definedName>
    <definedName name="ID_011b" localSheetId="5">#REF!</definedName>
    <definedName name="ID_011b" localSheetId="6">#REF!</definedName>
    <definedName name="ID_011b" localSheetId="7">#REF!</definedName>
    <definedName name="ID_011b" localSheetId="8">#REF!</definedName>
    <definedName name="ID_011b" localSheetId="9">#REF!</definedName>
    <definedName name="ID_011b" localSheetId="10">#REF!</definedName>
    <definedName name="ID_011b" localSheetId="11">#REF!</definedName>
    <definedName name="ID_011b" localSheetId="12">#REF!</definedName>
    <definedName name="ID_011b" localSheetId="13">#REF!</definedName>
    <definedName name="ID_011b" localSheetId="14">#REF!</definedName>
    <definedName name="ID_011b" localSheetId="15">#REF!</definedName>
    <definedName name="ID_011b" localSheetId="16">#REF!</definedName>
    <definedName name="ID_011b" localSheetId="0">#REF!</definedName>
    <definedName name="ID_011b" localSheetId="1">#REF!</definedName>
    <definedName name="ID_011b">#REF!</definedName>
    <definedName name="ID_012b" localSheetId="2">#REF!</definedName>
    <definedName name="ID_012b" localSheetId="3">#REF!</definedName>
    <definedName name="ID_012b" localSheetId="4">#REF!</definedName>
    <definedName name="ID_012b" localSheetId="5">#REF!</definedName>
    <definedName name="ID_012b" localSheetId="6">#REF!</definedName>
    <definedName name="ID_012b" localSheetId="7">#REF!</definedName>
    <definedName name="ID_012b" localSheetId="8">#REF!</definedName>
    <definedName name="ID_012b" localSheetId="9">#REF!</definedName>
    <definedName name="ID_012b" localSheetId="10">#REF!</definedName>
    <definedName name="ID_012b" localSheetId="11">#REF!</definedName>
    <definedName name="ID_012b" localSheetId="12">#REF!</definedName>
    <definedName name="ID_012b" localSheetId="13">#REF!</definedName>
    <definedName name="ID_012b" localSheetId="14">#REF!</definedName>
    <definedName name="ID_012b" localSheetId="15">#REF!</definedName>
    <definedName name="ID_012b" localSheetId="16">#REF!</definedName>
    <definedName name="ID_012b" localSheetId="0">#REF!</definedName>
    <definedName name="ID_012b" localSheetId="1">#REF!</definedName>
    <definedName name="ID_012b">#REF!</definedName>
    <definedName name="ID_021b" localSheetId="2">#REF!</definedName>
    <definedName name="ID_021b" localSheetId="3">#REF!</definedName>
    <definedName name="ID_021b" localSheetId="4">#REF!</definedName>
    <definedName name="ID_021b" localSheetId="5">#REF!</definedName>
    <definedName name="ID_021b" localSheetId="6">#REF!</definedName>
    <definedName name="ID_021b" localSheetId="7">#REF!</definedName>
    <definedName name="ID_021b" localSheetId="8">#REF!</definedName>
    <definedName name="ID_021b" localSheetId="9">#REF!</definedName>
    <definedName name="ID_021b" localSheetId="10">#REF!</definedName>
    <definedName name="ID_021b" localSheetId="11">#REF!</definedName>
    <definedName name="ID_021b" localSheetId="12">#REF!</definedName>
    <definedName name="ID_021b" localSheetId="13">#REF!</definedName>
    <definedName name="ID_021b" localSheetId="14">#REF!</definedName>
    <definedName name="ID_021b" localSheetId="15">#REF!</definedName>
    <definedName name="ID_021b" localSheetId="16">#REF!</definedName>
    <definedName name="ID_021b" localSheetId="0">#REF!</definedName>
    <definedName name="ID_021b" localSheetId="1">#REF!</definedName>
    <definedName name="ID_021b">#REF!</definedName>
    <definedName name="ID_Elec" localSheetId="3">#REF!</definedName>
    <definedName name="ID_Elec" localSheetId="4">#REF!</definedName>
    <definedName name="ID_Elec" localSheetId="5">#REF!</definedName>
    <definedName name="ID_Elec" localSheetId="6">#REF!</definedName>
    <definedName name="ID_Elec" localSheetId="7">#REF!</definedName>
    <definedName name="ID_Elec" localSheetId="8">#REF!</definedName>
    <definedName name="ID_Elec" localSheetId="9">#REF!</definedName>
    <definedName name="ID_Elec" localSheetId="10">#REF!</definedName>
    <definedName name="ID_Elec" localSheetId="11">#REF!</definedName>
    <definedName name="ID_Elec" localSheetId="12">#REF!</definedName>
    <definedName name="ID_Elec" localSheetId="13">#REF!</definedName>
    <definedName name="ID_Elec" localSheetId="14">#REF!</definedName>
    <definedName name="ID_Elec" localSheetId="15">#REF!</definedName>
    <definedName name="ID_Elec" localSheetId="16">#REF!</definedName>
    <definedName name="ID_Elec" localSheetId="0">#REF!</definedName>
    <definedName name="ID_Elec">#REF!</definedName>
    <definedName name="ID_Gas" localSheetId="2">'[5]DEBT CALC'!#REF!</definedName>
    <definedName name="ID_Gas" localSheetId="3">'[5]DEBT CALC'!#REF!</definedName>
    <definedName name="ID_Gas" localSheetId="4">'[5]DEBT CALC'!#REF!</definedName>
    <definedName name="ID_Gas" localSheetId="5">'[5]DEBT CALC'!#REF!</definedName>
    <definedName name="ID_Gas" localSheetId="6">'[5]DEBT CALC'!#REF!</definedName>
    <definedName name="ID_Gas" localSheetId="7">'[5]DEBT CALC'!#REF!</definedName>
    <definedName name="ID_Gas" localSheetId="8">'[5]DEBT CALC'!#REF!</definedName>
    <definedName name="ID_Gas" localSheetId="9">'[5]DEBT CALC'!#REF!</definedName>
    <definedName name="ID_Gas" localSheetId="10">'[5]DEBT CALC'!#REF!</definedName>
    <definedName name="ID_Gas" localSheetId="11">'[5]DEBT CALC'!#REF!</definedName>
    <definedName name="ID_Gas" localSheetId="12">'[5]DEBT CALC'!#REF!</definedName>
    <definedName name="ID_Gas" localSheetId="13">'[5]DEBT CALC'!#REF!</definedName>
    <definedName name="ID_Gas" localSheetId="14">'[5]DEBT CALC'!#REF!</definedName>
    <definedName name="ID_Gas" localSheetId="15">'[5]DEBT CALC'!#REF!</definedName>
    <definedName name="ID_Gas" localSheetId="16">'[5]DEBT CALC'!#REF!</definedName>
    <definedName name="ID_Gas" localSheetId="0">#REF!</definedName>
    <definedName name="ID_Gas" localSheetId="1">'[5]DEBT CALC'!#REF!</definedName>
    <definedName name="ID_Gas">#REF!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2">'4.01'!$A$1:$T$61</definedName>
    <definedName name="_xlnm.Print_Area" localSheetId="3">'4.02'!$A$1:$T$61</definedName>
    <definedName name="_xlnm.Print_Area" localSheetId="4">'4.03 UG.Dep'!$A$1:$T$61</definedName>
    <definedName name="_xlnm.Print_Area" localSheetId="5">'4.04'!$A$1:$T$61</definedName>
    <definedName name="_xlnm.Print_Area" localSheetId="6">'4.05'!$A$1:$T$61</definedName>
    <definedName name="_xlnm.Print_Area" localSheetId="7">'4.06 D.Dep'!$A$1:$T$61</definedName>
    <definedName name="_xlnm.Print_Area" localSheetId="8">'4.07'!$A$1:$T$61</definedName>
    <definedName name="_xlnm.Print_Area" localSheetId="9">'4.08'!$A$1:$T$61</definedName>
    <definedName name="_xlnm.Print_Area" localSheetId="10">'4.09'!$A$1:$T$61</definedName>
    <definedName name="_xlnm.Print_Area" localSheetId="11">'4.10'!$A$1:$T$61</definedName>
    <definedName name="_xlnm.Print_Area" localSheetId="12">'4.11 A.Dep'!$A$1:$T$61</definedName>
    <definedName name="_xlnm.Print_Area" localSheetId="13">'4.12'!$A$1:$T$60</definedName>
    <definedName name="_xlnm.Print_Area" localSheetId="14">'4.13'!$A$1:$T$60</definedName>
    <definedName name="_xlnm.Print_Area" localSheetId="15">'4.14'!$A$1:$T$60</definedName>
    <definedName name="_xlnm.Print_Area" localSheetId="16">'4.15'!$A$1:$T$60</definedName>
    <definedName name="_xlnm.Print_Area" localSheetId="17">'Cost Trends'!$A$2:$Y$151</definedName>
    <definedName name="_xlnm.Print_Area" localSheetId="0">'Growth Rate Table'!$A$1:$E$10</definedName>
    <definedName name="_xlnm.Print_Area" localSheetId="1">Lead!$A$1:$F$36</definedName>
    <definedName name="_xlnm.Print_Area" localSheetId="18">'Riders and Gas Cost Revenue'!$A$1:$AO$65</definedName>
    <definedName name="Print_for_CBReport" localSheetId="3">#REF!</definedName>
    <definedName name="Print_for_CBReport" localSheetId="4">#REF!</definedName>
    <definedName name="Print_for_CBReport" localSheetId="5">#REF!</definedName>
    <definedName name="Print_for_CBReport" localSheetId="6">#REF!</definedName>
    <definedName name="Print_for_CBReport" localSheetId="7">#REF!</definedName>
    <definedName name="Print_for_CBReport" localSheetId="8">#REF!</definedName>
    <definedName name="Print_for_CBReport" localSheetId="9">#REF!</definedName>
    <definedName name="Print_for_CBReport" localSheetId="10">#REF!</definedName>
    <definedName name="Print_for_CBReport" localSheetId="11">#REF!</definedName>
    <definedName name="Print_for_CBReport" localSheetId="12">#REF!</definedName>
    <definedName name="Print_for_CBReport" localSheetId="13">#REF!</definedName>
    <definedName name="Print_for_CBReport" localSheetId="14">#REF!</definedName>
    <definedName name="Print_for_CBReport" localSheetId="15">#REF!</definedName>
    <definedName name="Print_for_CBReport" localSheetId="16">#REF!</definedName>
    <definedName name="Print_for_CBReport" localSheetId="0">#REF!</definedName>
    <definedName name="Print_for_CBReport">#REF!</definedName>
    <definedName name="Print_for_Checking" localSheetId="2">'[5]ADJ SUMMARY'!#REF!:'[5]ADJ SUMMARY'!#REF!</definedName>
    <definedName name="Print_for_Checking" localSheetId="3">'[5]ADJ SUMMARY'!#REF!:'[5]ADJ SUMMARY'!#REF!</definedName>
    <definedName name="Print_for_Checking" localSheetId="4">'[5]ADJ SUMMARY'!#REF!:'[5]ADJ SUMMARY'!#REF!</definedName>
    <definedName name="Print_for_Checking" localSheetId="5">'[5]ADJ SUMMARY'!#REF!:'[5]ADJ SUMMARY'!#REF!</definedName>
    <definedName name="Print_for_Checking" localSheetId="6">'[5]ADJ SUMMARY'!#REF!:'[5]ADJ SUMMARY'!#REF!</definedName>
    <definedName name="Print_for_Checking" localSheetId="7">'[5]ADJ SUMMARY'!#REF!:'[5]ADJ SUMMARY'!#REF!</definedName>
    <definedName name="Print_for_Checking" localSheetId="8">'[5]ADJ SUMMARY'!#REF!:'[5]ADJ SUMMARY'!#REF!</definedName>
    <definedName name="Print_for_Checking" localSheetId="9">'[5]ADJ SUMMARY'!#REF!:'[5]ADJ SUMMARY'!#REF!</definedName>
    <definedName name="Print_for_Checking" localSheetId="10">'[5]ADJ SUMMARY'!#REF!:'[5]ADJ SUMMARY'!#REF!</definedName>
    <definedName name="Print_for_Checking" localSheetId="11">'[5]ADJ SUMMARY'!#REF!:'[5]ADJ SUMMARY'!#REF!</definedName>
    <definedName name="Print_for_Checking" localSheetId="12">'[5]ADJ SUMMARY'!#REF!:'[5]ADJ SUMMARY'!#REF!</definedName>
    <definedName name="Print_for_Checking" localSheetId="13">'[5]ADJ SUMMARY'!#REF!:'[5]ADJ SUMMARY'!#REF!</definedName>
    <definedName name="Print_for_Checking" localSheetId="14">'[5]ADJ SUMMARY'!#REF!:'[5]ADJ SUMMARY'!#REF!</definedName>
    <definedName name="Print_for_Checking" localSheetId="15">'[5]ADJ SUMMARY'!#REF!:'[5]ADJ SUMMARY'!#REF!</definedName>
    <definedName name="Print_for_Checking" localSheetId="16">'[5]ADJ SUMMARY'!#REF!:'[5]ADJ SUMMARY'!#REF!</definedName>
    <definedName name="Print_for_Checking" localSheetId="0">#REF!</definedName>
    <definedName name="Print_for_Checking" localSheetId="1">'[5]ADJ SUMMARY'!#REF!:'[5]ADJ SUMMARY'!#REF!</definedName>
    <definedName name="Print_for_Checking">#REF!</definedName>
    <definedName name="_xlnm.Print_Titles" localSheetId="17">'Cost Trends'!$2:$2</definedName>
    <definedName name="_xlnm.Print_Titles" localSheetId="18">'Riders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[6]Macro1!$A$92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RRC_Adjustment_Print">#REF!</definedName>
    <definedName name="RRC_Rate_Print">#REF!</definedName>
    <definedName name="s" localSheetId="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#REF!</definedName>
    <definedName name="s">#REF!</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2">#REF!</definedName>
    <definedName name="Summary" localSheetId="3">#REF!</definedName>
    <definedName name="Summary" localSheetId="4">#REF!</definedName>
    <definedName name="Summary" localSheetId="5">#REF!</definedName>
    <definedName name="Summary" localSheetId="6">#REF!</definedName>
    <definedName name="Summary" localSheetId="7">#REF!</definedName>
    <definedName name="Summary" localSheetId="8">#REF!</definedName>
    <definedName name="Summary" localSheetId="9">#REF!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0">#REF!</definedName>
    <definedName name="Summary" localSheetId="1">#REF!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2">#REF!</definedName>
    <definedName name="WA_001b" localSheetId="3">#REF!</definedName>
    <definedName name="WA_001b" localSheetId="4">#REF!</definedName>
    <definedName name="WA_001b" localSheetId="5">#REF!</definedName>
    <definedName name="WA_001b" localSheetId="6">#REF!</definedName>
    <definedName name="WA_001b" localSheetId="7">#REF!</definedName>
    <definedName name="WA_001b" localSheetId="8">#REF!</definedName>
    <definedName name="WA_001b" localSheetId="9">#REF!</definedName>
    <definedName name="WA_001b" localSheetId="10">#REF!</definedName>
    <definedName name="WA_001b" localSheetId="11">#REF!</definedName>
    <definedName name="WA_001b" localSheetId="12">#REF!</definedName>
    <definedName name="WA_001b" localSheetId="13">#REF!</definedName>
    <definedName name="WA_001b" localSheetId="14">#REF!</definedName>
    <definedName name="WA_001b" localSheetId="15">#REF!</definedName>
    <definedName name="WA_001b" localSheetId="16">#REF!</definedName>
    <definedName name="WA_001b" localSheetId="0">#REF!</definedName>
    <definedName name="WA_001b" localSheetId="1">#REF!</definedName>
    <definedName name="WA_001b">#REF!</definedName>
    <definedName name="WA_011b" localSheetId="2">#REF!</definedName>
    <definedName name="WA_011b" localSheetId="3">#REF!</definedName>
    <definedName name="WA_011b" localSheetId="4">#REF!</definedName>
    <definedName name="WA_011b" localSheetId="5">#REF!</definedName>
    <definedName name="WA_011b" localSheetId="6">#REF!</definedName>
    <definedName name="WA_011b" localSheetId="7">#REF!</definedName>
    <definedName name="WA_011b" localSheetId="8">#REF!</definedName>
    <definedName name="WA_011b" localSheetId="9">#REF!</definedName>
    <definedName name="WA_011b" localSheetId="10">#REF!</definedName>
    <definedName name="WA_011b" localSheetId="11">#REF!</definedName>
    <definedName name="WA_011b" localSheetId="12">#REF!</definedName>
    <definedName name="WA_011b" localSheetId="13">#REF!</definedName>
    <definedName name="WA_011b" localSheetId="14">#REF!</definedName>
    <definedName name="WA_011b" localSheetId="15">#REF!</definedName>
    <definedName name="WA_011b" localSheetId="16">#REF!</definedName>
    <definedName name="WA_011b" localSheetId="0">#REF!</definedName>
    <definedName name="WA_011b" localSheetId="1">#REF!</definedName>
    <definedName name="WA_011b">#REF!</definedName>
    <definedName name="WA_012b" localSheetId="2">#REF!</definedName>
    <definedName name="WA_012b" localSheetId="3">#REF!</definedName>
    <definedName name="WA_012b" localSheetId="4">#REF!</definedName>
    <definedName name="WA_012b" localSheetId="5">#REF!</definedName>
    <definedName name="WA_012b" localSheetId="6">#REF!</definedName>
    <definedName name="WA_012b" localSheetId="7">#REF!</definedName>
    <definedName name="WA_012b" localSheetId="8">#REF!</definedName>
    <definedName name="WA_012b" localSheetId="9">#REF!</definedName>
    <definedName name="WA_012b" localSheetId="10">#REF!</definedName>
    <definedName name="WA_012b" localSheetId="11">#REF!</definedName>
    <definedName name="WA_012b" localSheetId="12">#REF!</definedName>
    <definedName name="WA_012b" localSheetId="13">#REF!</definedName>
    <definedName name="WA_012b" localSheetId="14">#REF!</definedName>
    <definedName name="WA_012b" localSheetId="15">#REF!</definedName>
    <definedName name="WA_012b" localSheetId="16">#REF!</definedName>
    <definedName name="WA_012b" localSheetId="0">#REF!</definedName>
    <definedName name="WA_012b" localSheetId="1">#REF!</definedName>
    <definedName name="WA_012b">#REF!</definedName>
    <definedName name="WA_021b" localSheetId="2">#REF!</definedName>
    <definedName name="WA_021b" localSheetId="3">#REF!</definedName>
    <definedName name="WA_021b" localSheetId="4">#REF!</definedName>
    <definedName name="WA_021b" localSheetId="5">#REF!</definedName>
    <definedName name="WA_021b" localSheetId="6">#REF!</definedName>
    <definedName name="WA_021b" localSheetId="7">#REF!</definedName>
    <definedName name="WA_021b" localSheetId="8">#REF!</definedName>
    <definedName name="WA_021b" localSheetId="9">#REF!</definedName>
    <definedName name="WA_021b" localSheetId="10">#REF!</definedName>
    <definedName name="WA_021b" localSheetId="11">#REF!</definedName>
    <definedName name="WA_021b" localSheetId="12">#REF!</definedName>
    <definedName name="WA_021b" localSheetId="13">#REF!</definedName>
    <definedName name="WA_021b" localSheetId="14">#REF!</definedName>
    <definedName name="WA_021b" localSheetId="15">#REF!</definedName>
    <definedName name="WA_021b" localSheetId="16">#REF!</definedName>
    <definedName name="WA_021b" localSheetId="0">#REF!</definedName>
    <definedName name="WA_021b" localSheetId="1">#REF!</definedName>
    <definedName name="WA_021b">#REF!</definedName>
    <definedName name="WA_Elec" localSheetId="3">#REF!</definedName>
    <definedName name="WA_Elec" localSheetId="4">#REF!</definedName>
    <definedName name="WA_Elec" localSheetId="5">#REF!</definedName>
    <definedName name="WA_Elec" localSheetId="6">#REF!</definedName>
    <definedName name="WA_Elec" localSheetId="7">#REF!</definedName>
    <definedName name="WA_Elec" localSheetId="8">#REF!</definedName>
    <definedName name="WA_Elec" localSheetId="9">#REF!</definedName>
    <definedName name="WA_Elec" localSheetId="10">#REF!</definedName>
    <definedName name="WA_Elec" localSheetId="11">#REF!</definedName>
    <definedName name="WA_Elec" localSheetId="12">#REF!</definedName>
    <definedName name="WA_Elec" localSheetId="13">#REF!</definedName>
    <definedName name="WA_Elec" localSheetId="14">#REF!</definedName>
    <definedName name="WA_Elec" localSheetId="15">#REF!</definedName>
    <definedName name="WA_Elec" localSheetId="16">#REF!</definedName>
    <definedName name="WA_Elec" localSheetId="0">#REF!</definedName>
    <definedName name="WA_Elec">#REF!</definedName>
    <definedName name="WA_Gas" localSheetId="2">'[5]DEBT CALC'!#REF!</definedName>
    <definedName name="WA_Gas" localSheetId="3">'[5]DEBT CALC'!#REF!</definedName>
    <definedName name="WA_Gas" localSheetId="4">'[5]DEBT CALC'!#REF!</definedName>
    <definedName name="WA_Gas" localSheetId="5">'[5]DEBT CALC'!#REF!</definedName>
    <definedName name="WA_Gas" localSheetId="6">'[5]DEBT CALC'!#REF!</definedName>
    <definedName name="WA_Gas" localSheetId="7">'[5]DEBT CALC'!#REF!</definedName>
    <definedName name="WA_Gas" localSheetId="8">'[5]DEBT CALC'!#REF!</definedName>
    <definedName name="WA_Gas" localSheetId="9">'[5]DEBT CALC'!#REF!</definedName>
    <definedName name="WA_Gas" localSheetId="10">'[5]DEBT CALC'!#REF!</definedName>
    <definedName name="WA_Gas" localSheetId="11">'[5]DEBT CALC'!#REF!</definedName>
    <definedName name="WA_Gas" localSheetId="12">'[5]DEBT CALC'!#REF!</definedName>
    <definedName name="WA_Gas" localSheetId="13">'[5]DEBT CALC'!#REF!</definedName>
    <definedName name="WA_Gas" localSheetId="14">'[5]DEBT CALC'!#REF!</definedName>
    <definedName name="WA_Gas" localSheetId="15">'[5]DEBT CALC'!#REF!</definedName>
    <definedName name="WA_Gas" localSheetId="16">'[5]DEBT CALC'!#REF!</definedName>
    <definedName name="WA_Gas" localSheetId="0">#REF!</definedName>
    <definedName name="WA_Gas" localSheetId="1">'[5]DEBT CALC'!#REF!</definedName>
    <definedName name="WA_Gas">#REF!</definedName>
    <definedName name="WA04X">[3]Rates!$D$121:$K$121</definedName>
    <definedName name="WAPPRider">[3]Rates!$D$124:$K$124</definedName>
    <definedName name="WAResEx">[3]Rates!$D$125:$K$125</definedName>
    <definedName name="WASurch">[3]Rates!$D$122:$K$122</definedName>
    <definedName name="Year1">[3]Setup!$B$2</definedName>
    <definedName name="Z_5BE913A1_B14F_11D2_B0DC_0000832CDFF0_.wvu.Cols" localSheetId="17" hidden="1">'Cost Trends'!#REF!</definedName>
    <definedName name="Z_5BE913A1_B14F_11D2_B0DC_0000832CDFF0_.wvu.PrintArea" localSheetId="17" hidden="1">'Cost Trends'!$Q$11:$Q$91</definedName>
    <definedName name="Z_5BE913A1_B14F_11D2_B0DC_0000832CDFF0_.wvu.PrintTitles" localSheetId="17" hidden="1">'Cost Trends'!$A:$D,'Cost Trends'!$1:$8</definedName>
    <definedName name="Z_A15D1964_B049_11D2_8670_0000832CEEE8_.wvu.Cols" localSheetId="17" hidden="1">'Cost Trends'!#REF!</definedName>
    <definedName name="Z_A15D1964_B049_11D2_8670_0000832CEEE8_.wvu.PrintArea" localSheetId="17" hidden="1">'Cost Trends'!$Q$11:$Q$91</definedName>
    <definedName name="Z_A15D1964_B049_11D2_8670_0000832CEEE8_.wvu.PrintTitles" localSheetId="17" hidden="1">'Cost Trends'!$A:$D,'Cost Trends'!$1:$8</definedName>
  </definedNames>
  <calcPr calcId="171027"/>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M70" i="22" l="1"/>
  <c r="N70" i="22" s="1"/>
  <c r="O70" i="22" s="1"/>
  <c r="P70" i="22" s="1"/>
  <c r="Q70" i="22" s="1"/>
  <c r="R70" i="22" s="1"/>
  <c r="S70" i="22" s="1"/>
  <c r="T70" i="22" s="1"/>
  <c r="O74" i="22"/>
  <c r="P74" i="22"/>
  <c r="Q74" i="22"/>
  <c r="R74" i="22"/>
  <c r="S74" i="22"/>
  <c r="T74" i="22"/>
  <c r="O75" i="22"/>
  <c r="P75" i="22"/>
  <c r="Q75" i="22"/>
  <c r="R75" i="22"/>
  <c r="S75" i="22"/>
  <c r="T75" i="22"/>
  <c r="C33" i="41"/>
  <c r="C32" i="41"/>
  <c r="C31" i="41"/>
  <c r="C30" i="41"/>
  <c r="C26" i="41"/>
  <c r="D26" i="41" s="1"/>
  <c r="C25" i="41"/>
  <c r="C21" i="41"/>
  <c r="C20" i="41"/>
  <c r="C19" i="41"/>
  <c r="C18" i="41"/>
  <c r="C17" i="41"/>
  <c r="C16" i="41"/>
  <c r="D19" i="41" l="1"/>
  <c r="D8" i="42"/>
  <c r="C12" i="41" l="1"/>
  <c r="C10" i="41"/>
  <c r="C11" i="41"/>
  <c r="C59" i="41"/>
  <c r="T58" i="41"/>
  <c r="S58" i="41"/>
  <c r="R58" i="41"/>
  <c r="Q58" i="41"/>
  <c r="P58" i="41"/>
  <c r="O58" i="41"/>
  <c r="N58" i="41"/>
  <c r="M58" i="41"/>
  <c r="L58" i="41"/>
  <c r="K58" i="41"/>
  <c r="J58" i="41"/>
  <c r="I58" i="41"/>
  <c r="H58" i="41"/>
  <c r="G58" i="41"/>
  <c r="F58" i="41"/>
  <c r="E58" i="41"/>
  <c r="D58" i="41"/>
  <c r="C58" i="41"/>
  <c r="B58" i="41"/>
  <c r="B60" i="41" s="1"/>
  <c r="T54" i="41"/>
  <c r="S54" i="41"/>
  <c r="R54" i="41"/>
  <c r="Q54" i="41"/>
  <c r="P54" i="41"/>
  <c r="O54" i="41"/>
  <c r="N54" i="41"/>
  <c r="M54" i="41"/>
  <c r="L54" i="41"/>
  <c r="K54" i="41"/>
  <c r="J54" i="41"/>
  <c r="I54" i="41"/>
  <c r="H54" i="41"/>
  <c r="G54" i="41"/>
  <c r="F54" i="41"/>
  <c r="E54" i="41"/>
  <c r="D54" i="41"/>
  <c r="C54" i="41"/>
  <c r="B54" i="41"/>
  <c r="D33" i="41"/>
  <c r="D32" i="41"/>
  <c r="D31" i="41"/>
  <c r="D30" i="41"/>
  <c r="D25" i="41"/>
  <c r="D21" i="41"/>
  <c r="D20" i="41"/>
  <c r="D18" i="41"/>
  <c r="D17" i="41"/>
  <c r="D16" i="41"/>
  <c r="D12" i="41"/>
  <c r="D11" i="41"/>
  <c r="D10" i="41"/>
  <c r="C60" i="41" l="1"/>
  <c r="C61" i="41" s="1"/>
  <c r="B61" i="41"/>
  <c r="D59" i="41"/>
  <c r="E59" i="41" l="1"/>
  <c r="D60" i="41"/>
  <c r="D61" i="41" l="1"/>
  <c r="F59" i="41"/>
  <c r="E60" i="41"/>
  <c r="E61" i="41" s="1"/>
  <c r="G59" i="41" l="1"/>
  <c r="F60" i="41"/>
  <c r="F61" i="41" l="1"/>
  <c r="G60" i="41"/>
  <c r="G61" i="41" s="1"/>
  <c r="H59" i="41"/>
  <c r="H60" i="41" l="1"/>
  <c r="I59" i="41"/>
  <c r="I60" i="41" l="1"/>
  <c r="I61" i="41" s="1"/>
  <c r="J59" i="41"/>
  <c r="H61" i="41"/>
  <c r="J60" i="41" l="1"/>
  <c r="K59" i="41"/>
  <c r="J61" i="41" l="1"/>
  <c r="K60" i="41"/>
  <c r="K61" i="41" s="1"/>
  <c r="L59" i="41"/>
  <c r="M59" i="41" l="1"/>
  <c r="L60" i="41"/>
  <c r="L61" i="41" s="1"/>
  <c r="N59" i="41" l="1"/>
  <c r="M60" i="41"/>
  <c r="M61" i="41" s="1"/>
  <c r="O59" i="41" l="1"/>
  <c r="N60" i="41"/>
  <c r="N61" i="41" l="1"/>
  <c r="B65" i="41" a="1"/>
  <c r="O60" i="41"/>
  <c r="O61" i="41" s="1"/>
  <c r="P59" i="41"/>
  <c r="P60" i="41" l="1"/>
  <c r="P61" i="41" s="1"/>
  <c r="Q59" i="41"/>
  <c r="B66" i="41"/>
  <c r="B68" i="41"/>
  <c r="B67" i="41"/>
  <c r="C69" i="41"/>
  <c r="C65" i="41"/>
  <c r="C66" i="41"/>
  <c r="B69" i="41"/>
  <c r="B65" i="41"/>
  <c r="C68" i="41"/>
  <c r="C67" i="41"/>
  <c r="B72" i="41" l="1"/>
  <c r="B73" i="41" s="1"/>
  <c r="R59" i="41"/>
  <c r="Q60" i="41"/>
  <c r="Q61" i="41" s="1"/>
  <c r="T59" i="41"/>
  <c r="T60" i="41" s="1"/>
  <c r="T61" i="41" s="1"/>
  <c r="R60" i="41" l="1"/>
  <c r="R61" i="41" s="1"/>
  <c r="S59" i="41"/>
  <c r="S60" i="41" s="1"/>
  <c r="S61" i="41" s="1"/>
  <c r="Q70" i="20" l="1"/>
  <c r="R70" i="20"/>
  <c r="S70" i="20"/>
  <c r="T70" i="20"/>
  <c r="Q74" i="20"/>
  <c r="R74" i="20"/>
  <c r="S74" i="20"/>
  <c r="T74" i="20"/>
  <c r="Q75" i="20"/>
  <c r="R75" i="20"/>
  <c r="S75" i="20"/>
  <c r="T75" i="20"/>
  <c r="Q76" i="20"/>
  <c r="Q77" i="20" s="1"/>
  <c r="R76" i="20"/>
  <c r="R77" i="20" s="1"/>
  <c r="S76" i="20"/>
  <c r="S77" i="20" s="1"/>
  <c r="T76" i="20"/>
  <c r="T77" i="20" s="1"/>
  <c r="Q70" i="21"/>
  <c r="R70" i="21"/>
  <c r="S70" i="21"/>
  <c r="T70" i="21"/>
  <c r="Q74" i="21"/>
  <c r="R74" i="21"/>
  <c r="S74" i="21"/>
  <c r="T74" i="21"/>
  <c r="Q75" i="21"/>
  <c r="R75" i="21" s="1"/>
  <c r="Q70" i="23"/>
  <c r="R70" i="23"/>
  <c r="S70" i="23"/>
  <c r="T70" i="23"/>
  <c r="Q74" i="23"/>
  <c r="R74" i="23"/>
  <c r="S74" i="23"/>
  <c r="T74" i="23"/>
  <c r="Q75" i="23"/>
  <c r="R75" i="23" s="1"/>
  <c r="Q70" i="24"/>
  <c r="R70" i="24"/>
  <c r="S70" i="24"/>
  <c r="T70" i="24"/>
  <c r="Q74" i="24"/>
  <c r="R74" i="24"/>
  <c r="S74" i="24"/>
  <c r="T74" i="24"/>
  <c r="Q75" i="24"/>
  <c r="R75" i="24"/>
  <c r="S75" i="24" s="1"/>
  <c r="Q76" i="24"/>
  <c r="Q77" i="24" s="1"/>
  <c r="Q70" i="25"/>
  <c r="R70" i="25"/>
  <c r="S70" i="25"/>
  <c r="T70" i="25"/>
  <c r="Q74" i="25"/>
  <c r="R74" i="25"/>
  <c r="S74" i="25"/>
  <c r="T74" i="25"/>
  <c r="Q75" i="25"/>
  <c r="R75" i="25"/>
  <c r="S75" i="25"/>
  <c r="T75" i="25" s="1"/>
  <c r="T76" i="25" s="1"/>
  <c r="T77" i="25" s="1"/>
  <c r="Q76" i="25"/>
  <c r="Q77" i="25" s="1"/>
  <c r="R76" i="25"/>
  <c r="R77" i="25" s="1"/>
  <c r="Q70" i="26"/>
  <c r="R70" i="26"/>
  <c r="S70" i="26"/>
  <c r="T70" i="26"/>
  <c r="Q74" i="26"/>
  <c r="R74" i="26"/>
  <c r="S74" i="26"/>
  <c r="T74" i="26"/>
  <c r="Q75" i="26"/>
  <c r="R75" i="26" s="1"/>
  <c r="Q70" i="27"/>
  <c r="R70" i="27"/>
  <c r="S70" i="27"/>
  <c r="T70" i="27"/>
  <c r="Q74" i="27"/>
  <c r="R74" i="27"/>
  <c r="S74" i="27"/>
  <c r="T74" i="27"/>
  <c r="Q75" i="27"/>
  <c r="R75" i="27"/>
  <c r="S75" i="27" s="1"/>
  <c r="Q70" i="28"/>
  <c r="R70" i="28"/>
  <c r="S70" i="28"/>
  <c r="T70" i="28"/>
  <c r="Q74" i="28"/>
  <c r="R74" i="28"/>
  <c r="S74" i="28"/>
  <c r="T74" i="28"/>
  <c r="Q75" i="28"/>
  <c r="Q76" i="28" s="1"/>
  <c r="Q77" i="28" s="1"/>
  <c r="R75" i="28"/>
  <c r="S75" i="28" s="1"/>
  <c r="Q70" i="29"/>
  <c r="R70" i="29"/>
  <c r="S70" i="29"/>
  <c r="T70" i="29"/>
  <c r="Q74" i="29"/>
  <c r="R74" i="29"/>
  <c r="S74" i="29"/>
  <c r="T74" i="29"/>
  <c r="Q75" i="29"/>
  <c r="R75" i="29"/>
  <c r="S75" i="29"/>
  <c r="T75" i="29"/>
  <c r="Q70" i="30"/>
  <c r="R70" i="30"/>
  <c r="S70" i="30"/>
  <c r="T70" i="30"/>
  <c r="Q74" i="30"/>
  <c r="R74" i="30"/>
  <c r="S74" i="30"/>
  <c r="T74" i="30"/>
  <c r="Q75" i="30"/>
  <c r="R75" i="30"/>
  <c r="S75" i="30"/>
  <c r="S76" i="30" s="1"/>
  <c r="S77" i="30" s="1"/>
  <c r="T75" i="30"/>
  <c r="T76" i="30" s="1"/>
  <c r="T77" i="30" s="1"/>
  <c r="Q76" i="30"/>
  <c r="Q77" i="30" s="1"/>
  <c r="R76" i="30"/>
  <c r="R77" i="30" s="1"/>
  <c r="Q69" i="31"/>
  <c r="R69" i="31"/>
  <c r="S69" i="31"/>
  <c r="T69" i="31"/>
  <c r="Q73" i="31"/>
  <c r="R73" i="31"/>
  <c r="S73" i="31"/>
  <c r="T73" i="31"/>
  <c r="Q74" i="31"/>
  <c r="R74" i="31"/>
  <c r="S74" i="31" s="1"/>
  <c r="Q69" i="32"/>
  <c r="R69" i="32"/>
  <c r="S69" i="32"/>
  <c r="T69" i="32"/>
  <c r="Q73" i="32"/>
  <c r="R73" i="32"/>
  <c r="S73" i="32"/>
  <c r="T73" i="32"/>
  <c r="Q74" i="32"/>
  <c r="Q75" i="32" s="1"/>
  <c r="Q76" i="32" s="1"/>
  <c r="R74" i="32"/>
  <c r="S74" i="32" s="1"/>
  <c r="Q69" i="33"/>
  <c r="R69" i="33"/>
  <c r="S69" i="33"/>
  <c r="T69" i="33"/>
  <c r="Q73" i="33"/>
  <c r="R73" i="33"/>
  <c r="S73" i="33"/>
  <c r="T73" i="33"/>
  <c r="Q74" i="33"/>
  <c r="R74" i="33"/>
  <c r="S74" i="33"/>
  <c r="T74" i="33"/>
  <c r="Q75" i="33"/>
  <c r="Q76" i="33" s="1"/>
  <c r="Q69" i="34"/>
  <c r="R69" i="34"/>
  <c r="S69" i="34"/>
  <c r="Q73" i="34"/>
  <c r="R73" i="34"/>
  <c r="S73" i="34"/>
  <c r="Q74" i="34"/>
  <c r="R74" i="34"/>
  <c r="S74" i="34"/>
  <c r="R11" i="34"/>
  <c r="S11" i="34"/>
  <c r="T11" i="34"/>
  <c r="R14" i="34"/>
  <c r="S14" i="34"/>
  <c r="T14" i="34"/>
  <c r="R11" i="33"/>
  <c r="S11" i="33"/>
  <c r="T11" i="33"/>
  <c r="T15" i="33" s="1"/>
  <c r="R12" i="33"/>
  <c r="S12" i="33"/>
  <c r="T12" i="33"/>
  <c r="R15" i="33"/>
  <c r="S15" i="33"/>
  <c r="R11" i="32"/>
  <c r="R15" i="32" s="1"/>
  <c r="S11" i="32"/>
  <c r="S15" i="32" s="1"/>
  <c r="T11" i="32"/>
  <c r="T15" i="32" s="1"/>
  <c r="R12" i="32"/>
  <c r="S12" i="32"/>
  <c r="T12" i="32"/>
  <c r="R11" i="31"/>
  <c r="R15" i="31" s="1"/>
  <c r="S11" i="31"/>
  <c r="T11" i="31"/>
  <c r="R12" i="31"/>
  <c r="S12" i="31"/>
  <c r="T12" i="31"/>
  <c r="S15" i="31"/>
  <c r="T15" i="31"/>
  <c r="R11" i="30"/>
  <c r="S11" i="30"/>
  <c r="T11" i="30"/>
  <c r="R12" i="30"/>
  <c r="S12" i="30"/>
  <c r="T12" i="30"/>
  <c r="T15" i="30" s="1"/>
  <c r="R15" i="30"/>
  <c r="S15" i="30"/>
  <c r="R11" i="29"/>
  <c r="S11" i="29"/>
  <c r="T11" i="29"/>
  <c r="R15" i="29"/>
  <c r="S15" i="29"/>
  <c r="T15" i="29"/>
  <c r="R11" i="28"/>
  <c r="S11" i="28"/>
  <c r="T11" i="28"/>
  <c r="R15" i="28"/>
  <c r="S15" i="28"/>
  <c r="T15" i="28"/>
  <c r="R11" i="27"/>
  <c r="R15" i="27" s="1"/>
  <c r="S11" i="27"/>
  <c r="S15" i="27" s="1"/>
  <c r="T11" i="27"/>
  <c r="T15" i="27" s="1"/>
  <c r="R11" i="26"/>
  <c r="S11" i="26"/>
  <c r="T11" i="26"/>
  <c r="R15" i="26"/>
  <c r="S15" i="26"/>
  <c r="T15" i="26"/>
  <c r="R11" i="25"/>
  <c r="R14" i="25" s="1"/>
  <c r="S11" i="25"/>
  <c r="T11" i="25"/>
  <c r="S14" i="25"/>
  <c r="T14" i="25"/>
  <c r="R11" i="24"/>
  <c r="R14" i="24" s="1"/>
  <c r="S11" i="24"/>
  <c r="S14" i="24" s="1"/>
  <c r="T11" i="24"/>
  <c r="T14" i="24" s="1"/>
  <c r="R11" i="23"/>
  <c r="R14" i="23" s="1"/>
  <c r="S11" i="23"/>
  <c r="S14" i="23" s="1"/>
  <c r="T11" i="23"/>
  <c r="T14" i="23"/>
  <c r="R11" i="22"/>
  <c r="S11" i="22"/>
  <c r="T11" i="22"/>
  <c r="T14" i="22" s="1"/>
  <c r="R14" i="22"/>
  <c r="S14" i="22"/>
  <c r="R11" i="21"/>
  <c r="R14" i="21" s="1"/>
  <c r="S11" i="21"/>
  <c r="T11" i="21"/>
  <c r="T14" i="21" s="1"/>
  <c r="S14" i="21"/>
  <c r="R11" i="20"/>
  <c r="R15" i="20" s="1"/>
  <c r="S11" i="20"/>
  <c r="T11" i="20"/>
  <c r="T15" i="20" s="1"/>
  <c r="S15" i="20"/>
  <c r="X139" i="1"/>
  <c r="X140" i="1" s="1"/>
  <c r="W139" i="1"/>
  <c r="W140" i="1" s="1"/>
  <c r="X132" i="1"/>
  <c r="X136" i="1" s="1"/>
  <c r="W132" i="1"/>
  <c r="W136" i="1" s="1"/>
  <c r="W137" i="1" s="1"/>
  <c r="X131" i="1"/>
  <c r="W131" i="1"/>
  <c r="X130" i="1"/>
  <c r="W130" i="1"/>
  <c r="X129" i="1"/>
  <c r="W129" i="1"/>
  <c r="X126" i="1"/>
  <c r="W126" i="1"/>
  <c r="X124" i="1"/>
  <c r="W124" i="1"/>
  <c r="S75" i="21" l="1"/>
  <c r="R76" i="21"/>
  <c r="R77" i="21" s="1"/>
  <c r="Q76" i="21"/>
  <c r="Q77" i="21" s="1"/>
  <c r="S75" i="23"/>
  <c r="T75" i="24"/>
  <c r="T76" i="24" s="1"/>
  <c r="T77" i="24" s="1"/>
  <c r="S76" i="24"/>
  <c r="S77" i="24" s="1"/>
  <c r="R76" i="24"/>
  <c r="R77" i="24" s="1"/>
  <c r="S76" i="25"/>
  <c r="S77" i="25" s="1"/>
  <c r="S75" i="26"/>
  <c r="R76" i="26"/>
  <c r="R77" i="26" s="1"/>
  <c r="Q76" i="26"/>
  <c r="Q77" i="26" s="1"/>
  <c r="T75" i="27"/>
  <c r="T75" i="28"/>
  <c r="T76" i="28" s="1"/>
  <c r="T77" i="28" s="1"/>
  <c r="S76" i="28"/>
  <c r="S77" i="28" s="1"/>
  <c r="R76" i="28"/>
  <c r="R77" i="28" s="1"/>
  <c r="T75" i="33"/>
  <c r="T76" i="33" s="1"/>
  <c r="S75" i="33"/>
  <c r="S76" i="33" s="1"/>
  <c r="R75" i="33"/>
  <c r="R76" i="33" s="1"/>
  <c r="Q75" i="31"/>
  <c r="Q76" i="31" s="1"/>
  <c r="R75" i="31"/>
  <c r="R76" i="31" s="1"/>
  <c r="T74" i="31"/>
  <c r="T75" i="31" s="1"/>
  <c r="T76" i="31" s="1"/>
  <c r="S75" i="31"/>
  <c r="S76" i="31" s="1"/>
  <c r="T74" i="32"/>
  <c r="T75" i="32" s="1"/>
  <c r="T76" i="32" s="1"/>
  <c r="S75" i="32"/>
  <c r="S76" i="32" s="1"/>
  <c r="R75" i="32"/>
  <c r="R76" i="32" s="1"/>
  <c r="X137" i="1"/>
  <c r="X120" i="1"/>
  <c r="X121" i="1" s="1"/>
  <c r="X119" i="1"/>
  <c r="W119" i="1"/>
  <c r="X118" i="1"/>
  <c r="W118" i="1"/>
  <c r="X117" i="1"/>
  <c r="W117" i="1"/>
  <c r="W120" i="1" s="1"/>
  <c r="W121" i="1" s="1"/>
  <c r="X113" i="1"/>
  <c r="W113" i="1"/>
  <c r="X108" i="1"/>
  <c r="W108" i="1"/>
  <c r="X107" i="1"/>
  <c r="W107" i="1"/>
  <c r="X106" i="1"/>
  <c r="W106" i="1"/>
  <c r="X105" i="1"/>
  <c r="W105" i="1"/>
  <c r="X104" i="1"/>
  <c r="W104" i="1"/>
  <c r="X103" i="1"/>
  <c r="W103" i="1"/>
  <c r="X102" i="1"/>
  <c r="W102" i="1"/>
  <c r="X81" i="1"/>
  <c r="W81" i="1"/>
  <c r="X75" i="1"/>
  <c r="W75" i="1"/>
  <c r="W82" i="1" s="1"/>
  <c r="W84" i="1" s="1"/>
  <c r="W91" i="1" s="1"/>
  <c r="X45" i="1"/>
  <c r="X46" i="1" s="1"/>
  <c r="X48" i="1" s="1"/>
  <c r="X56" i="1" s="1"/>
  <c r="W45" i="1"/>
  <c r="W46" i="1" s="1"/>
  <c r="W48" i="1" s="1"/>
  <c r="W56" i="1" s="1"/>
  <c r="X34" i="1"/>
  <c r="W34" i="1"/>
  <c r="X28" i="1"/>
  <c r="W28" i="1"/>
  <c r="X22" i="1"/>
  <c r="W22" i="1"/>
  <c r="X15" i="1"/>
  <c r="W15" i="1"/>
  <c r="T75" i="21" l="1"/>
  <c r="T76" i="21" s="1"/>
  <c r="T77" i="21" s="1"/>
  <c r="S76" i="21"/>
  <c r="S77" i="21" s="1"/>
  <c r="T75" i="23"/>
  <c r="T75" i="26"/>
  <c r="T76" i="26" s="1"/>
  <c r="T77" i="26" s="1"/>
  <c r="S76" i="26"/>
  <c r="S77" i="26" s="1"/>
  <c r="X82" i="1"/>
  <c r="X84" i="1" s="1"/>
  <c r="X91" i="1" s="1"/>
  <c r="Q11" i="34" l="1"/>
  <c r="Q14" i="34"/>
  <c r="T69" i="34"/>
  <c r="T73" i="34"/>
  <c r="Q11" i="33"/>
  <c r="Q15" i="33" s="1"/>
  <c r="Q12" i="33"/>
  <c r="P11" i="32"/>
  <c r="Q11" i="32"/>
  <c r="P12" i="32"/>
  <c r="Q12" i="32"/>
  <c r="P15" i="32"/>
  <c r="Q15" i="32"/>
  <c r="P69" i="32"/>
  <c r="P73" i="32"/>
  <c r="Q11" i="31"/>
  <c r="Q15" i="31" s="1"/>
  <c r="Q12" i="31"/>
  <c r="Q11" i="30"/>
  <c r="Q15" i="30" s="1"/>
  <c r="Q12" i="30"/>
  <c r="Q11" i="29"/>
  <c r="Q15" i="29"/>
  <c r="Q11" i="28"/>
  <c r="Q15" i="28" s="1"/>
  <c r="Q11" i="27"/>
  <c r="Q15" i="27" s="1"/>
  <c r="Q11" i="26"/>
  <c r="Q15" i="26" s="1"/>
  <c r="Q11" i="25"/>
  <c r="Q14" i="25" s="1"/>
  <c r="Q11" i="24"/>
  <c r="Q14" i="24" s="1"/>
  <c r="Q11" i="23"/>
  <c r="Q14" i="23" s="1"/>
  <c r="Q11" i="22"/>
  <c r="Q14" i="22" s="1"/>
  <c r="Q11" i="21"/>
  <c r="Q14" i="21" s="1"/>
  <c r="Q11" i="20"/>
  <c r="Q15" i="20" s="1"/>
  <c r="V146" i="1"/>
  <c r="V142" i="1"/>
  <c r="V139" i="1"/>
  <c r="V136" i="1"/>
  <c r="V137" i="1" s="1"/>
  <c r="V132" i="1"/>
  <c r="V131" i="1"/>
  <c r="V130" i="1"/>
  <c r="V129" i="1"/>
  <c r="V126" i="1"/>
  <c r="V124" i="1"/>
  <c r="V121" i="1"/>
  <c r="V120" i="1"/>
  <c r="V119" i="1"/>
  <c r="V118" i="1"/>
  <c r="V117" i="1"/>
  <c r="V100" i="1"/>
  <c r="V107" i="1"/>
  <c r="V106" i="1"/>
  <c r="V105" i="1"/>
  <c r="V104" i="1"/>
  <c r="V103" i="1"/>
  <c r="V102" i="1"/>
  <c r="V108" i="1" s="1"/>
  <c r="V84" i="1"/>
  <c r="V91" i="1" s="1"/>
  <c r="V82" i="1"/>
  <c r="V81" i="1"/>
  <c r="V75" i="1"/>
  <c r="V46" i="1"/>
  <c r="V48" i="1" s="1"/>
  <c r="V56" i="1" s="1"/>
  <c r="V45" i="1"/>
  <c r="V34" i="1"/>
  <c r="V28" i="1"/>
  <c r="V22" i="1"/>
  <c r="V15" i="1"/>
  <c r="Q75" i="34" l="1"/>
  <c r="Q76" i="34" s="1"/>
  <c r="S75" i="34"/>
  <c r="S76" i="34" s="1"/>
  <c r="R75" i="34"/>
  <c r="R76" i="34" s="1"/>
  <c r="V113" i="1"/>
  <c r="V114" i="1" s="1"/>
  <c r="AU27" i="2" l="1"/>
  <c r="AT27" i="2"/>
  <c r="AS27" i="2"/>
  <c r="AR27" i="2"/>
  <c r="AQ27" i="2"/>
  <c r="AP27" i="2"/>
  <c r="AT21" i="2"/>
  <c r="AS21" i="2"/>
  <c r="AQ21" i="2"/>
  <c r="AP21" i="2"/>
  <c r="AU13" i="2"/>
  <c r="AR13" i="2"/>
  <c r="T68" i="6"/>
  <c r="T64" i="6"/>
  <c r="AU21" i="2" l="1"/>
  <c r="AR21" i="2"/>
  <c r="P12" i="33" l="1"/>
  <c r="O12" i="33"/>
  <c r="N12" i="33"/>
  <c r="M12" i="33"/>
  <c r="L12" i="33"/>
  <c r="K12" i="33"/>
  <c r="J12" i="33"/>
  <c r="I12" i="33"/>
  <c r="H12" i="33"/>
  <c r="G12" i="33"/>
  <c r="G15" i="33" s="1"/>
  <c r="F12" i="33"/>
  <c r="E12" i="33"/>
  <c r="D12" i="33"/>
  <c r="C12" i="33"/>
  <c r="B12" i="33"/>
  <c r="P11" i="33"/>
  <c r="P15" i="33" s="1"/>
  <c r="O11" i="33"/>
  <c r="N11" i="33"/>
  <c r="N15" i="33" s="1"/>
  <c r="M11" i="33"/>
  <c r="L11" i="33"/>
  <c r="L15" i="33" s="1"/>
  <c r="K11" i="33"/>
  <c r="J11" i="33"/>
  <c r="I11" i="33"/>
  <c r="H11" i="33"/>
  <c r="H15" i="33" s="1"/>
  <c r="G11" i="33"/>
  <c r="F11" i="33"/>
  <c r="F15" i="33" s="1"/>
  <c r="E11" i="33"/>
  <c r="D11" i="33"/>
  <c r="D15" i="33" s="1"/>
  <c r="C11" i="33"/>
  <c r="B11" i="33"/>
  <c r="B15" i="33" s="1"/>
  <c r="O12" i="32"/>
  <c r="N12" i="32"/>
  <c r="M12" i="32"/>
  <c r="L12" i="32"/>
  <c r="K12" i="32"/>
  <c r="J12" i="32"/>
  <c r="I12" i="32"/>
  <c r="H12" i="32"/>
  <c r="G12" i="32"/>
  <c r="F12" i="32"/>
  <c r="E12" i="32"/>
  <c r="D12" i="32"/>
  <c r="C12" i="32"/>
  <c r="B12" i="32"/>
  <c r="P12" i="31"/>
  <c r="P15" i="31" s="1"/>
  <c r="O12" i="31"/>
  <c r="N12" i="31"/>
  <c r="M12" i="31"/>
  <c r="M15" i="31" s="1"/>
  <c r="L12" i="31"/>
  <c r="K12" i="31"/>
  <c r="J12" i="31"/>
  <c r="I12" i="31"/>
  <c r="H12" i="31"/>
  <c r="G12" i="31"/>
  <c r="F12" i="31"/>
  <c r="E12" i="31"/>
  <c r="E15" i="31" s="1"/>
  <c r="D12" i="31"/>
  <c r="C12" i="31"/>
  <c r="B12" i="31"/>
  <c r="P11" i="31"/>
  <c r="O11" i="31"/>
  <c r="N11" i="31"/>
  <c r="N15" i="31" s="1"/>
  <c r="M11" i="31"/>
  <c r="L11" i="31"/>
  <c r="L15" i="31" s="1"/>
  <c r="K11" i="31"/>
  <c r="J11" i="31"/>
  <c r="J15" i="31" s="1"/>
  <c r="I11" i="31"/>
  <c r="H11" i="31"/>
  <c r="G11" i="31"/>
  <c r="F11" i="31"/>
  <c r="F15" i="31" s="1"/>
  <c r="E11" i="31"/>
  <c r="D11" i="31"/>
  <c r="D15" i="31" s="1"/>
  <c r="C11" i="31"/>
  <c r="B11" i="31"/>
  <c r="B15" i="31" s="1"/>
  <c r="M12" i="30"/>
  <c r="L12" i="30"/>
  <c r="K12" i="30"/>
  <c r="J12" i="30"/>
  <c r="I12" i="30"/>
  <c r="P11" i="30"/>
  <c r="P15" i="30" s="1"/>
  <c r="O11" i="30"/>
  <c r="O15" i="30" s="1"/>
  <c r="N11" i="30"/>
  <c r="M11" i="30"/>
  <c r="P11" i="29"/>
  <c r="O11" i="29"/>
  <c r="N11" i="29"/>
  <c r="M11" i="29"/>
  <c r="L11" i="29"/>
  <c r="K11" i="29"/>
  <c r="J11" i="29"/>
  <c r="I11" i="29"/>
  <c r="H11" i="29"/>
  <c r="G11" i="29"/>
  <c r="F11" i="29"/>
  <c r="E11" i="29"/>
  <c r="D11" i="29"/>
  <c r="C11" i="29"/>
  <c r="B11" i="29"/>
  <c r="M12" i="28"/>
  <c r="L12" i="28"/>
  <c r="K12" i="28"/>
  <c r="J12" i="28"/>
  <c r="J15" i="28" s="1"/>
  <c r="I12" i="28"/>
  <c r="H12" i="28"/>
  <c r="H15" i="28" s="1"/>
  <c r="G12" i="28"/>
  <c r="F12" i="28"/>
  <c r="E12" i="28"/>
  <c r="D12" i="28"/>
  <c r="C12" i="28"/>
  <c r="B12" i="28"/>
  <c r="P11" i="28"/>
  <c r="O11" i="28"/>
  <c r="O15" i="28" s="1"/>
  <c r="N11" i="28"/>
  <c r="M11" i="28"/>
  <c r="L11" i="28"/>
  <c r="L15" i="28" s="1"/>
  <c r="K11" i="28"/>
  <c r="J11" i="28"/>
  <c r="I11" i="28"/>
  <c r="I15" i="28" s="1"/>
  <c r="H11" i="28"/>
  <c r="G11" i="28"/>
  <c r="F11" i="28"/>
  <c r="E11" i="28"/>
  <c r="D11" i="28"/>
  <c r="D15" i="28" s="1"/>
  <c r="C11" i="28"/>
  <c r="B11" i="28"/>
  <c r="P11" i="27"/>
  <c r="O11" i="27"/>
  <c r="N11" i="27"/>
  <c r="M11" i="27"/>
  <c r="L11" i="27"/>
  <c r="K11" i="27"/>
  <c r="J11" i="27"/>
  <c r="I11" i="27"/>
  <c r="H11" i="27"/>
  <c r="G11" i="27"/>
  <c r="F11" i="27"/>
  <c r="E11" i="27"/>
  <c r="D11" i="27"/>
  <c r="C11" i="27"/>
  <c r="B11" i="27"/>
  <c r="P11" i="26"/>
  <c r="O11" i="26"/>
  <c r="N11" i="26"/>
  <c r="M11" i="26"/>
  <c r="L11" i="26"/>
  <c r="K11" i="26"/>
  <c r="J11" i="26"/>
  <c r="I11" i="26"/>
  <c r="H11" i="26"/>
  <c r="G11" i="26"/>
  <c r="F11" i="26"/>
  <c r="E11" i="26"/>
  <c r="D11" i="26"/>
  <c r="C11" i="26"/>
  <c r="B11" i="26"/>
  <c r="P11" i="25"/>
  <c r="P14" i="25" s="1"/>
  <c r="O11" i="25"/>
  <c r="N11" i="25"/>
  <c r="M11" i="25"/>
  <c r="M14" i="25" s="1"/>
  <c r="L11" i="25"/>
  <c r="L14" i="25" s="1"/>
  <c r="K11" i="25"/>
  <c r="J11" i="25"/>
  <c r="I11" i="25"/>
  <c r="I14" i="25" s="1"/>
  <c r="H11" i="25"/>
  <c r="H14" i="25" s="1"/>
  <c r="G11" i="25"/>
  <c r="F11" i="25"/>
  <c r="E11" i="25"/>
  <c r="E14" i="25" s="1"/>
  <c r="D11" i="25"/>
  <c r="D14" i="25" s="1"/>
  <c r="C11" i="25"/>
  <c r="B11" i="25"/>
  <c r="B14" i="25" s="1"/>
  <c r="P11" i="24"/>
  <c r="O11" i="24"/>
  <c r="N11" i="24"/>
  <c r="N14" i="24" s="1"/>
  <c r="M11" i="24"/>
  <c r="M14" i="24" s="1"/>
  <c r="L11" i="24"/>
  <c r="K11" i="24"/>
  <c r="K14" i="24" s="1"/>
  <c r="J11" i="24"/>
  <c r="J14" i="24" s="1"/>
  <c r="I11" i="24"/>
  <c r="I14" i="24" s="1"/>
  <c r="H11" i="24"/>
  <c r="G11" i="24"/>
  <c r="F11" i="24"/>
  <c r="F14" i="24" s="1"/>
  <c r="E11" i="24"/>
  <c r="E14" i="24" s="1"/>
  <c r="D11" i="24"/>
  <c r="C11" i="24"/>
  <c r="C14" i="24" s="1"/>
  <c r="B11" i="24"/>
  <c r="B14" i="24" s="1"/>
  <c r="P11" i="23"/>
  <c r="O11" i="23"/>
  <c r="N11" i="23"/>
  <c r="M11" i="23"/>
  <c r="M14" i="23" s="1"/>
  <c r="L11" i="23"/>
  <c r="K11" i="23"/>
  <c r="K14" i="23" s="1"/>
  <c r="J11" i="23"/>
  <c r="J14" i="23" s="1"/>
  <c r="I11" i="23"/>
  <c r="I14" i="23" s="1"/>
  <c r="H11" i="23"/>
  <c r="G11" i="23"/>
  <c r="F11" i="23"/>
  <c r="E11" i="23"/>
  <c r="E14" i="23" s="1"/>
  <c r="D11" i="23"/>
  <c r="C11" i="23"/>
  <c r="C14" i="23" s="1"/>
  <c r="B11" i="23"/>
  <c r="B14" i="23" s="1"/>
  <c r="P11" i="22"/>
  <c r="P14" i="22" s="1"/>
  <c r="O11" i="22"/>
  <c r="N11" i="22"/>
  <c r="N14" i="22" s="1"/>
  <c r="M11" i="22"/>
  <c r="M14" i="22" s="1"/>
  <c r="L11" i="22"/>
  <c r="K11" i="22"/>
  <c r="K14" i="22" s="1"/>
  <c r="J11" i="22"/>
  <c r="J14" i="22" s="1"/>
  <c r="I11" i="22"/>
  <c r="I14" i="22" s="1"/>
  <c r="H11" i="22"/>
  <c r="G11" i="22"/>
  <c r="G14" i="22" s="1"/>
  <c r="F11" i="22"/>
  <c r="F14" i="22" s="1"/>
  <c r="E11" i="22"/>
  <c r="E14" i="22" s="1"/>
  <c r="D11" i="22"/>
  <c r="C11" i="22"/>
  <c r="C14" i="22" s="1"/>
  <c r="B11" i="22"/>
  <c r="B14" i="22" s="1"/>
  <c r="P11" i="21"/>
  <c r="P14" i="21" s="1"/>
  <c r="O11" i="21"/>
  <c r="O14" i="21" s="1"/>
  <c r="N11" i="21"/>
  <c r="M11" i="21"/>
  <c r="M14" i="21" s="1"/>
  <c r="L11" i="21"/>
  <c r="K11" i="21"/>
  <c r="K14" i="21" s="1"/>
  <c r="J11" i="21"/>
  <c r="J14" i="21" s="1"/>
  <c r="I11" i="21"/>
  <c r="I14" i="21" s="1"/>
  <c r="H11" i="21"/>
  <c r="H14" i="21" s="1"/>
  <c r="G11" i="21"/>
  <c r="G14" i="21" s="1"/>
  <c r="F11" i="21"/>
  <c r="E11" i="21"/>
  <c r="E14" i="21" s="1"/>
  <c r="D11" i="21"/>
  <c r="C11" i="21"/>
  <c r="C14" i="21" s="1"/>
  <c r="B11" i="21"/>
  <c r="P11" i="20"/>
  <c r="P15" i="20" s="1"/>
  <c r="O11" i="20"/>
  <c r="O15" i="20" s="1"/>
  <c r="N11" i="20"/>
  <c r="M11" i="20"/>
  <c r="L11" i="20"/>
  <c r="L15" i="20" s="1"/>
  <c r="K11" i="20"/>
  <c r="K15" i="20" s="1"/>
  <c r="I11" i="20"/>
  <c r="I15" i="20" s="1"/>
  <c r="H11" i="20"/>
  <c r="H15" i="20" s="1"/>
  <c r="G11" i="20"/>
  <c r="G15" i="20" s="1"/>
  <c r="F11" i="20"/>
  <c r="F15" i="20" s="1"/>
  <c r="E11" i="20"/>
  <c r="D11" i="20"/>
  <c r="C11" i="20"/>
  <c r="B11" i="20"/>
  <c r="J11" i="20"/>
  <c r="C74" i="34"/>
  <c r="P73" i="34"/>
  <c r="O73" i="34"/>
  <c r="N73" i="34"/>
  <c r="M73" i="34"/>
  <c r="L73" i="34"/>
  <c r="K73" i="34"/>
  <c r="J73" i="34"/>
  <c r="I73" i="34"/>
  <c r="H73" i="34"/>
  <c r="G73" i="34"/>
  <c r="F73" i="34"/>
  <c r="E73" i="34"/>
  <c r="D73" i="34"/>
  <c r="C73" i="34"/>
  <c r="B73" i="34"/>
  <c r="P69" i="34"/>
  <c r="O69" i="34"/>
  <c r="N69" i="34"/>
  <c r="M69" i="34"/>
  <c r="L69" i="34"/>
  <c r="K69" i="34"/>
  <c r="J69" i="34"/>
  <c r="A14" i="34"/>
  <c r="I9" i="34"/>
  <c r="H9" i="34" s="1"/>
  <c r="C74" i="33"/>
  <c r="D74" i="33" s="1"/>
  <c r="E74" i="33" s="1"/>
  <c r="F74" i="33" s="1"/>
  <c r="G74" i="33" s="1"/>
  <c r="P73" i="33"/>
  <c r="O73" i="33"/>
  <c r="N73" i="33"/>
  <c r="M73" i="33"/>
  <c r="L73" i="33"/>
  <c r="K73" i="33"/>
  <c r="J73" i="33"/>
  <c r="I73" i="33"/>
  <c r="H73" i="33"/>
  <c r="G73" i="33"/>
  <c r="F73" i="33"/>
  <c r="E73" i="33"/>
  <c r="D73" i="33"/>
  <c r="C73" i="33"/>
  <c r="B73" i="33"/>
  <c r="P69" i="33"/>
  <c r="O69" i="33"/>
  <c r="N69" i="33"/>
  <c r="M69" i="33"/>
  <c r="L69" i="33"/>
  <c r="K69" i="33"/>
  <c r="J69" i="33"/>
  <c r="I15" i="33"/>
  <c r="A15" i="33"/>
  <c r="I9" i="33"/>
  <c r="I69" i="33" s="1"/>
  <c r="C74" i="32"/>
  <c r="D74" i="32" s="1"/>
  <c r="O73" i="32"/>
  <c r="N73" i="32"/>
  <c r="M73" i="32"/>
  <c r="L73" i="32"/>
  <c r="K73" i="32"/>
  <c r="J73" i="32"/>
  <c r="I73" i="32"/>
  <c r="H73" i="32"/>
  <c r="G73" i="32"/>
  <c r="F73" i="32"/>
  <c r="E73" i="32"/>
  <c r="D73" i="32"/>
  <c r="C73" i="32"/>
  <c r="B73" i="32"/>
  <c r="O69" i="32"/>
  <c r="N69" i="32"/>
  <c r="M69" i="32"/>
  <c r="L69" i="32"/>
  <c r="K69" i="32"/>
  <c r="J69" i="32"/>
  <c r="A15" i="32"/>
  <c r="I9" i="32"/>
  <c r="H9" i="32" s="1"/>
  <c r="C74" i="31"/>
  <c r="P73" i="31"/>
  <c r="O73" i="31"/>
  <c r="N73" i="31"/>
  <c r="M73" i="31"/>
  <c r="L73" i="31"/>
  <c r="K73" i="31"/>
  <c r="J73" i="31"/>
  <c r="I73" i="31"/>
  <c r="H73" i="31"/>
  <c r="G73" i="31"/>
  <c r="F73" i="31"/>
  <c r="E73" i="31"/>
  <c r="D73" i="31"/>
  <c r="C73" i="31"/>
  <c r="B73" i="31"/>
  <c r="P69" i="31"/>
  <c r="O69" i="31"/>
  <c r="N69" i="31"/>
  <c r="M69" i="31"/>
  <c r="L69" i="31"/>
  <c r="K69" i="31"/>
  <c r="J69" i="31"/>
  <c r="I15" i="31"/>
  <c r="H15" i="31"/>
  <c r="A15" i="31"/>
  <c r="I9" i="31"/>
  <c r="I69" i="31" s="1"/>
  <c r="C75" i="30"/>
  <c r="D75" i="30" s="1"/>
  <c r="P74" i="30"/>
  <c r="O74" i="30"/>
  <c r="N74" i="30"/>
  <c r="M74" i="30"/>
  <c r="L74" i="30"/>
  <c r="K74" i="30"/>
  <c r="J74" i="30"/>
  <c r="I74" i="30"/>
  <c r="H74" i="30"/>
  <c r="G74" i="30"/>
  <c r="F74" i="30"/>
  <c r="E74" i="30"/>
  <c r="D74" i="30"/>
  <c r="C74" i="30"/>
  <c r="B74" i="30"/>
  <c r="P70" i="30"/>
  <c r="O70" i="30"/>
  <c r="N70" i="30"/>
  <c r="M70" i="30"/>
  <c r="L70" i="30"/>
  <c r="K70" i="30"/>
  <c r="J70" i="30"/>
  <c r="A15" i="30"/>
  <c r="M15" i="30"/>
  <c r="I9" i="30"/>
  <c r="I70" i="30" s="1"/>
  <c r="H9" i="30"/>
  <c r="G9" i="30" s="1"/>
  <c r="G70" i="30" s="1"/>
  <c r="C75" i="29"/>
  <c r="D75" i="29" s="1"/>
  <c r="P74" i="29"/>
  <c r="O74" i="29"/>
  <c r="N74" i="29"/>
  <c r="M74" i="29"/>
  <c r="L74" i="29"/>
  <c r="K74" i="29"/>
  <c r="J74" i="29"/>
  <c r="I74" i="29"/>
  <c r="H74" i="29"/>
  <c r="G74" i="29"/>
  <c r="F74" i="29"/>
  <c r="E74" i="29"/>
  <c r="D74" i="29"/>
  <c r="C74" i="29"/>
  <c r="B74" i="29"/>
  <c r="P70" i="29"/>
  <c r="O70" i="29"/>
  <c r="N70" i="29"/>
  <c r="M70" i="29"/>
  <c r="L70" i="29"/>
  <c r="K70" i="29"/>
  <c r="J70" i="29"/>
  <c r="A15" i="29"/>
  <c r="I9" i="29"/>
  <c r="I70" i="29" s="1"/>
  <c r="H9" i="29"/>
  <c r="H70" i="29" s="1"/>
  <c r="C75" i="28"/>
  <c r="D75" i="28" s="1"/>
  <c r="P74" i="28"/>
  <c r="O74" i="28"/>
  <c r="N74" i="28"/>
  <c r="M74" i="28"/>
  <c r="L74" i="28"/>
  <c r="K74" i="28"/>
  <c r="J74" i="28"/>
  <c r="I74" i="28"/>
  <c r="H74" i="28"/>
  <c r="G74" i="28"/>
  <c r="F74" i="28"/>
  <c r="E74" i="28"/>
  <c r="D74" i="28"/>
  <c r="C74" i="28"/>
  <c r="B74" i="28"/>
  <c r="P70" i="28"/>
  <c r="O70" i="28"/>
  <c r="N70" i="28"/>
  <c r="M70" i="28"/>
  <c r="L70" i="28"/>
  <c r="K70" i="28"/>
  <c r="J70" i="28"/>
  <c r="P15" i="28"/>
  <c r="A15" i="28"/>
  <c r="A11" i="28"/>
  <c r="I9" i="28"/>
  <c r="I70" i="28" s="1"/>
  <c r="C75" i="27"/>
  <c r="D75" i="27" s="1"/>
  <c r="P74" i="27"/>
  <c r="O74" i="27"/>
  <c r="N74" i="27"/>
  <c r="M74" i="27"/>
  <c r="L74" i="27"/>
  <c r="K74" i="27"/>
  <c r="J74" i="27"/>
  <c r="I74" i="27"/>
  <c r="H74" i="27"/>
  <c r="G74" i="27"/>
  <c r="F74" i="27"/>
  <c r="E74" i="27"/>
  <c r="D74" i="27"/>
  <c r="C74" i="27"/>
  <c r="B74" i="27"/>
  <c r="P70" i="27"/>
  <c r="O70" i="27"/>
  <c r="N70" i="27"/>
  <c r="M70" i="27"/>
  <c r="L70" i="27"/>
  <c r="K70" i="27"/>
  <c r="J70" i="27"/>
  <c r="A15" i="27"/>
  <c r="A11" i="27"/>
  <c r="I9" i="27"/>
  <c r="C75" i="26"/>
  <c r="D75" i="26" s="1"/>
  <c r="P74" i="26"/>
  <c r="O74" i="26"/>
  <c r="N74" i="26"/>
  <c r="M74" i="26"/>
  <c r="L74" i="26"/>
  <c r="K74" i="26"/>
  <c r="J74" i="26"/>
  <c r="I74" i="26"/>
  <c r="H74" i="26"/>
  <c r="G74" i="26"/>
  <c r="F74" i="26"/>
  <c r="E74" i="26"/>
  <c r="D74" i="26"/>
  <c r="C74" i="26"/>
  <c r="B74" i="26"/>
  <c r="P70" i="26"/>
  <c r="O70" i="26"/>
  <c r="N70" i="26"/>
  <c r="M70" i="26"/>
  <c r="L70" i="26"/>
  <c r="K70" i="26"/>
  <c r="J70" i="26"/>
  <c r="A15" i="26"/>
  <c r="A11" i="26"/>
  <c r="I9" i="26"/>
  <c r="H9" i="26" s="1"/>
  <c r="C75" i="25"/>
  <c r="D75" i="25" s="1"/>
  <c r="E75" i="25" s="1"/>
  <c r="P74" i="25"/>
  <c r="O74" i="25"/>
  <c r="N74" i="25"/>
  <c r="M74" i="25"/>
  <c r="L74" i="25"/>
  <c r="K74" i="25"/>
  <c r="J74" i="25"/>
  <c r="I74" i="25"/>
  <c r="H74" i="25"/>
  <c r="G74" i="25"/>
  <c r="F74" i="25"/>
  <c r="E74" i="25"/>
  <c r="D74" i="25"/>
  <c r="C74" i="25"/>
  <c r="B74" i="25"/>
  <c r="P70" i="25"/>
  <c r="O70" i="25"/>
  <c r="N70" i="25"/>
  <c r="M70" i="25"/>
  <c r="L70" i="25"/>
  <c r="K70" i="25"/>
  <c r="J70" i="25"/>
  <c r="F14" i="25"/>
  <c r="A14" i="25"/>
  <c r="O14" i="25"/>
  <c r="N14" i="25"/>
  <c r="K14" i="25"/>
  <c r="J14" i="25"/>
  <c r="G14" i="25"/>
  <c r="C14" i="25"/>
  <c r="A11" i="25"/>
  <c r="I9" i="25"/>
  <c r="I70" i="25" s="1"/>
  <c r="H9" i="25"/>
  <c r="H70" i="25" s="1"/>
  <c r="C75" i="24"/>
  <c r="D75" i="24" s="1"/>
  <c r="E75" i="24" s="1"/>
  <c r="P74" i="24"/>
  <c r="O74" i="24"/>
  <c r="N74" i="24"/>
  <c r="M74" i="24"/>
  <c r="L74" i="24"/>
  <c r="K74" i="24"/>
  <c r="J74" i="24"/>
  <c r="I74" i="24"/>
  <c r="H74" i="24"/>
  <c r="G74" i="24"/>
  <c r="F74" i="24"/>
  <c r="E74" i="24"/>
  <c r="D74" i="24"/>
  <c r="C74" i="24"/>
  <c r="B74" i="24"/>
  <c r="P70" i="24"/>
  <c r="O70" i="24"/>
  <c r="N70" i="24"/>
  <c r="M70" i="24"/>
  <c r="L70" i="24"/>
  <c r="K70" i="24"/>
  <c r="J70" i="24"/>
  <c r="P14" i="24"/>
  <c r="O14" i="24"/>
  <c r="L14" i="24"/>
  <c r="H14" i="24"/>
  <c r="G14" i="24"/>
  <c r="A14" i="24"/>
  <c r="D14" i="24"/>
  <c r="I9" i="24"/>
  <c r="C75" i="23"/>
  <c r="D75" i="23" s="1"/>
  <c r="P74" i="23"/>
  <c r="O74" i="23"/>
  <c r="N74" i="23"/>
  <c r="M74" i="23"/>
  <c r="L74" i="23"/>
  <c r="K74" i="23"/>
  <c r="J74" i="23"/>
  <c r="I74" i="23"/>
  <c r="H74" i="23"/>
  <c r="G74" i="23"/>
  <c r="F74" i="23"/>
  <c r="E74" i="23"/>
  <c r="D74" i="23"/>
  <c r="C74" i="23"/>
  <c r="B74" i="23"/>
  <c r="P70" i="23"/>
  <c r="O70" i="23"/>
  <c r="N70" i="23"/>
  <c r="M70" i="23"/>
  <c r="L70" i="23"/>
  <c r="K70" i="23"/>
  <c r="J70" i="23"/>
  <c r="P14" i="23"/>
  <c r="L14" i="23"/>
  <c r="H14" i="23"/>
  <c r="F14" i="23"/>
  <c r="D14" i="23"/>
  <c r="A14" i="23"/>
  <c r="O14" i="23"/>
  <c r="N14" i="23"/>
  <c r="G14" i="23"/>
  <c r="I9" i="23"/>
  <c r="H9" i="23" s="1"/>
  <c r="G9" i="23" s="1"/>
  <c r="C75" i="22"/>
  <c r="D75" i="22" s="1"/>
  <c r="N74" i="22"/>
  <c r="M74" i="22"/>
  <c r="L74" i="22"/>
  <c r="K74" i="22"/>
  <c r="J74" i="22"/>
  <c r="I74" i="22"/>
  <c r="H74" i="22"/>
  <c r="G74" i="22"/>
  <c r="F74" i="22"/>
  <c r="E74" i="22"/>
  <c r="D74" i="22"/>
  <c r="C74" i="22"/>
  <c r="B74" i="22"/>
  <c r="L70" i="22"/>
  <c r="K70" i="22"/>
  <c r="J70" i="22"/>
  <c r="I70" i="22"/>
  <c r="O14" i="22"/>
  <c r="L14" i="22"/>
  <c r="D14" i="22"/>
  <c r="A14" i="22"/>
  <c r="H14" i="22"/>
  <c r="A11" i="22"/>
  <c r="I9" i="22"/>
  <c r="H9" i="22"/>
  <c r="C75" i="21"/>
  <c r="D75" i="21" s="1"/>
  <c r="P74" i="21"/>
  <c r="O74" i="21"/>
  <c r="N74" i="21"/>
  <c r="M74" i="21"/>
  <c r="L74" i="21"/>
  <c r="K74" i="21"/>
  <c r="J74" i="21"/>
  <c r="I74" i="21"/>
  <c r="H74" i="21"/>
  <c r="G74" i="21"/>
  <c r="F74" i="21"/>
  <c r="E74" i="21"/>
  <c r="D74" i="21"/>
  <c r="C74" i="21"/>
  <c r="B74" i="21"/>
  <c r="P70" i="21"/>
  <c r="O70" i="21"/>
  <c r="N70" i="21"/>
  <c r="M70" i="21"/>
  <c r="L70" i="21"/>
  <c r="K70" i="21"/>
  <c r="J70" i="21"/>
  <c r="N14" i="21"/>
  <c r="F14" i="21"/>
  <c r="B14" i="21"/>
  <c r="A14" i="21"/>
  <c r="L14" i="21"/>
  <c r="D14" i="21"/>
  <c r="A11" i="21"/>
  <c r="I9" i="21"/>
  <c r="H9" i="21" s="1"/>
  <c r="C75" i="20"/>
  <c r="D75" i="20" s="1"/>
  <c r="P74" i="20"/>
  <c r="O74" i="20"/>
  <c r="N74" i="20"/>
  <c r="M74" i="20"/>
  <c r="L74" i="20"/>
  <c r="K74" i="20"/>
  <c r="J74" i="20"/>
  <c r="I74" i="20"/>
  <c r="H74" i="20"/>
  <c r="G74" i="20"/>
  <c r="F74" i="20"/>
  <c r="E74" i="20"/>
  <c r="D74" i="20"/>
  <c r="C74" i="20"/>
  <c r="B74" i="20"/>
  <c r="P70" i="20"/>
  <c r="O70" i="20"/>
  <c r="N70" i="20"/>
  <c r="M70" i="20"/>
  <c r="L70" i="20"/>
  <c r="K70" i="20"/>
  <c r="J70" i="20"/>
  <c r="A15" i="20"/>
  <c r="I9" i="20"/>
  <c r="H9" i="20" s="1"/>
  <c r="G9" i="20" s="1"/>
  <c r="G70" i="20" s="1"/>
  <c r="Q76" i="29" l="1"/>
  <c r="Q77" i="29" s="1"/>
  <c r="R76" i="29"/>
  <c r="R77" i="29" s="1"/>
  <c r="S76" i="29"/>
  <c r="S77" i="29" s="1"/>
  <c r="T76" i="29"/>
  <c r="T77" i="29" s="1"/>
  <c r="R76" i="27"/>
  <c r="R77" i="27" s="1"/>
  <c r="Q76" i="27"/>
  <c r="Q77" i="27" s="1"/>
  <c r="S76" i="27"/>
  <c r="S77" i="27" s="1"/>
  <c r="T76" i="27"/>
  <c r="T77" i="27" s="1"/>
  <c r="Q76" i="23"/>
  <c r="Q77" i="23" s="1"/>
  <c r="R76" i="23"/>
  <c r="R77" i="23" s="1"/>
  <c r="S76" i="23"/>
  <c r="S77" i="23" s="1"/>
  <c r="T76" i="23"/>
  <c r="T77" i="23" s="1"/>
  <c r="O76" i="22"/>
  <c r="O77" i="22" s="1"/>
  <c r="S76" i="22"/>
  <c r="S77" i="22" s="1"/>
  <c r="R76" i="22"/>
  <c r="R77" i="22" s="1"/>
  <c r="T76" i="22"/>
  <c r="T77" i="22" s="1"/>
  <c r="Q76" i="22"/>
  <c r="Q77" i="22" s="1"/>
  <c r="P76" i="22"/>
  <c r="P77" i="22" s="1"/>
  <c r="C76" i="22"/>
  <c r="F15" i="28"/>
  <c r="G15" i="28"/>
  <c r="C15" i="28"/>
  <c r="K15" i="28"/>
  <c r="B15" i="28"/>
  <c r="E15" i="28"/>
  <c r="M15" i="28"/>
  <c r="C15" i="31"/>
  <c r="K15" i="31"/>
  <c r="G15" i="31"/>
  <c r="O15" i="31"/>
  <c r="J15" i="33"/>
  <c r="C15" i="33"/>
  <c r="K15" i="33"/>
  <c r="E15" i="33"/>
  <c r="M15" i="33"/>
  <c r="O15" i="33"/>
  <c r="H70" i="23"/>
  <c r="G70" i="23"/>
  <c r="F9" i="23"/>
  <c r="B76" i="22"/>
  <c r="I70" i="23"/>
  <c r="G9" i="25"/>
  <c r="B75" i="31"/>
  <c r="I69" i="32"/>
  <c r="C76" i="29"/>
  <c r="I70" i="20"/>
  <c r="B76" i="20" s="1"/>
  <c r="H70" i="20"/>
  <c r="F9" i="20"/>
  <c r="H70" i="26"/>
  <c r="G9" i="26"/>
  <c r="I70" i="26"/>
  <c r="H9" i="28"/>
  <c r="G9" i="29"/>
  <c r="G70" i="29" s="1"/>
  <c r="B76" i="29"/>
  <c r="F9" i="30"/>
  <c r="H9" i="31"/>
  <c r="H74" i="33"/>
  <c r="I74" i="33" s="1"/>
  <c r="H9" i="33"/>
  <c r="B75" i="34"/>
  <c r="I69" i="34"/>
  <c r="C76" i="27"/>
  <c r="D76" i="27"/>
  <c r="D76" i="28"/>
  <c r="H70" i="21"/>
  <c r="G9" i="21"/>
  <c r="F75" i="24"/>
  <c r="F75" i="25"/>
  <c r="E75" i="26"/>
  <c r="D76" i="20"/>
  <c r="I70" i="24"/>
  <c r="H9" i="24"/>
  <c r="D74" i="34"/>
  <c r="C75" i="34"/>
  <c r="I70" i="21"/>
  <c r="E75" i="22"/>
  <c r="D76" i="22"/>
  <c r="H69" i="32"/>
  <c r="G9" i="32"/>
  <c r="E75" i="20"/>
  <c r="E75" i="21"/>
  <c r="C76" i="28"/>
  <c r="H70" i="22"/>
  <c r="G9" i="22"/>
  <c r="E75" i="30"/>
  <c r="C76" i="20"/>
  <c r="D76" i="29"/>
  <c r="E75" i="29"/>
  <c r="E75" i="23"/>
  <c r="E75" i="27"/>
  <c r="E75" i="28"/>
  <c r="C75" i="31"/>
  <c r="I70" i="27"/>
  <c r="H9" i="27"/>
  <c r="B76" i="27"/>
  <c r="H70" i="30"/>
  <c r="D74" i="31"/>
  <c r="E74" i="32"/>
  <c r="H69" i="34"/>
  <c r="G9" i="34"/>
  <c r="F9" i="29" l="1"/>
  <c r="F9" i="25"/>
  <c r="G70" i="25"/>
  <c r="F70" i="23"/>
  <c r="E9" i="23"/>
  <c r="F70" i="20"/>
  <c r="E9" i="20"/>
  <c r="F9" i="26"/>
  <c r="G70" i="26"/>
  <c r="H70" i="28"/>
  <c r="B76" i="28" s="1"/>
  <c r="G9" i="28"/>
  <c r="F70" i="30"/>
  <c r="E9" i="30"/>
  <c r="G9" i="31"/>
  <c r="H69" i="31"/>
  <c r="G9" i="33"/>
  <c r="H69" i="33"/>
  <c r="H75" i="33" s="1"/>
  <c r="G69" i="34"/>
  <c r="F9" i="34"/>
  <c r="F74" i="32"/>
  <c r="F75" i="27"/>
  <c r="E76" i="27"/>
  <c r="F75" i="23"/>
  <c r="G69" i="32"/>
  <c r="F9" i="32"/>
  <c r="E76" i="22"/>
  <c r="F75" i="22"/>
  <c r="D75" i="34"/>
  <c r="E74" i="34"/>
  <c r="J74" i="33"/>
  <c r="I75" i="33"/>
  <c r="F75" i="26"/>
  <c r="G75" i="24"/>
  <c r="G70" i="21"/>
  <c r="F9" i="21"/>
  <c r="D75" i="31"/>
  <c r="E74" i="31"/>
  <c r="H70" i="27"/>
  <c r="G9" i="27"/>
  <c r="F75" i="30"/>
  <c r="E9" i="29"/>
  <c r="F70" i="29"/>
  <c r="E76" i="20"/>
  <c r="F75" i="20"/>
  <c r="G9" i="24"/>
  <c r="H70" i="24"/>
  <c r="G75" i="25"/>
  <c r="F75" i="28"/>
  <c r="E76" i="28"/>
  <c r="F75" i="29"/>
  <c r="E76" i="29"/>
  <c r="G70" i="22"/>
  <c r="F9" i="22"/>
  <c r="F75" i="21"/>
  <c r="D9" i="23" l="1"/>
  <c r="E70" i="23"/>
  <c r="E76" i="23" s="1"/>
  <c r="E9" i="25"/>
  <c r="F70" i="25"/>
  <c r="F76" i="25" s="1"/>
  <c r="D9" i="20"/>
  <c r="E70" i="20"/>
  <c r="F70" i="26"/>
  <c r="F76" i="26" s="1"/>
  <c r="E9" i="26"/>
  <c r="F9" i="28"/>
  <c r="G70" i="28"/>
  <c r="D9" i="30"/>
  <c r="E70" i="30"/>
  <c r="E76" i="30" s="1"/>
  <c r="G69" i="31"/>
  <c r="F9" i="31"/>
  <c r="G69" i="33"/>
  <c r="G75" i="33" s="1"/>
  <c r="F9" i="33"/>
  <c r="F76" i="28"/>
  <c r="G75" i="28"/>
  <c r="H75" i="25"/>
  <c r="G76" i="25"/>
  <c r="F76" i="22"/>
  <c r="G75" i="22"/>
  <c r="G75" i="23"/>
  <c r="F76" i="23"/>
  <c r="G74" i="32"/>
  <c r="G75" i="21"/>
  <c r="F76" i="29"/>
  <c r="G75" i="29"/>
  <c r="G75" i="20"/>
  <c r="F76" i="20"/>
  <c r="F74" i="34"/>
  <c r="E75" i="34"/>
  <c r="E9" i="32"/>
  <c r="F69" i="32"/>
  <c r="F75" i="32" s="1"/>
  <c r="F70" i="22"/>
  <c r="E9" i="22"/>
  <c r="F9" i="24"/>
  <c r="G70" i="24"/>
  <c r="G76" i="24" s="1"/>
  <c r="F76" i="30"/>
  <c r="G75" i="30"/>
  <c r="E75" i="31"/>
  <c r="F74" i="31"/>
  <c r="H75" i="24"/>
  <c r="G75" i="26"/>
  <c r="F76" i="27"/>
  <c r="G75" i="27"/>
  <c r="D9" i="29"/>
  <c r="E70" i="29"/>
  <c r="G70" i="27"/>
  <c r="F9" i="27"/>
  <c r="E9" i="21"/>
  <c r="F70" i="21"/>
  <c r="F76" i="21" s="1"/>
  <c r="J75" i="33"/>
  <c r="K74" i="33"/>
  <c r="E9" i="34"/>
  <c r="F69" i="34"/>
  <c r="E70" i="25" l="1"/>
  <c r="E76" i="25" s="1"/>
  <c r="D9" i="25"/>
  <c r="C9" i="23"/>
  <c r="D70" i="23"/>
  <c r="D76" i="23" s="1"/>
  <c r="C9" i="20"/>
  <c r="D70" i="20"/>
  <c r="E70" i="26"/>
  <c r="E76" i="26" s="1"/>
  <c r="D9" i="26"/>
  <c r="E9" i="28"/>
  <c r="F70" i="28"/>
  <c r="C9" i="30"/>
  <c r="D70" i="30"/>
  <c r="D76" i="30" s="1"/>
  <c r="F69" i="31"/>
  <c r="E9" i="31"/>
  <c r="F69" i="33"/>
  <c r="F75" i="33" s="1"/>
  <c r="E9" i="33"/>
  <c r="H75" i="30"/>
  <c r="G76" i="30"/>
  <c r="F75" i="34"/>
  <c r="G74" i="34"/>
  <c r="D9" i="21"/>
  <c r="E70" i="21"/>
  <c r="E76" i="21" s="1"/>
  <c r="H76" i="24"/>
  <c r="I75" i="24"/>
  <c r="H74" i="32"/>
  <c r="G75" i="32"/>
  <c r="G76" i="26"/>
  <c r="H75" i="26"/>
  <c r="H75" i="21"/>
  <c r="G76" i="21"/>
  <c r="H76" i="25"/>
  <c r="I75" i="25"/>
  <c r="D9" i="22"/>
  <c r="E70" i="22"/>
  <c r="H75" i="23"/>
  <c r="G76" i="23"/>
  <c r="H75" i="28"/>
  <c r="G76" i="28"/>
  <c r="D70" i="29"/>
  <c r="C9" i="29"/>
  <c r="H75" i="29"/>
  <c r="G76" i="29"/>
  <c r="G77" i="29" s="1"/>
  <c r="G76" i="22"/>
  <c r="H75" i="22"/>
  <c r="E69" i="34"/>
  <c r="D9" i="34"/>
  <c r="K75" i="33"/>
  <c r="L74" i="33"/>
  <c r="F70" i="27"/>
  <c r="E9" i="27"/>
  <c r="H75" i="27"/>
  <c r="G76" i="27"/>
  <c r="F75" i="31"/>
  <c r="G74" i="31"/>
  <c r="F70" i="24"/>
  <c r="F76" i="24" s="1"/>
  <c r="E9" i="24"/>
  <c r="E69" i="32"/>
  <c r="E75" i="32" s="1"/>
  <c r="D9" i="32"/>
  <c r="H75" i="20"/>
  <c r="G76" i="20"/>
  <c r="C70" i="23" l="1"/>
  <c r="C76" i="23" s="1"/>
  <c r="C77" i="23" s="1"/>
  <c r="B9" i="23"/>
  <c r="G77" i="23" s="1"/>
  <c r="D70" i="25"/>
  <c r="D76" i="25" s="1"/>
  <c r="C9" i="25"/>
  <c r="C70" i="20"/>
  <c r="B9" i="20"/>
  <c r="D70" i="26"/>
  <c r="D76" i="26" s="1"/>
  <c r="C9" i="26"/>
  <c r="E70" i="28"/>
  <c r="D9" i="28"/>
  <c r="C70" i="30"/>
  <c r="C76" i="30" s="1"/>
  <c r="B9" i="30"/>
  <c r="D9" i="31"/>
  <c r="E69" i="31"/>
  <c r="E69" i="33"/>
  <c r="E75" i="33" s="1"/>
  <c r="D9" i="33"/>
  <c r="H76" i="20"/>
  <c r="I75" i="20"/>
  <c r="C9" i="34"/>
  <c r="D69" i="34"/>
  <c r="I75" i="22"/>
  <c r="H76" i="22"/>
  <c r="H75" i="32"/>
  <c r="I74" i="32"/>
  <c r="C9" i="32"/>
  <c r="D69" i="32"/>
  <c r="D75" i="32" s="1"/>
  <c r="E70" i="24"/>
  <c r="E76" i="24" s="1"/>
  <c r="D9" i="24"/>
  <c r="H76" i="29"/>
  <c r="H77" i="29" s="1"/>
  <c r="I75" i="29"/>
  <c r="H76" i="23"/>
  <c r="I75" i="23"/>
  <c r="H74" i="34"/>
  <c r="G75" i="34"/>
  <c r="E70" i="27"/>
  <c r="D9" i="27"/>
  <c r="H76" i="28"/>
  <c r="I75" i="28"/>
  <c r="D70" i="22"/>
  <c r="C9" i="22"/>
  <c r="H76" i="26"/>
  <c r="I75" i="26"/>
  <c r="J75" i="24"/>
  <c r="I76" i="24"/>
  <c r="G75" i="31"/>
  <c r="G76" i="31" s="1"/>
  <c r="H74" i="31"/>
  <c r="H76" i="27"/>
  <c r="I75" i="27"/>
  <c r="L75" i="33"/>
  <c r="M74" i="33"/>
  <c r="C70" i="29"/>
  <c r="B9" i="29"/>
  <c r="F77" i="29" s="1"/>
  <c r="J75" i="25"/>
  <c r="I76" i="25"/>
  <c r="H76" i="21"/>
  <c r="I75" i="21"/>
  <c r="D70" i="21"/>
  <c r="D76" i="21" s="1"/>
  <c r="C9" i="21"/>
  <c r="H76" i="30"/>
  <c r="I75" i="30"/>
  <c r="T32" i="6"/>
  <c r="C70" i="25" l="1"/>
  <c r="C76" i="25" s="1"/>
  <c r="C77" i="25" s="1"/>
  <c r="B9" i="25"/>
  <c r="D77" i="25"/>
  <c r="B70" i="23"/>
  <c r="B76" i="23" s="1"/>
  <c r="B77" i="23" s="1"/>
  <c r="E77" i="23"/>
  <c r="F77" i="23"/>
  <c r="I77" i="25"/>
  <c r="D77" i="23"/>
  <c r="B70" i="20"/>
  <c r="B77" i="20"/>
  <c r="D77" i="20"/>
  <c r="E77" i="20"/>
  <c r="C70" i="26"/>
  <c r="C76" i="26" s="1"/>
  <c r="B9" i="26"/>
  <c r="B70" i="26" s="1"/>
  <c r="B76" i="26" s="1"/>
  <c r="D70" i="28"/>
  <c r="C9" i="28"/>
  <c r="B70" i="30"/>
  <c r="B76" i="30" s="1"/>
  <c r="D69" i="31"/>
  <c r="C9" i="31"/>
  <c r="C9" i="33"/>
  <c r="D69" i="33"/>
  <c r="D75" i="33" s="1"/>
  <c r="J75" i="21"/>
  <c r="I76" i="21"/>
  <c r="B70" i="29"/>
  <c r="J75" i="28"/>
  <c r="I76" i="28"/>
  <c r="H77" i="23"/>
  <c r="C69" i="34"/>
  <c r="B9" i="34"/>
  <c r="C70" i="21"/>
  <c r="C76" i="21" s="1"/>
  <c r="B9" i="21"/>
  <c r="J75" i="27"/>
  <c r="I76" i="27"/>
  <c r="J75" i="29"/>
  <c r="I76" i="29"/>
  <c r="I77" i="29" s="1"/>
  <c r="C69" i="32"/>
  <c r="C75" i="32" s="1"/>
  <c r="B9" i="32"/>
  <c r="J75" i="20"/>
  <c r="I76" i="20"/>
  <c r="I77" i="20" s="1"/>
  <c r="J76" i="24"/>
  <c r="K75" i="24"/>
  <c r="B9" i="22"/>
  <c r="C70" i="22"/>
  <c r="D70" i="27"/>
  <c r="C9" i="27"/>
  <c r="H75" i="34"/>
  <c r="I74" i="34"/>
  <c r="I76" i="22"/>
  <c r="J75" i="22"/>
  <c r="H77" i="20"/>
  <c r="J75" i="30"/>
  <c r="I76" i="30"/>
  <c r="J76" i="25"/>
  <c r="K75" i="25"/>
  <c r="N74" i="33"/>
  <c r="M75" i="33"/>
  <c r="H75" i="31"/>
  <c r="H76" i="31" s="1"/>
  <c r="I74" i="31"/>
  <c r="J75" i="26"/>
  <c r="I76" i="26"/>
  <c r="J75" i="23"/>
  <c r="I76" i="23"/>
  <c r="I77" i="23" s="1"/>
  <c r="C9" i="24"/>
  <c r="D70" i="24"/>
  <c r="D76" i="24" s="1"/>
  <c r="I75" i="32"/>
  <c r="J74" i="32"/>
  <c r="I77" i="22" l="1"/>
  <c r="F77" i="25"/>
  <c r="E77" i="25"/>
  <c r="B70" i="25"/>
  <c r="B76" i="25" s="1"/>
  <c r="B77" i="25" s="1"/>
  <c r="G77" i="25"/>
  <c r="H77" i="25"/>
  <c r="B9" i="28"/>
  <c r="I77" i="28" s="1"/>
  <c r="C70" i="28"/>
  <c r="B9" i="31"/>
  <c r="F76" i="31" s="1"/>
  <c r="C69" i="31"/>
  <c r="B9" i="33"/>
  <c r="M76" i="33" s="1"/>
  <c r="C69" i="33"/>
  <c r="C75" i="33" s="1"/>
  <c r="K74" i="32"/>
  <c r="J75" i="32"/>
  <c r="J74" i="31"/>
  <c r="I75" i="31"/>
  <c r="I76" i="31" s="1"/>
  <c r="L75" i="25"/>
  <c r="K76" i="25"/>
  <c r="K77" i="25" s="1"/>
  <c r="K75" i="30"/>
  <c r="J76" i="30"/>
  <c r="H76" i="34"/>
  <c r="B70" i="22"/>
  <c r="C77" i="22"/>
  <c r="B77" i="22"/>
  <c r="D77" i="22"/>
  <c r="E77" i="22"/>
  <c r="F77" i="22"/>
  <c r="G77" i="22"/>
  <c r="H77" i="22"/>
  <c r="K75" i="29"/>
  <c r="J76" i="29"/>
  <c r="J77" i="29" s="1"/>
  <c r="B69" i="34"/>
  <c r="B9" i="24"/>
  <c r="J77" i="24" s="1"/>
  <c r="C70" i="24"/>
  <c r="C76" i="24" s="1"/>
  <c r="J77" i="25"/>
  <c r="C70" i="27"/>
  <c r="B9" i="27"/>
  <c r="I77" i="27" s="1"/>
  <c r="L75" i="24"/>
  <c r="K76" i="24"/>
  <c r="B69" i="32"/>
  <c r="B75" i="32" s="1"/>
  <c r="I77" i="21"/>
  <c r="K75" i="20"/>
  <c r="J76" i="20"/>
  <c r="J76" i="27"/>
  <c r="J77" i="27" s="1"/>
  <c r="K75" i="27"/>
  <c r="B70" i="21"/>
  <c r="B76" i="21" s="1"/>
  <c r="F77" i="21"/>
  <c r="G77" i="21"/>
  <c r="E77" i="21"/>
  <c r="K75" i="21"/>
  <c r="J76" i="21"/>
  <c r="J77" i="21" s="1"/>
  <c r="D77" i="21"/>
  <c r="J76" i="23"/>
  <c r="J77" i="23" s="1"/>
  <c r="K75" i="23"/>
  <c r="K75" i="26"/>
  <c r="J76" i="26"/>
  <c r="N75" i="33"/>
  <c r="N76" i="33" s="1"/>
  <c r="O74" i="33"/>
  <c r="K75" i="22"/>
  <c r="J76" i="22"/>
  <c r="J77" i="22" s="1"/>
  <c r="I75" i="34"/>
  <c r="I76" i="34" s="1"/>
  <c r="J74" i="34"/>
  <c r="H77" i="21"/>
  <c r="C77" i="21"/>
  <c r="J76" i="28"/>
  <c r="K75" i="28"/>
  <c r="K77" i="24" l="1"/>
  <c r="C77" i="24"/>
  <c r="D76" i="33"/>
  <c r="C76" i="33"/>
  <c r="J77" i="28"/>
  <c r="B70" i="28"/>
  <c r="D77" i="28"/>
  <c r="C77" i="28"/>
  <c r="B77" i="28"/>
  <c r="E77" i="28"/>
  <c r="F77" i="28"/>
  <c r="D76" i="31"/>
  <c r="E76" i="31"/>
  <c r="B76" i="31"/>
  <c r="C76" i="31"/>
  <c r="B69" i="31"/>
  <c r="B69" i="33"/>
  <c r="B75" i="33" s="1"/>
  <c r="B76" i="33" s="1"/>
  <c r="H76" i="33"/>
  <c r="J76" i="33"/>
  <c r="F76" i="33"/>
  <c r="I76" i="33"/>
  <c r="G76" i="33"/>
  <c r="K76" i="33"/>
  <c r="L76" i="33"/>
  <c r="E76" i="33"/>
  <c r="L75" i="30"/>
  <c r="K76" i="30"/>
  <c r="K74" i="31"/>
  <c r="J75" i="31"/>
  <c r="J76" i="31" s="1"/>
  <c r="K76" i="28"/>
  <c r="L75" i="28"/>
  <c r="K76" i="22"/>
  <c r="K77" i="22" s="1"/>
  <c r="B20" i="22" s="1"/>
  <c r="L75" i="22"/>
  <c r="K76" i="26"/>
  <c r="L75" i="26"/>
  <c r="B77" i="21"/>
  <c r="L75" i="20"/>
  <c r="K76" i="20"/>
  <c r="K77" i="20" s="1"/>
  <c r="M75" i="24"/>
  <c r="L76" i="24"/>
  <c r="L77" i="24" s="1"/>
  <c r="M75" i="25"/>
  <c r="L76" i="25"/>
  <c r="K74" i="34"/>
  <c r="J75" i="34"/>
  <c r="J76" i="34" s="1"/>
  <c r="O75" i="33"/>
  <c r="O76" i="33" s="1"/>
  <c r="P74" i="33"/>
  <c r="L75" i="23"/>
  <c r="K76" i="23"/>
  <c r="K77" i="23" s="1"/>
  <c r="L75" i="21"/>
  <c r="K76" i="21"/>
  <c r="K77" i="21" s="1"/>
  <c r="K76" i="27"/>
  <c r="K77" i="27" s="1"/>
  <c r="L75" i="27"/>
  <c r="B70" i="27"/>
  <c r="L74" i="32"/>
  <c r="K75" i="32"/>
  <c r="L75" i="29"/>
  <c r="K76" i="29"/>
  <c r="K77" i="29" s="1"/>
  <c r="J77" i="20"/>
  <c r="B70" i="24"/>
  <c r="B76" i="24" s="1"/>
  <c r="G77" i="24"/>
  <c r="H77" i="24"/>
  <c r="F77" i="24"/>
  <c r="E77" i="24"/>
  <c r="I77" i="24"/>
  <c r="D77" i="24"/>
  <c r="T17" i="6"/>
  <c r="T25" i="6"/>
  <c r="T30" i="6" s="1"/>
  <c r="B19" i="22" l="1"/>
  <c r="B21" i="22" s="1"/>
  <c r="B22" i="22" s="1"/>
  <c r="B81" i="22" a="1"/>
  <c r="B85" i="22" s="1"/>
  <c r="B21" i="31"/>
  <c r="B20" i="31"/>
  <c r="B22" i="31" s="1"/>
  <c r="B23" i="31" s="1"/>
  <c r="B80" i="31" a="1"/>
  <c r="L76" i="21"/>
  <c r="M75" i="21"/>
  <c r="L75" i="32"/>
  <c r="M74" i="32"/>
  <c r="P75" i="33"/>
  <c r="P76" i="33" s="1"/>
  <c r="N75" i="24"/>
  <c r="M76" i="24"/>
  <c r="M77" i="24" s="1"/>
  <c r="K77" i="28"/>
  <c r="L76" i="30"/>
  <c r="M75" i="30"/>
  <c r="M75" i="22"/>
  <c r="L76" i="22"/>
  <c r="L77" i="22" s="1"/>
  <c r="M75" i="27"/>
  <c r="L76" i="27"/>
  <c r="L77" i="27" s="1"/>
  <c r="L77" i="25"/>
  <c r="L76" i="20"/>
  <c r="L77" i="20" s="1"/>
  <c r="M75" i="20"/>
  <c r="K75" i="31"/>
  <c r="K76" i="31" s="1"/>
  <c r="L74" i="31"/>
  <c r="B77" i="24"/>
  <c r="L76" i="29"/>
  <c r="L77" i="29" s="1"/>
  <c r="M75" i="29"/>
  <c r="L76" i="23"/>
  <c r="M75" i="23"/>
  <c r="L74" i="34"/>
  <c r="K75" i="34"/>
  <c r="K76" i="34" s="1"/>
  <c r="N75" i="25"/>
  <c r="M76" i="25"/>
  <c r="M77" i="25" s="1"/>
  <c r="M75" i="26"/>
  <c r="L76" i="26"/>
  <c r="M75" i="28"/>
  <c r="L76" i="28"/>
  <c r="L77" i="28" s="1"/>
  <c r="T27" i="6"/>
  <c r="T28" i="6" s="1"/>
  <c r="B30" i="41" l="1"/>
  <c r="E30" i="41" s="1"/>
  <c r="B10" i="41"/>
  <c r="E10" i="41" s="1"/>
  <c r="B81" i="22"/>
  <c r="B83" i="22"/>
  <c r="B84" i="22"/>
  <c r="C83" i="22"/>
  <c r="C85" i="22"/>
  <c r="B82" i="22"/>
  <c r="C81" i="22"/>
  <c r="C84" i="22"/>
  <c r="C82" i="22"/>
  <c r="B84" i="31"/>
  <c r="B81" i="31"/>
  <c r="C81" i="31"/>
  <c r="B82" i="31"/>
  <c r="C84" i="31"/>
  <c r="C82" i="31"/>
  <c r="C83" i="31"/>
  <c r="B80" i="31"/>
  <c r="C80" i="31"/>
  <c r="B83" i="31"/>
  <c r="B20" i="33"/>
  <c r="B22" i="33" s="1"/>
  <c r="B23" i="33" s="1"/>
  <c r="B21" i="33"/>
  <c r="M76" i="26"/>
  <c r="N75" i="26"/>
  <c r="N75" i="28"/>
  <c r="M76" i="28"/>
  <c r="M77" i="28" s="1"/>
  <c r="N75" i="23"/>
  <c r="M76" i="23"/>
  <c r="M77" i="23" s="1"/>
  <c r="L75" i="31"/>
  <c r="L76" i="31" s="1"/>
  <c r="M74" i="31"/>
  <c r="N76" i="24"/>
  <c r="O75" i="24"/>
  <c r="N76" i="25"/>
  <c r="N77" i="25" s="1"/>
  <c r="O75" i="25"/>
  <c r="L77" i="23"/>
  <c r="N75" i="27"/>
  <c r="M76" i="27"/>
  <c r="M77" i="27" s="1"/>
  <c r="B80" i="33" a="1"/>
  <c r="M76" i="30"/>
  <c r="M77" i="30" s="1"/>
  <c r="N75" i="30"/>
  <c r="N75" i="21"/>
  <c r="M76" i="21"/>
  <c r="M77" i="21" s="1"/>
  <c r="L75" i="34"/>
  <c r="L76" i="34" s="1"/>
  <c r="M74" i="34"/>
  <c r="M76" i="29"/>
  <c r="M77" i="29" s="1"/>
  <c r="N75" i="29"/>
  <c r="M76" i="20"/>
  <c r="M77" i="20" s="1"/>
  <c r="N75" i="20"/>
  <c r="M76" i="22"/>
  <c r="M77" i="22" s="1"/>
  <c r="N75" i="22"/>
  <c r="M75" i="32"/>
  <c r="N74" i="32"/>
  <c r="L77" i="21"/>
  <c r="B88" i="22" l="1"/>
  <c r="B89" i="22" s="1"/>
  <c r="B87" i="31"/>
  <c r="B88" i="31" s="1"/>
  <c r="B81" i="21" a="1"/>
  <c r="B20" i="21"/>
  <c r="O75" i="29"/>
  <c r="N76" i="29"/>
  <c r="N77" i="29" s="1"/>
  <c r="N76" i="22"/>
  <c r="N77" i="22" s="1"/>
  <c r="O75" i="20"/>
  <c r="N76" i="20"/>
  <c r="N77" i="20" s="1"/>
  <c r="M75" i="34"/>
  <c r="M76" i="34" s="1"/>
  <c r="N74" i="34"/>
  <c r="O75" i="30"/>
  <c r="N76" i="30"/>
  <c r="N76" i="28"/>
  <c r="N77" i="28" s="1"/>
  <c r="O75" i="28"/>
  <c r="B19" i="21"/>
  <c r="B21" i="21" s="1"/>
  <c r="B22" i="21" s="1"/>
  <c r="C83" i="33"/>
  <c r="C81" i="33"/>
  <c r="B83" i="33"/>
  <c r="C80" i="33"/>
  <c r="B82" i="33"/>
  <c r="C84" i="33"/>
  <c r="B81" i="33"/>
  <c r="C82" i="33"/>
  <c r="B84" i="33"/>
  <c r="B80" i="33"/>
  <c r="N76" i="27"/>
  <c r="N77" i="27" s="1"/>
  <c r="O75" i="27"/>
  <c r="P75" i="25"/>
  <c r="O76" i="25"/>
  <c r="P75" i="24"/>
  <c r="O76" i="24"/>
  <c r="O77" i="24" s="1"/>
  <c r="O75" i="23"/>
  <c r="N76" i="23"/>
  <c r="N77" i="23" s="1"/>
  <c r="O75" i="26"/>
  <c r="N76" i="26"/>
  <c r="O74" i="32"/>
  <c r="P74" i="32" s="1"/>
  <c r="N75" i="32"/>
  <c r="O75" i="21"/>
  <c r="N76" i="21"/>
  <c r="N77" i="21" s="1"/>
  <c r="N77" i="24"/>
  <c r="M75" i="31"/>
  <c r="M76" i="31" s="1"/>
  <c r="N74" i="31"/>
  <c r="B32" i="41" l="1"/>
  <c r="E32" i="41" s="1"/>
  <c r="P75" i="32"/>
  <c r="P76" i="32" s="1"/>
  <c r="O74" i="31"/>
  <c r="N75" i="31"/>
  <c r="N76" i="31" s="1"/>
  <c r="O76" i="26"/>
  <c r="P75" i="26"/>
  <c r="P76" i="24"/>
  <c r="P76" i="25"/>
  <c r="P77" i="25" s="1"/>
  <c r="P75" i="30"/>
  <c r="O76" i="30"/>
  <c r="O77" i="30" s="1"/>
  <c r="P75" i="20"/>
  <c r="O76" i="20"/>
  <c r="O77" i="20" s="1"/>
  <c r="P75" i="29"/>
  <c r="O76" i="29"/>
  <c r="O77" i="29" s="1"/>
  <c r="P75" i="27"/>
  <c r="O76" i="27"/>
  <c r="O77" i="27" s="1"/>
  <c r="N75" i="34"/>
  <c r="N76" i="34" s="1"/>
  <c r="O74" i="34"/>
  <c r="O75" i="32"/>
  <c r="P75" i="23"/>
  <c r="O76" i="23"/>
  <c r="P75" i="28"/>
  <c r="O76" i="28"/>
  <c r="O77" i="28" s="1"/>
  <c r="C85" i="21"/>
  <c r="C83" i="21"/>
  <c r="C81" i="21"/>
  <c r="B85" i="21"/>
  <c r="C82" i="21"/>
  <c r="C84" i="21"/>
  <c r="B82" i="21"/>
  <c r="B84" i="21"/>
  <c r="B83" i="21"/>
  <c r="B81" i="21"/>
  <c r="P75" i="21"/>
  <c r="O76" i="21"/>
  <c r="O77" i="21" s="1"/>
  <c r="O77" i="25"/>
  <c r="B87" i="33"/>
  <c r="B88" i="33" s="1"/>
  <c r="B17" i="41" l="1"/>
  <c r="E17" i="41" s="1"/>
  <c r="O77" i="23"/>
  <c r="B88" i="21"/>
  <c r="B89" i="21" s="1"/>
  <c r="P76" i="23"/>
  <c r="P77" i="23" s="1"/>
  <c r="P76" i="26"/>
  <c r="P76" i="21"/>
  <c r="P77" i="21" s="1"/>
  <c r="O75" i="31"/>
  <c r="O76" i="31" s="1"/>
  <c r="P74" i="31"/>
  <c r="P76" i="27"/>
  <c r="P77" i="27" s="1"/>
  <c r="P76" i="20"/>
  <c r="P77" i="20" s="1"/>
  <c r="P74" i="34"/>
  <c r="O75" i="34"/>
  <c r="O76" i="34" s="1"/>
  <c r="B81" i="25" a="1"/>
  <c r="P76" i="28"/>
  <c r="P77" i="28" s="1"/>
  <c r="P76" i="29"/>
  <c r="P77" i="29" s="1"/>
  <c r="P76" i="30"/>
  <c r="P77" i="30" s="1"/>
  <c r="P77" i="24"/>
  <c r="B20" i="24" s="1"/>
  <c r="T74" i="34" l="1"/>
  <c r="T75" i="34" s="1"/>
  <c r="T76" i="34" s="1"/>
  <c r="B19" i="23"/>
  <c r="B21" i="23" s="1"/>
  <c r="B22" i="23" s="1"/>
  <c r="B81" i="23" a="1"/>
  <c r="C83" i="23" s="1"/>
  <c r="B20" i="23"/>
  <c r="B81" i="24" a="1"/>
  <c r="C82" i="24" s="1"/>
  <c r="C84" i="25"/>
  <c r="C82" i="25"/>
  <c r="C83" i="25"/>
  <c r="B81" i="25"/>
  <c r="C85" i="25"/>
  <c r="B83" i="25"/>
  <c r="B85" i="25"/>
  <c r="B84" i="25"/>
  <c r="B82" i="25"/>
  <c r="C81" i="25"/>
  <c r="B20" i="25"/>
  <c r="B19" i="24"/>
  <c r="B21" i="24" s="1"/>
  <c r="B22" i="24" s="1"/>
  <c r="B19" i="25"/>
  <c r="B21" i="25" s="1"/>
  <c r="B22" i="25" s="1"/>
  <c r="P75" i="34"/>
  <c r="P76" i="34" s="1"/>
  <c r="P75" i="31"/>
  <c r="P76" i="31" s="1"/>
  <c r="B25" i="41" l="1"/>
  <c r="E25" i="41" s="1"/>
  <c r="B81" i="23"/>
  <c r="C85" i="23"/>
  <c r="B84" i="23"/>
  <c r="C82" i="23"/>
  <c r="B85" i="23"/>
  <c r="C81" i="23"/>
  <c r="B82" i="23"/>
  <c r="B83" i="23"/>
  <c r="C84" i="23"/>
  <c r="B18" i="41"/>
  <c r="E18" i="41" s="1"/>
  <c r="B85" i="24"/>
  <c r="B81" i="24"/>
  <c r="C84" i="24"/>
  <c r="B82" i="24"/>
  <c r="B84" i="24"/>
  <c r="C83" i="24"/>
  <c r="C85" i="24"/>
  <c r="C81" i="24"/>
  <c r="B83" i="24"/>
  <c r="B88" i="25"/>
  <c r="B89" i="25" s="1"/>
  <c r="N192" i="1"/>
  <c r="B11" i="41" l="1"/>
  <c r="E11" i="41" s="1"/>
  <c r="B88" i="23"/>
  <c r="B89" i="23" s="1"/>
  <c r="B88" i="24"/>
  <c r="B89" i="24" s="1"/>
  <c r="T73" i="1" l="1"/>
  <c r="T83" i="1"/>
  <c r="P11" i="34" s="1"/>
  <c r="P14" i="34" s="1"/>
  <c r="G76" i="34" s="1"/>
  <c r="S14" i="6" l="1"/>
  <c r="S17" i="6" s="1"/>
  <c r="AO20" i="2"/>
  <c r="T109" i="1"/>
  <c r="T54" i="1"/>
  <c r="T15" i="1"/>
  <c r="T22" i="1"/>
  <c r="T28" i="1"/>
  <c r="T34" i="1"/>
  <c r="T45" i="1"/>
  <c r="T75" i="1"/>
  <c r="T81" i="1"/>
  <c r="T100" i="1"/>
  <c r="T102" i="1"/>
  <c r="T103" i="1"/>
  <c r="T104" i="1"/>
  <c r="T105" i="1"/>
  <c r="T106" i="1"/>
  <c r="T107" i="1"/>
  <c r="T117" i="1"/>
  <c r="T118" i="1"/>
  <c r="T119" i="1"/>
  <c r="T124" i="1"/>
  <c r="T125" i="1"/>
  <c r="T129" i="1"/>
  <c r="T130" i="1"/>
  <c r="T131" i="1"/>
  <c r="T132" i="1"/>
  <c r="T146" i="1"/>
  <c r="S25" i="6"/>
  <c r="S30" i="6" s="1"/>
  <c r="S38" i="6"/>
  <c r="S44" i="6"/>
  <c r="S64" i="6"/>
  <c r="T87" i="1" s="1"/>
  <c r="S68" i="6"/>
  <c r="T147" i="1"/>
  <c r="T150" i="1" s="1"/>
  <c r="S27" i="6" l="1"/>
  <c r="T120" i="1"/>
  <c r="T126" i="1"/>
  <c r="S45" i="6"/>
  <c r="S47" i="6" s="1"/>
  <c r="S54" i="6" s="1"/>
  <c r="S28" i="6"/>
  <c r="T82" i="1"/>
  <c r="T84" i="1" s="1"/>
  <c r="T46" i="1"/>
  <c r="T48" i="1" s="1"/>
  <c r="T56" i="1" s="1"/>
  <c r="T108" i="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Q44" i="6"/>
  <c r="P44" i="6"/>
  <c r="O44" i="6"/>
  <c r="N44" i="6"/>
  <c r="M44" i="6"/>
  <c r="L44" i="6"/>
  <c r="K44" i="6"/>
  <c r="J44" i="6"/>
  <c r="I44" i="6"/>
  <c r="H44" i="6"/>
  <c r="G44" i="6"/>
  <c r="F44" i="6"/>
  <c r="E44" i="6"/>
  <c r="R43" i="6"/>
  <c r="R41" i="6"/>
  <c r="R38" i="6"/>
  <c r="Q38" i="6"/>
  <c r="Q45" i="6" s="1"/>
  <c r="P38" i="6"/>
  <c r="P45" i="6" s="1"/>
  <c r="O38" i="6"/>
  <c r="O45" i="6" s="1"/>
  <c r="N38" i="6"/>
  <c r="N45" i="6" s="1"/>
  <c r="M38" i="6"/>
  <c r="M45" i="6" s="1"/>
  <c r="L38" i="6"/>
  <c r="L45" i="6" s="1"/>
  <c r="K38" i="6"/>
  <c r="K45" i="6" s="1"/>
  <c r="J38" i="6"/>
  <c r="J45" i="6" s="1"/>
  <c r="I38" i="6"/>
  <c r="I45" i="6" s="1"/>
  <c r="H38" i="6"/>
  <c r="H45" i="6" s="1"/>
  <c r="G38" i="6"/>
  <c r="G45" i="6" s="1"/>
  <c r="F38" i="6"/>
  <c r="F45" i="6" s="1"/>
  <c r="E38" i="6"/>
  <c r="E45" i="6" s="1"/>
  <c r="R44" i="6" l="1"/>
  <c r="R45" i="6" s="1"/>
  <c r="R47" i="6"/>
  <c r="Q47" i="6" s="1"/>
  <c r="P47" i="6" s="1"/>
  <c r="O47" i="6" s="1"/>
  <c r="N47" i="6" s="1"/>
  <c r="M47" i="6" s="1"/>
  <c r="L47" i="6" s="1"/>
  <c r="K47" i="6" s="1"/>
  <c r="J47" i="6" s="1"/>
  <c r="I47" i="6" s="1"/>
  <c r="H47" i="6" s="1"/>
  <c r="G47" i="6" s="1"/>
  <c r="F47" i="6" s="1"/>
  <c r="E47" i="6" s="1"/>
  <c r="T91" i="1"/>
  <c r="T139" i="1"/>
  <c r="R25" i="6"/>
  <c r="R30" i="6" s="1"/>
  <c r="Q25" i="6"/>
  <c r="P25" i="6"/>
  <c r="O25" i="6"/>
  <c r="N25" i="6"/>
  <c r="M25" i="6"/>
  <c r="L25" i="6"/>
  <c r="K25" i="6"/>
  <c r="J25" i="6"/>
  <c r="I25" i="6"/>
  <c r="H25" i="6"/>
  <c r="G25" i="6"/>
  <c r="F25" i="6"/>
  <c r="E25" i="6"/>
  <c r="Q30" i="6" l="1"/>
  <c r="P30" i="6" s="1"/>
  <c r="O30" i="6" s="1"/>
  <c r="N30" i="6" s="1"/>
  <c r="M30" i="6" s="1"/>
  <c r="L30" i="6" s="1"/>
  <c r="K30" i="6" s="1"/>
  <c r="J30" i="6" s="1"/>
  <c r="I30" i="6" s="1"/>
  <c r="H30" i="6" s="1"/>
  <c r="G30" i="6" s="1"/>
  <c r="F30" i="6" s="1"/>
  <c r="E30" i="6" s="1"/>
  <c r="T142" i="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J14" i="6"/>
  <c r="I14" i="6"/>
  <c r="AL63" i="2"/>
  <c r="AI63" i="2"/>
  <c r="AF63" i="2"/>
  <c r="R63" i="2"/>
  <c r="P63" i="2"/>
  <c r="N63" i="2"/>
  <c r="L63" i="2"/>
  <c r="J63" i="2"/>
  <c r="H63" i="2"/>
  <c r="AL61" i="2"/>
  <c r="AI61" i="2"/>
  <c r="AF61" i="2"/>
  <c r="AC61" i="2"/>
  <c r="Z61" i="2"/>
  <c r="W61" i="2"/>
  <c r="T61" i="2"/>
  <c r="R61" i="2"/>
  <c r="AK41" i="2"/>
  <c r="N12" i="30" s="1"/>
  <c r="N15" i="30" s="1"/>
  <c r="N77" i="30" s="1"/>
  <c r="P28" i="6" l="1"/>
  <c r="M17" i="6"/>
  <c r="N27" i="6"/>
  <c r="N28" i="6" s="1"/>
  <c r="J17" i="6"/>
  <c r="K27" i="6"/>
  <c r="G17" i="6"/>
  <c r="H27" i="6"/>
  <c r="AJ36" i="2"/>
  <c r="N12" i="28" s="1"/>
  <c r="N15" i="28" s="1"/>
  <c r="G77" i="28" l="1"/>
  <c r="H77" i="28"/>
  <c r="I17" i="6"/>
  <c r="I27" i="6" s="1"/>
  <c r="J27" i="6"/>
  <c r="F17" i="6"/>
  <c r="G27" i="6"/>
  <c r="L17" i="6"/>
  <c r="L27" i="6" s="1"/>
  <c r="M27" i="6"/>
  <c r="M28" i="6" s="1"/>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B20" i="28" l="1"/>
  <c r="B22" i="28" s="1"/>
  <c r="B23" i="28" s="1"/>
  <c r="B81" i="28" a="1"/>
  <c r="B81" i="28" s="1"/>
  <c r="B21" i="28"/>
  <c r="L28" i="6"/>
  <c r="K28" i="6" s="1"/>
  <c r="J28" i="6" s="1"/>
  <c r="I28" i="6" s="1"/>
  <c r="H28" i="6" s="1"/>
  <c r="G28" i="6" s="1"/>
  <c r="E17" i="6"/>
  <c r="E27" i="6" s="1"/>
  <c r="F27" i="6"/>
  <c r="F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N12" i="20" s="1"/>
  <c r="N15" i="20" s="1"/>
  <c r="G77" i="20" s="1"/>
  <c r="AI19" i="2"/>
  <c r="M12" i="20" s="1"/>
  <c r="M15" i="20" s="1"/>
  <c r="F77" i="20" s="1"/>
  <c r="AF19" i="2"/>
  <c r="AC19" i="2"/>
  <c r="Z19" i="2"/>
  <c r="J12" i="20" s="1"/>
  <c r="J15" i="20" s="1"/>
  <c r="C77" i="20" s="1"/>
  <c r="W19" i="2"/>
  <c r="T19" i="2"/>
  <c r="R19" i="2"/>
  <c r="P19" i="2"/>
  <c r="N19" i="2"/>
  <c r="E12" i="20" s="1"/>
  <c r="E15" i="20" s="1"/>
  <c r="L19" i="2"/>
  <c r="D12" i="20" s="1"/>
  <c r="D15" i="20" s="1"/>
  <c r="J19" i="2"/>
  <c r="C12" i="20" s="1"/>
  <c r="C15" i="20" s="1"/>
  <c r="H19" i="2"/>
  <c r="B12" i="20" s="1"/>
  <c r="B15" i="20" s="1"/>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B20" i="41" l="1"/>
  <c r="E20" i="41" s="1"/>
  <c r="C82" i="28"/>
  <c r="B82" i="28"/>
  <c r="B83" i="28"/>
  <c r="C83" i="28"/>
  <c r="C81" i="28"/>
  <c r="C84" i="28"/>
  <c r="B85" i="28"/>
  <c r="B84" i="28"/>
  <c r="C85" i="28"/>
  <c r="B88" i="28"/>
  <c r="B21" i="20"/>
  <c r="B20" i="20"/>
  <c r="B22" i="20" s="1"/>
  <c r="B23" i="20" s="1"/>
  <c r="B81" i="20" a="1"/>
  <c r="E28" i="6"/>
  <c r="W21" i="2"/>
  <c r="AC21" i="2"/>
  <c r="N21" i="2"/>
  <c r="AI21" i="2"/>
  <c r="AO21" i="2"/>
  <c r="H21" i="2"/>
  <c r="P21" i="2"/>
  <c r="Z21" i="2"/>
  <c r="AL21" i="2"/>
  <c r="L21" i="2"/>
  <c r="T21" i="2"/>
  <c r="AF21" i="2"/>
  <c r="J21" i="2"/>
  <c r="R21" i="2"/>
  <c r="B16" i="41" l="1"/>
  <c r="E16" i="41" s="1"/>
  <c r="B89" i="28"/>
  <c r="C83" i="20"/>
  <c r="C85" i="20"/>
  <c r="B81" i="20"/>
  <c r="B82" i="20"/>
  <c r="B83" i="20"/>
  <c r="B84" i="20"/>
  <c r="B85" i="20"/>
  <c r="C82" i="20"/>
  <c r="C84" i="20"/>
  <c r="C81" i="20"/>
  <c r="G186" i="1"/>
  <c r="G202" i="1" s="1"/>
  <c r="B88" i="20" l="1"/>
  <c r="B89" i="20" s="1"/>
  <c r="S147" i="1"/>
  <c r="R147" i="1"/>
  <c r="Q147" i="1"/>
  <c r="P147" i="1"/>
  <c r="O147" i="1"/>
  <c r="N147" i="1"/>
  <c r="M147" i="1" s="1"/>
  <c r="L147" i="1"/>
  <c r="K147" i="1" s="1"/>
  <c r="J147" i="1"/>
  <c r="I147" i="1"/>
  <c r="H147" i="1"/>
  <c r="G147" i="1"/>
  <c r="F147" i="1"/>
  <c r="S146" i="1"/>
  <c r="S150" i="1" s="1"/>
  <c r="R146" i="1"/>
  <c r="Q146" i="1"/>
  <c r="P146" i="1"/>
  <c r="O146" i="1"/>
  <c r="N146" i="1"/>
  <c r="M146" i="1"/>
  <c r="K146" i="1"/>
  <c r="J146" i="1"/>
  <c r="H146" i="1"/>
  <c r="G146" i="1"/>
  <c r="F146" i="1"/>
  <c r="T151" i="1" l="1"/>
  <c r="H150" i="1"/>
  <c r="G150" i="1"/>
  <c r="Q150" i="1"/>
  <c r="O150" i="1"/>
  <c r="R150" i="1"/>
  <c r="F150" i="1"/>
  <c r="J150" i="1"/>
  <c r="P150" i="1"/>
  <c r="N150" i="1"/>
  <c r="O151" i="1" l="1"/>
  <c r="G151" i="1"/>
  <c r="R151" i="1"/>
  <c r="H151" i="1"/>
  <c r="P151" i="1"/>
  <c r="Q151" i="1"/>
  <c r="M150" i="1"/>
  <c r="K150" i="1"/>
  <c r="K151" i="1" s="1"/>
  <c r="N151"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N11" i="34" s="1"/>
  <c r="N14" i="34" s="1"/>
  <c r="E76" i="34" s="1"/>
  <c r="Q83" i="1"/>
  <c r="M11" i="34" s="1"/>
  <c r="M14" i="34" s="1"/>
  <c r="D76" i="34" s="1"/>
  <c r="P83" i="1"/>
  <c r="L11" i="34" s="1"/>
  <c r="L14" i="34" s="1"/>
  <c r="C76" i="34" s="1"/>
  <c r="O83" i="1"/>
  <c r="K11" i="34" s="1"/>
  <c r="K14" i="34" s="1"/>
  <c r="B76" i="34" s="1"/>
  <c r="N83" i="1"/>
  <c r="J11" i="34" s="1"/>
  <c r="J14" i="34" s="1"/>
  <c r="M83" i="1"/>
  <c r="I11" i="34" s="1"/>
  <c r="I14" i="34" s="1"/>
  <c r="L83" i="1"/>
  <c r="H11" i="34" s="1"/>
  <c r="H14" i="34" s="1"/>
  <c r="K83" i="1"/>
  <c r="G11" i="34" s="1"/>
  <c r="G14" i="34" s="1"/>
  <c r="J83" i="1"/>
  <c r="F11" i="34" s="1"/>
  <c r="F14" i="34" s="1"/>
  <c r="I83" i="1"/>
  <c r="E11" i="34" s="1"/>
  <c r="E14" i="34" s="1"/>
  <c r="H83" i="1"/>
  <c r="D11" i="34" s="1"/>
  <c r="D14" i="34" s="1"/>
  <c r="G83" i="1"/>
  <c r="C11" i="34" s="1"/>
  <c r="C14" i="34" s="1"/>
  <c r="F83" i="1"/>
  <c r="B11" i="34" s="1"/>
  <c r="B14" i="34" s="1"/>
  <c r="L108" i="1" l="1"/>
  <c r="I108" i="1"/>
  <c r="M108" i="1"/>
  <c r="Q108" i="1"/>
  <c r="G108" i="1"/>
  <c r="K108" i="1"/>
  <c r="O108" i="1"/>
  <c r="S108" i="1"/>
  <c r="Q120" i="1"/>
  <c r="F108" i="1"/>
  <c r="J108" i="1"/>
  <c r="N108" i="1"/>
  <c r="R108" i="1"/>
  <c r="S120" i="1"/>
  <c r="R120" i="1"/>
  <c r="R178" i="1" l="1"/>
  <c r="R194" i="1" s="1"/>
  <c r="R162" i="1"/>
  <c r="S178" i="1"/>
  <c r="S194" i="1" s="1"/>
  <c r="S121" i="1"/>
  <c r="T178" i="1"/>
  <c r="T194" i="1" s="1"/>
  <c r="T121" i="1"/>
  <c r="T162" i="1"/>
  <c r="R121" i="1"/>
  <c r="S162" i="1"/>
  <c r="S81" i="1"/>
  <c r="R81" i="1"/>
  <c r="Q81" i="1"/>
  <c r="P81" i="1"/>
  <c r="O81" i="1"/>
  <c r="N81" i="1"/>
  <c r="M81" i="1"/>
  <c r="L81" i="1"/>
  <c r="K81" i="1"/>
  <c r="J81" i="1"/>
  <c r="I81" i="1"/>
  <c r="H81" i="1"/>
  <c r="G81" i="1"/>
  <c r="F81" i="1"/>
  <c r="S73" i="1"/>
  <c r="O11" i="32" s="1"/>
  <c r="O15" i="32" s="1"/>
  <c r="O76" i="32" s="1"/>
  <c r="R73" i="1"/>
  <c r="Q73" i="1"/>
  <c r="P73" i="1"/>
  <c r="O73" i="1"/>
  <c r="N73" i="1"/>
  <c r="M73" i="1"/>
  <c r="L73" i="1"/>
  <c r="K73" i="1"/>
  <c r="J73" i="1"/>
  <c r="I73" i="1"/>
  <c r="H73" i="1"/>
  <c r="G73" i="1"/>
  <c r="F73" i="1"/>
  <c r="E61" i="1"/>
  <c r="S45" i="1"/>
  <c r="R45" i="1"/>
  <c r="Q45" i="1"/>
  <c r="P43" i="1"/>
  <c r="P124" i="1" s="1"/>
  <c r="O43" i="1"/>
  <c r="N43" i="1"/>
  <c r="M43" i="1"/>
  <c r="L43" i="1"/>
  <c r="K43" i="1"/>
  <c r="J43" i="1"/>
  <c r="I43" i="1"/>
  <c r="H43" i="1"/>
  <c r="G43" i="1"/>
  <c r="F43" i="1"/>
  <c r="P42" i="1"/>
  <c r="O42" i="1"/>
  <c r="K11" i="30" s="1"/>
  <c r="K15" i="30" s="1"/>
  <c r="K77" i="30" s="1"/>
  <c r="N42" i="1"/>
  <c r="J11" i="30" s="1"/>
  <c r="J15" i="30" s="1"/>
  <c r="J77" i="30" s="1"/>
  <c r="M42" i="1"/>
  <c r="I11" i="30" s="1"/>
  <c r="I15" i="30" s="1"/>
  <c r="I77" i="30" s="1"/>
  <c r="L42" i="1"/>
  <c r="H11" i="30" s="1"/>
  <c r="H15" i="30" s="1"/>
  <c r="H77" i="30" s="1"/>
  <c r="K42" i="1"/>
  <c r="G11" i="30" s="1"/>
  <c r="G15" i="30" s="1"/>
  <c r="G77" i="30" s="1"/>
  <c r="J42" i="1"/>
  <c r="F11" i="30" s="1"/>
  <c r="F15" i="30" s="1"/>
  <c r="F77" i="30" s="1"/>
  <c r="I42" i="1"/>
  <c r="E11" i="30" s="1"/>
  <c r="E15" i="30" s="1"/>
  <c r="E77" i="30" s="1"/>
  <c r="H42" i="1"/>
  <c r="D11" i="30" s="1"/>
  <c r="D15" i="30" s="1"/>
  <c r="D77" i="30" s="1"/>
  <c r="G42" i="1"/>
  <c r="C11" i="30" s="1"/>
  <c r="C15" i="30" s="1"/>
  <c r="C77" i="30" s="1"/>
  <c r="F42" i="1"/>
  <c r="B11" i="30" s="1"/>
  <c r="B15" i="30" s="1"/>
  <c r="B77" i="30" s="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50" i="1" s="1"/>
  <c r="I14" i="1"/>
  <c r="I146" i="1" s="1"/>
  <c r="I150" i="1" s="1"/>
  <c r="J151" i="1" s="1"/>
  <c r="I151" i="1" s="1"/>
  <c r="L13" i="1"/>
  <c r="I13" i="1"/>
  <c r="L75" i="1" l="1"/>
  <c r="H11" i="32"/>
  <c r="H15" i="32" s="1"/>
  <c r="H76" i="32" s="1"/>
  <c r="M75" i="1"/>
  <c r="I11" i="32"/>
  <c r="I15" i="32" s="1"/>
  <c r="I76" i="32" s="1"/>
  <c r="P119" i="1"/>
  <c r="P120" i="1" s="1"/>
  <c r="L11" i="30"/>
  <c r="L15" i="30" s="1"/>
  <c r="L77" i="30" s="1"/>
  <c r="B81" i="30" s="1" a="1"/>
  <c r="F75" i="1"/>
  <c r="B11" i="32"/>
  <c r="B15" i="32" s="1"/>
  <c r="B76" i="32" s="1"/>
  <c r="N75" i="1"/>
  <c r="J11" i="32"/>
  <c r="J15" i="32" s="1"/>
  <c r="J76" i="32" s="1"/>
  <c r="K75" i="1"/>
  <c r="G11" i="32"/>
  <c r="G15" i="32" s="1"/>
  <c r="G76" i="32" s="1"/>
  <c r="G75" i="1"/>
  <c r="G82" i="1" s="1"/>
  <c r="C11" i="32"/>
  <c r="C15" i="32" s="1"/>
  <c r="C76" i="32" s="1"/>
  <c r="O75" i="1"/>
  <c r="K11" i="32"/>
  <c r="K15" i="32" s="1"/>
  <c r="K76" i="32" s="1"/>
  <c r="H75" i="1"/>
  <c r="D11" i="32"/>
  <c r="D15" i="32" s="1"/>
  <c r="D76" i="32" s="1"/>
  <c r="P75" i="1"/>
  <c r="L11" i="32"/>
  <c r="L15" i="32" s="1"/>
  <c r="L76" i="32" s="1"/>
  <c r="I75" i="1"/>
  <c r="I82" i="1" s="1"/>
  <c r="E11" i="32"/>
  <c r="E15" i="32" s="1"/>
  <c r="E76" i="32" s="1"/>
  <c r="Q75" i="1"/>
  <c r="M11" i="32"/>
  <c r="M15" i="32" s="1"/>
  <c r="M76" i="32" s="1"/>
  <c r="J75" i="1"/>
  <c r="F11" i="32"/>
  <c r="F15" i="32" s="1"/>
  <c r="F76" i="32" s="1"/>
  <c r="R75" i="1"/>
  <c r="N11" i="32"/>
  <c r="N15" i="32" s="1"/>
  <c r="N76" i="32" s="1"/>
  <c r="S46" i="1"/>
  <c r="M82" i="1"/>
  <c r="Q82" i="1"/>
  <c r="AF65" i="2"/>
  <c r="AC65" i="2"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1" i="1"/>
  <c r="L151" i="1"/>
  <c r="K82" i="1"/>
  <c r="O82" i="1"/>
  <c r="I15" i="1"/>
  <c r="I45" i="1"/>
  <c r="I46" i="1" s="1"/>
  <c r="M45" i="1"/>
  <c r="M46" i="1" s="1"/>
  <c r="S75" i="1"/>
  <c r="O119" i="1"/>
  <c r="O124" i="1"/>
  <c r="P126" i="1"/>
  <c r="C83" i="30" l="1"/>
  <c r="B83" i="30"/>
  <c r="B81" i="30"/>
  <c r="C85" i="30"/>
  <c r="C81" i="30"/>
  <c r="B85" i="30"/>
  <c r="C82" i="30"/>
  <c r="C84" i="30"/>
  <c r="B82" i="30"/>
  <c r="B84" i="30"/>
  <c r="B21" i="32"/>
  <c r="B80" i="32" a="1"/>
  <c r="B20" i="32"/>
  <c r="B22" i="32" s="1"/>
  <c r="B23" i="32" s="1"/>
  <c r="B21" i="30"/>
  <c r="B20" i="30"/>
  <c r="B22" i="30" s="1"/>
  <c r="B23" i="30" s="1"/>
  <c r="S82" i="1"/>
  <c r="Q178" i="1"/>
  <c r="Q194" i="1" s="1"/>
  <c r="N119" i="1"/>
  <c r="O120" i="1"/>
  <c r="N124" i="1"/>
  <c r="O126" i="1"/>
  <c r="Q162" i="1"/>
  <c r="Q121" i="1"/>
  <c r="B31" i="41" l="1"/>
  <c r="E31" i="41" s="1"/>
  <c r="B12" i="41"/>
  <c r="E12" i="41" s="1"/>
  <c r="E13" i="41" s="1"/>
  <c r="C5" i="42" s="1"/>
  <c r="E5" i="42" s="1"/>
  <c r="B88" i="30"/>
  <c r="B89" i="30" s="1"/>
  <c r="C84" i="32"/>
  <c r="B84" i="32"/>
  <c r="C83" i="32"/>
  <c r="C82" i="32"/>
  <c r="B81" i="32"/>
  <c r="B82" i="32"/>
  <c r="C80" i="32"/>
  <c r="B83" i="32"/>
  <c r="B80" i="32"/>
  <c r="C81" i="32"/>
  <c r="P162" i="1"/>
  <c r="P178" i="1"/>
  <c r="P194" i="1" s="1"/>
  <c r="M119" i="1"/>
  <c r="N120" i="1"/>
  <c r="P121" i="1"/>
  <c r="M124" i="1"/>
  <c r="N126" i="1"/>
  <c r="B87" i="32" l="1"/>
  <c r="B88" i="32" s="1"/>
  <c r="O162" i="1"/>
  <c r="O178" i="1"/>
  <c r="O194" i="1" s="1"/>
  <c r="O121" i="1"/>
  <c r="L124" i="1"/>
  <c r="M126" i="1"/>
  <c r="L119" i="1"/>
  <c r="M120" i="1"/>
  <c r="N162" i="1" l="1"/>
  <c r="N178" i="1"/>
  <c r="N194" i="1" s="1"/>
  <c r="N121" i="1"/>
  <c r="K124" i="1"/>
  <c r="L126" i="1"/>
  <c r="K119" i="1"/>
  <c r="L120" i="1"/>
  <c r="M162" i="1" l="1"/>
  <c r="M178" i="1"/>
  <c r="M194" i="1" s="1"/>
  <c r="M121" i="1"/>
  <c r="J124" i="1"/>
  <c r="K126" i="1"/>
  <c r="J119" i="1"/>
  <c r="K120" i="1"/>
  <c r="L162" i="1" l="1"/>
  <c r="L178" i="1"/>
  <c r="L194" i="1" s="1"/>
  <c r="L121" i="1"/>
  <c r="I124" i="1"/>
  <c r="J126" i="1"/>
  <c r="I119" i="1"/>
  <c r="J120" i="1"/>
  <c r="K178" i="1" s="1"/>
  <c r="K194" i="1" s="1"/>
  <c r="H124" i="1" l="1"/>
  <c r="I126" i="1"/>
  <c r="H119" i="1"/>
  <c r="I120" i="1"/>
  <c r="K162" i="1"/>
  <c r="K121" i="1"/>
  <c r="J162" i="1" l="1"/>
  <c r="J178" i="1"/>
  <c r="J194" i="1" s="1"/>
  <c r="J121" i="1"/>
  <c r="G119" i="1"/>
  <c r="H120" i="1"/>
  <c r="I178" i="1" s="1"/>
  <c r="I194" i="1" s="1"/>
  <c r="G124" i="1"/>
  <c r="H126" i="1"/>
  <c r="I121" i="1"/>
  <c r="I162" i="1" l="1"/>
  <c r="F119" i="1"/>
  <c r="F120" i="1" s="1"/>
  <c r="G120" i="1"/>
  <c r="F124" i="1"/>
  <c r="F126" i="1" s="1"/>
  <c r="G126" i="1"/>
  <c r="H121" i="1" l="1"/>
  <c r="H178" i="1"/>
  <c r="H194" i="1" s="1"/>
  <c r="H162" i="1"/>
  <c r="G121" i="1"/>
  <c r="S83" i="1" l="1"/>
  <c r="O11" i="34" s="1"/>
  <c r="O14" i="34" s="1"/>
  <c r="F76" i="34" s="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G84" i="1"/>
  <c r="F84" i="1"/>
  <c r="F91" i="1" s="1"/>
  <c r="L84" i="1"/>
  <c r="K84" i="1"/>
  <c r="J84" i="1"/>
  <c r="I84" i="1"/>
  <c r="H84" i="1"/>
  <c r="R84" i="1"/>
  <c r="S182" i="1" s="1"/>
  <c r="S198" i="1" s="1"/>
  <c r="N84" i="1"/>
  <c r="M84" i="1"/>
  <c r="N182" i="1" s="1"/>
  <c r="N198" i="1" s="1"/>
  <c r="Q84" i="1"/>
  <c r="R182" i="1" s="1"/>
  <c r="R198" i="1" s="1"/>
  <c r="O84" i="1"/>
  <c r="P84" i="1"/>
  <c r="S151" i="1"/>
  <c r="R54" i="6"/>
  <c r="Q54" i="6"/>
  <c r="P54" i="6"/>
  <c r="O54" i="6"/>
  <c r="N54" i="6"/>
  <c r="M54" i="6"/>
  <c r="L54" i="6"/>
  <c r="K54" i="6"/>
  <c r="J54" i="6"/>
  <c r="I54" i="6"/>
  <c r="H54" i="6"/>
  <c r="G54" i="6"/>
  <c r="F54" i="6"/>
  <c r="E54" i="6"/>
  <c r="B19" i="34" l="1"/>
  <c r="B21" i="34" s="1"/>
  <c r="B22" i="34" s="1"/>
  <c r="B20" i="34"/>
  <c r="B80" i="34" a="1"/>
  <c r="S84" i="1"/>
  <c r="H139" i="1"/>
  <c r="I182" i="1"/>
  <c r="I198" i="1" s="1"/>
  <c r="I91" i="1"/>
  <c r="H56" i="6" s="1"/>
  <c r="J182" i="1"/>
  <c r="J198" i="1" s="1"/>
  <c r="J139" i="1"/>
  <c r="K182" i="1"/>
  <c r="K198" i="1" s="1"/>
  <c r="P91" i="1"/>
  <c r="Q184" i="1" s="1"/>
  <c r="Q200" i="1" s="1"/>
  <c r="Q182" i="1"/>
  <c r="Q198" i="1" s="1"/>
  <c r="N139" i="1"/>
  <c r="O182" i="1"/>
  <c r="O198" i="1" s="1"/>
  <c r="G91" i="1"/>
  <c r="G142" i="1" s="1"/>
  <c r="H182" i="1"/>
  <c r="H198" i="1" s="1"/>
  <c r="T182" i="1"/>
  <c r="T198" i="1" s="1"/>
  <c r="T166" i="1"/>
  <c r="O139" i="1"/>
  <c r="P182" i="1"/>
  <c r="P198" i="1" s="1"/>
  <c r="K139" i="1"/>
  <c r="L182" i="1"/>
  <c r="L198" i="1" s="1"/>
  <c r="L139" i="1"/>
  <c r="M182" i="1"/>
  <c r="M198" i="1" s="1"/>
  <c r="R56" i="1"/>
  <c r="N166" i="1"/>
  <c r="L91" i="1"/>
  <c r="M184" i="1" s="1"/>
  <c r="M200" i="1" s="1"/>
  <c r="M166" i="1"/>
  <c r="P166" i="1"/>
  <c r="P139" i="1"/>
  <c r="O91" i="1"/>
  <c r="I139" i="1"/>
  <c r="M91" i="1"/>
  <c r="N184" i="1" s="1"/>
  <c r="N200" i="1" s="1"/>
  <c r="G139" i="1"/>
  <c r="R139" i="1"/>
  <c r="L166" i="1"/>
  <c r="K91" i="1"/>
  <c r="H91" i="1"/>
  <c r="M139" i="1"/>
  <c r="Q166" i="1"/>
  <c r="J91" i="1"/>
  <c r="Q139" i="1"/>
  <c r="I166" i="1"/>
  <c r="H166" i="1"/>
  <c r="Q91" i="1"/>
  <c r="O166" i="1"/>
  <c r="E56" i="6"/>
  <c r="F142" i="1"/>
  <c r="S91" i="1"/>
  <c r="S166" i="1"/>
  <c r="S139" i="1"/>
  <c r="L140" i="1"/>
  <c r="R166" i="1"/>
  <c r="R91" i="1"/>
  <c r="S184" i="1" s="1"/>
  <c r="S200" i="1" s="1"/>
  <c r="J166" i="1"/>
  <c r="F139" i="1"/>
  <c r="K166" i="1"/>
  <c r="N91" i="1"/>
  <c r="O184" i="1" s="1"/>
  <c r="O200" i="1" s="1"/>
  <c r="Q56" i="1"/>
  <c r="B33" i="41" l="1"/>
  <c r="E33" i="41" s="1"/>
  <c r="E34" i="41" s="1"/>
  <c r="C7" i="42" s="1"/>
  <c r="E7" i="42" s="1"/>
  <c r="C83" i="34"/>
  <c r="B80" i="34"/>
  <c r="B83" i="34"/>
  <c r="C84" i="34"/>
  <c r="B82" i="34"/>
  <c r="C82" i="34"/>
  <c r="B81" i="34"/>
  <c r="C80" i="34"/>
  <c r="B84" i="34"/>
  <c r="C81" i="34"/>
  <c r="H140" i="1"/>
  <c r="O56" i="6"/>
  <c r="O140" i="1"/>
  <c r="P142" i="1"/>
  <c r="J140" i="1"/>
  <c r="M140" i="1"/>
  <c r="P140" i="1"/>
  <c r="T140" i="1"/>
  <c r="T184" i="1"/>
  <c r="T200" i="1" s="1"/>
  <c r="T168" i="1"/>
  <c r="Q168" i="1"/>
  <c r="R184" i="1"/>
  <c r="R200" i="1" s="1"/>
  <c r="N56" i="6"/>
  <c r="P184" i="1"/>
  <c r="P200" i="1" s="1"/>
  <c r="J168" i="1"/>
  <c r="K184" i="1"/>
  <c r="K200" i="1" s="1"/>
  <c r="H142" i="1"/>
  <c r="I184" i="1"/>
  <c r="I200" i="1" s="1"/>
  <c r="K140" i="1"/>
  <c r="H184" i="1"/>
  <c r="H200" i="1" s="1"/>
  <c r="F56" i="6"/>
  <c r="K142" i="1"/>
  <c r="L184" i="1"/>
  <c r="L200" i="1" s="1"/>
  <c r="I142" i="1"/>
  <c r="J184" i="1"/>
  <c r="J200" i="1" s="1"/>
  <c r="M168" i="1"/>
  <c r="P168" i="1"/>
  <c r="G56" i="6"/>
  <c r="M142" i="1"/>
  <c r="H168" i="1"/>
  <c r="L142" i="1"/>
  <c r="K56" i="6"/>
  <c r="J56" i="6"/>
  <c r="K168" i="1"/>
  <c r="L168" i="1"/>
  <c r="I56" i="6"/>
  <c r="J142" i="1"/>
  <c r="Q140" i="1"/>
  <c r="G140" i="1"/>
  <c r="O142" i="1"/>
  <c r="I168" i="1"/>
  <c r="N140" i="1"/>
  <c r="L56" i="6"/>
  <c r="I140" i="1"/>
  <c r="R140" i="1"/>
  <c r="G143" i="1"/>
  <c r="S140" i="1"/>
  <c r="Q142" i="1"/>
  <c r="P56" i="6"/>
  <c r="R142" i="1"/>
  <c r="Q56" i="6"/>
  <c r="R168" i="1"/>
  <c r="S142" i="1"/>
  <c r="T143" i="1" s="1"/>
  <c r="S168" i="1"/>
  <c r="N142" i="1"/>
  <c r="N168" i="1"/>
  <c r="M56" i="6"/>
  <c r="O168" i="1"/>
  <c r="B87" i="34" l="1"/>
  <c r="B88" i="34" s="1"/>
  <c r="J143" i="1"/>
  <c r="Q143" i="1"/>
  <c r="P143" i="1"/>
  <c r="I143" i="1"/>
  <c r="L143" i="1"/>
  <c r="H143" i="1"/>
  <c r="N143" i="1"/>
  <c r="R143" i="1"/>
  <c r="O143" i="1"/>
  <c r="K143" i="1"/>
  <c r="M143" i="1"/>
  <c r="S143" i="1"/>
  <c r="AQ11" i="2" l="1"/>
  <c r="AT11" i="2"/>
  <c r="AS11" i="2"/>
  <c r="AP11" i="2"/>
  <c r="AR11" i="2"/>
  <c r="AU11" i="2"/>
  <c r="AE11" i="2"/>
  <c r="Y11" i="2"/>
  <c r="AH11" i="2"/>
  <c r="AD11" i="2"/>
  <c r="AA11" i="2"/>
  <c r="AG11" i="2"/>
  <c r="AF11" i="2"/>
  <c r="L11" i="2"/>
  <c r="AI11" i="2"/>
  <c r="AC11" i="2"/>
  <c r="T11" i="2"/>
  <c r="R11" i="2"/>
  <c r="N11" i="2"/>
  <c r="U11" i="2"/>
  <c r="AL11" i="2"/>
  <c r="AJ11" i="2"/>
  <c r="AK11" i="2"/>
  <c r="AB11" i="2"/>
  <c r="Z11" i="2"/>
  <c r="K11" i="2"/>
  <c r="W11" i="2"/>
  <c r="AN11" i="2"/>
  <c r="V11" i="2"/>
  <c r="AO11" i="2"/>
  <c r="M11" i="2"/>
  <c r="X11" i="2"/>
  <c r="H11" i="2"/>
  <c r="P11" i="2"/>
  <c r="O11" i="2"/>
  <c r="AM11" i="2"/>
  <c r="J11" i="2"/>
  <c r="G11" i="2"/>
  <c r="Q11" i="2"/>
  <c r="S11" i="2"/>
  <c r="I11" i="2"/>
  <c r="AR14" i="2" l="1"/>
  <c r="AR40" i="2"/>
  <c r="AR44" i="2" s="1"/>
  <c r="AR32" i="2"/>
  <c r="AR33" i="2" s="1"/>
  <c r="AR35" i="2"/>
  <c r="P12" i="27" s="1"/>
  <c r="AU40" i="2"/>
  <c r="AU32" i="2"/>
  <c r="AU35" i="2"/>
  <c r="AU14" i="2"/>
  <c r="AP35" i="2"/>
  <c r="AP40" i="2"/>
  <c r="AP44" i="2" s="1"/>
  <c r="AP32" i="2"/>
  <c r="AP33" i="2" s="1"/>
  <c r="AP14" i="2"/>
  <c r="AS35" i="2"/>
  <c r="AS40" i="2"/>
  <c r="AS44" i="2" s="1"/>
  <c r="AS14" i="2"/>
  <c r="AS32" i="2"/>
  <c r="AS33" i="2" s="1"/>
  <c r="AT35" i="2"/>
  <c r="AT40" i="2"/>
  <c r="AT44" i="2" s="1"/>
  <c r="AT14" i="2"/>
  <c r="AT32" i="2"/>
  <c r="AT33" i="2" s="1"/>
  <c r="AQ40" i="2"/>
  <c r="AQ44" i="2" s="1"/>
  <c r="AQ14" i="2"/>
  <c r="AQ35" i="2"/>
  <c r="AQ32" i="2"/>
  <c r="AQ33" i="2" s="1"/>
  <c r="I35" i="2"/>
  <c r="I32" i="2"/>
  <c r="I40" i="2"/>
  <c r="I14" i="2"/>
  <c r="AD32" i="2"/>
  <c r="AD40" i="2"/>
  <c r="AD14" i="2"/>
  <c r="AD35" i="2"/>
  <c r="AO32" i="2"/>
  <c r="O12" i="26" s="1"/>
  <c r="O15" i="26" s="1"/>
  <c r="O77" i="26" s="1"/>
  <c r="AO35" i="2"/>
  <c r="O12" i="27" s="1"/>
  <c r="O15" i="27" s="1"/>
  <c r="F77" i="27" s="1"/>
  <c r="AO40" i="2"/>
  <c r="AO14" i="2"/>
  <c r="AH40" i="2"/>
  <c r="AH44" i="2" s="1"/>
  <c r="AH35" i="2"/>
  <c r="AH14" i="2"/>
  <c r="AH32" i="2"/>
  <c r="AL35" i="2"/>
  <c r="AL32" i="2"/>
  <c r="N12" i="26" s="1"/>
  <c r="N15" i="26" s="1"/>
  <c r="N77" i="26" s="1"/>
  <c r="AL14" i="2"/>
  <c r="AL40" i="2"/>
  <c r="AL44" i="2" s="1"/>
  <c r="L40" i="2"/>
  <c r="L44" i="2" s="1"/>
  <c r="L32" i="2"/>
  <c r="D12" i="26" s="1"/>
  <c r="D15" i="26" s="1"/>
  <c r="D77" i="26" s="1"/>
  <c r="L35" i="2"/>
  <c r="L14" i="2"/>
  <c r="AM40" i="2"/>
  <c r="AM44" i="2" s="1"/>
  <c r="AM14" i="2"/>
  <c r="AM32" i="2"/>
  <c r="AM35" i="2"/>
  <c r="N35" i="2"/>
  <c r="N32" i="2"/>
  <c r="E12" i="26" s="1"/>
  <c r="E15" i="26" s="1"/>
  <c r="E77" i="26" s="1"/>
  <c r="N40" i="2"/>
  <c r="N44" i="2" s="1"/>
  <c r="N14" i="2"/>
  <c r="K35" i="2"/>
  <c r="K14" i="2"/>
  <c r="K32" i="2"/>
  <c r="K40" i="2"/>
  <c r="T35" i="2"/>
  <c r="T40" i="2"/>
  <c r="T44" i="2" s="1"/>
  <c r="T32" i="2"/>
  <c r="H12" i="26" s="1"/>
  <c r="H15" i="26" s="1"/>
  <c r="H77" i="26" s="1"/>
  <c r="T14" i="2"/>
  <c r="Y40" i="2"/>
  <c r="Y44" i="2" s="1"/>
  <c r="Y14" i="2"/>
  <c r="Y32" i="2"/>
  <c r="Y35" i="2"/>
  <c r="O35" i="2"/>
  <c r="O32" i="2"/>
  <c r="O40" i="2"/>
  <c r="O14" i="2"/>
  <c r="M35" i="2"/>
  <c r="M32" i="2"/>
  <c r="M14" i="2"/>
  <c r="M40" i="2"/>
  <c r="AA40" i="2"/>
  <c r="AA14" i="2"/>
  <c r="AA35" i="2"/>
  <c r="AA32" i="2"/>
  <c r="AC35" i="2"/>
  <c r="AC32" i="2"/>
  <c r="K12" i="26" s="1"/>
  <c r="K15" i="26" s="1"/>
  <c r="K77" i="26" s="1"/>
  <c r="AC14" i="2"/>
  <c r="AC40" i="2"/>
  <c r="AC44" i="2" s="1"/>
  <c r="AI14" i="2"/>
  <c r="AI40" i="2"/>
  <c r="AI44" i="2" s="1"/>
  <c r="AI35" i="2"/>
  <c r="AI32" i="2"/>
  <c r="M12" i="26" s="1"/>
  <c r="M15" i="26" s="1"/>
  <c r="M77" i="26" s="1"/>
  <c r="AK40" i="2"/>
  <c r="AK44" i="2" s="1"/>
  <c r="AK14" i="2"/>
  <c r="AK35" i="2"/>
  <c r="AK32" i="2"/>
  <c r="G40" i="2"/>
  <c r="G32" i="2"/>
  <c r="G35" i="2"/>
  <c r="G14" i="2"/>
  <c r="H32" i="2"/>
  <c r="B12" i="26" s="1"/>
  <c r="B15" i="26" s="1"/>
  <c r="B77" i="26" s="1"/>
  <c r="H35" i="2"/>
  <c r="H14" i="2"/>
  <c r="H40" i="2"/>
  <c r="H44" i="2" s="1"/>
  <c r="W40" i="2"/>
  <c r="W44" i="2" s="1"/>
  <c r="W35" i="2"/>
  <c r="W14" i="2"/>
  <c r="W32" i="2"/>
  <c r="I12" i="26" s="1"/>
  <c r="I15" i="26" s="1"/>
  <c r="I77" i="26" s="1"/>
  <c r="Z40" i="2"/>
  <c r="Z44" i="2" s="1"/>
  <c r="Z14" i="2"/>
  <c r="Z35" i="2"/>
  <c r="Z32" i="2"/>
  <c r="J12" i="26" s="1"/>
  <c r="J15" i="26" s="1"/>
  <c r="J77" i="26" s="1"/>
  <c r="Q14" i="2"/>
  <c r="Q40" i="2"/>
  <c r="Q32" i="2"/>
  <c r="Q35" i="2"/>
  <c r="P35" i="2"/>
  <c r="P14" i="2"/>
  <c r="P32" i="2"/>
  <c r="F12" i="26" s="1"/>
  <c r="F15" i="26" s="1"/>
  <c r="F77" i="26" s="1"/>
  <c r="P40" i="2"/>
  <c r="P44" i="2" s="1"/>
  <c r="AN14" i="2"/>
  <c r="AN40" i="2"/>
  <c r="AN44" i="2" s="1"/>
  <c r="AN32" i="2"/>
  <c r="AN35" i="2"/>
  <c r="AF35" i="2"/>
  <c r="AF40" i="2"/>
  <c r="AF44" i="2" s="1"/>
  <c r="AF32" i="2"/>
  <c r="L12" i="26" s="1"/>
  <c r="L15" i="26" s="1"/>
  <c r="L77" i="26" s="1"/>
  <c r="AF14" i="2"/>
  <c r="AJ32" i="2"/>
  <c r="AJ40" i="2"/>
  <c r="AJ14" i="2"/>
  <c r="AJ35" i="2"/>
  <c r="S35" i="2"/>
  <c r="S40" i="2"/>
  <c r="S32" i="2"/>
  <c r="S14" i="2"/>
  <c r="J14" i="2"/>
  <c r="J40" i="2"/>
  <c r="J44" i="2" s="1"/>
  <c r="J32" i="2"/>
  <c r="C12" i="26" s="1"/>
  <c r="C15" i="26" s="1"/>
  <c r="C77" i="26" s="1"/>
  <c r="J35" i="2"/>
  <c r="R32" i="2"/>
  <c r="G12" i="26" s="1"/>
  <c r="G15" i="26" s="1"/>
  <c r="G77" i="26" s="1"/>
  <c r="R35" i="2"/>
  <c r="R40" i="2"/>
  <c r="R44" i="2" s="1"/>
  <c r="R14" i="2"/>
  <c r="X32" i="2"/>
  <c r="X14" i="2"/>
  <c r="X40" i="2"/>
  <c r="X35" i="2"/>
  <c r="V32" i="2"/>
  <c r="V40" i="2"/>
  <c r="V44" i="2" s="1"/>
  <c r="V14" i="2"/>
  <c r="V35" i="2"/>
  <c r="AE35" i="2"/>
  <c r="AE32" i="2"/>
  <c r="AE14" i="2"/>
  <c r="AE40" i="2"/>
  <c r="AE44" i="2" s="1"/>
  <c r="AG32" i="2"/>
  <c r="AG40" i="2"/>
  <c r="AG35" i="2"/>
  <c r="AG14" i="2"/>
  <c r="AB14" i="2"/>
  <c r="AB35" i="2"/>
  <c r="AB40" i="2"/>
  <c r="AB44" i="2" s="1"/>
  <c r="AB32" i="2"/>
  <c r="U35" i="2"/>
  <c r="U40" i="2"/>
  <c r="U32" i="2"/>
  <c r="U14" i="2"/>
  <c r="AT45" i="2" l="1"/>
  <c r="AT47" i="2" s="1"/>
  <c r="AT55" i="2" s="1"/>
  <c r="AP45" i="2"/>
  <c r="AR45" i="2"/>
  <c r="AR47" i="2" s="1"/>
  <c r="AR55" i="2" s="1"/>
  <c r="D12" i="27"/>
  <c r="D15" i="27" s="1"/>
  <c r="P12" i="26"/>
  <c r="P15" i="26" s="1"/>
  <c r="P77" i="26" s="1"/>
  <c r="AQ45" i="2"/>
  <c r="AQ47" i="2" s="1"/>
  <c r="AQ55" i="2" s="1"/>
  <c r="AS45" i="2"/>
  <c r="AS47" i="2" s="1"/>
  <c r="AS55" i="2" s="1"/>
  <c r="AU44" i="2"/>
  <c r="AU33" i="2"/>
  <c r="AP47" i="2"/>
  <c r="AP55" i="2" s="1"/>
  <c r="E12" i="27"/>
  <c r="E15" i="27" s="1"/>
  <c r="L12" i="27"/>
  <c r="L15" i="27" s="1"/>
  <c r="C77" i="27" s="1"/>
  <c r="M12" i="27"/>
  <c r="M15" i="27" s="1"/>
  <c r="D77" i="27" s="1"/>
  <c r="B12" i="27"/>
  <c r="B15" i="27" s="1"/>
  <c r="F12" i="27"/>
  <c r="F15" i="27" s="1"/>
  <c r="C12" i="27"/>
  <c r="C15" i="27" s="1"/>
  <c r="X44" i="2"/>
  <c r="J12" i="29"/>
  <c r="J15" i="29" s="1"/>
  <c r="AA44" i="2"/>
  <c r="K12" i="29"/>
  <c r="K15" i="29" s="1"/>
  <c r="H77" i="27"/>
  <c r="P15" i="27"/>
  <c r="G77" i="27" s="1"/>
  <c r="U44" i="2"/>
  <c r="I12" i="29"/>
  <c r="I15" i="29" s="1"/>
  <c r="AG44" i="2"/>
  <c r="M12" i="29"/>
  <c r="M15" i="29" s="1"/>
  <c r="S44" i="2"/>
  <c r="H12" i="29"/>
  <c r="H15" i="29" s="1"/>
  <c r="AJ44" i="2"/>
  <c r="N12" i="29"/>
  <c r="N15" i="29" s="1"/>
  <c r="B77" i="29" s="1"/>
  <c r="Q44" i="2"/>
  <c r="G12" i="29"/>
  <c r="G15" i="29" s="1"/>
  <c r="M44" i="2"/>
  <c r="E12" i="29"/>
  <c r="E15" i="29" s="1"/>
  <c r="K44" i="2"/>
  <c r="D12" i="29"/>
  <c r="D15" i="29" s="1"/>
  <c r="P12" i="29"/>
  <c r="I12" i="27"/>
  <c r="I15" i="27" s="1"/>
  <c r="H12" i="27"/>
  <c r="H15" i="27" s="1"/>
  <c r="G44" i="2"/>
  <c r="B12" i="29"/>
  <c r="B15" i="29" s="1"/>
  <c r="K12" i="27"/>
  <c r="K15" i="27" s="1"/>
  <c r="B77" i="27" s="1"/>
  <c r="O44" i="2"/>
  <c r="F12" i="29"/>
  <c r="F15" i="29" s="1"/>
  <c r="AO44" i="2"/>
  <c r="O12" i="29"/>
  <c r="O15" i="29" s="1"/>
  <c r="C77" i="29" s="1"/>
  <c r="I44" i="2"/>
  <c r="C12" i="29"/>
  <c r="C15" i="29" s="1"/>
  <c r="J12" i="27"/>
  <c r="J15" i="27" s="1"/>
  <c r="N12" i="27"/>
  <c r="N15" i="27" s="1"/>
  <c r="E77" i="27" s="1"/>
  <c r="G12" i="27"/>
  <c r="G15" i="27" s="1"/>
  <c r="AD44" i="2"/>
  <c r="L12" i="29"/>
  <c r="L15" i="29" s="1"/>
  <c r="M111" i="1"/>
  <c r="L111" i="1"/>
  <c r="T112" i="1"/>
  <c r="P110" i="1"/>
  <c r="T110" i="1"/>
  <c r="H110" i="1"/>
  <c r="R112" i="1"/>
  <c r="N111" i="1"/>
  <c r="T134" i="1"/>
  <c r="T135" i="1"/>
  <c r="T111" i="1"/>
  <c r="O112" i="1"/>
  <c r="K110" i="1"/>
  <c r="N112" i="1"/>
  <c r="S111" i="1"/>
  <c r="T133" i="1"/>
  <c r="Q112" i="1"/>
  <c r="O111" i="1"/>
  <c r="M112" i="1"/>
  <c r="G110" i="1"/>
  <c r="R111" i="1"/>
  <c r="S112" i="1"/>
  <c r="K111" i="1"/>
  <c r="S110" i="1"/>
  <c r="N133" i="1"/>
  <c r="Z33" i="2"/>
  <c r="Z45" i="2" s="1"/>
  <c r="Z47" i="2" s="1"/>
  <c r="Z55" i="2" s="1"/>
  <c r="W33" i="2"/>
  <c r="W45" i="2" s="1"/>
  <c r="W47" i="2" s="1"/>
  <c r="W55" i="2" s="1"/>
  <c r="M133" i="1"/>
  <c r="O133" i="1"/>
  <c r="AC33" i="2"/>
  <c r="AC45" i="2" s="1"/>
  <c r="AC47" i="2" s="1"/>
  <c r="AC55" i="2" s="1"/>
  <c r="O33" i="2"/>
  <c r="J134" i="1"/>
  <c r="AL33" i="2"/>
  <c r="AL45" i="2" s="1"/>
  <c r="AL47" i="2" s="1"/>
  <c r="AL55" i="2" s="1"/>
  <c r="R133" i="1"/>
  <c r="I33" i="2"/>
  <c r="G134" i="1"/>
  <c r="N134" i="1"/>
  <c r="X33" i="2"/>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M134" i="1"/>
  <c r="G133" i="1"/>
  <c r="J33" i="2"/>
  <c r="J45" i="2" s="1"/>
  <c r="J47" i="2" s="1"/>
  <c r="J55" i="2" s="1"/>
  <c r="L134" i="1"/>
  <c r="S33" i="2"/>
  <c r="S45" i="2" s="1"/>
  <c r="S47" i="2" s="1"/>
  <c r="S55" i="2" s="1"/>
  <c r="AF33" i="2"/>
  <c r="AF45" i="2" s="1"/>
  <c r="AF47" i="2" s="1"/>
  <c r="AF55" i="2" s="1"/>
  <c r="P133" i="1"/>
  <c r="S135" i="1"/>
  <c r="AN33" i="2"/>
  <c r="AN45" i="2" s="1"/>
  <c r="AN47" i="2" s="1"/>
  <c r="AN55" i="2" s="1"/>
  <c r="J133" i="1"/>
  <c r="P33" i="2"/>
  <c r="P45" i="2" s="1"/>
  <c r="P47" i="2" s="1"/>
  <c r="P55" i="2" s="1"/>
  <c r="K134" i="1"/>
  <c r="Q33" i="2"/>
  <c r="AO33" i="2"/>
  <c r="S133" i="1"/>
  <c r="AD33" i="2"/>
  <c r="AD45" i="2" s="1"/>
  <c r="AD47" i="2" s="1"/>
  <c r="AD55" i="2" s="1"/>
  <c r="P134" i="1"/>
  <c r="P112" i="1"/>
  <c r="Q110" i="1"/>
  <c r="Q111" i="1"/>
  <c r="N110" i="1"/>
  <c r="F111" i="1"/>
  <c r="O110" i="1"/>
  <c r="I111" i="1"/>
  <c r="J111" i="1"/>
  <c r="L110" i="1"/>
  <c r="H111" i="1"/>
  <c r="I110" i="1"/>
  <c r="R110" i="1"/>
  <c r="G111" i="1"/>
  <c r="O135" i="1"/>
  <c r="AB33" i="2"/>
  <c r="AB45" i="2" s="1"/>
  <c r="AB47" i="2" s="1"/>
  <c r="AB55" i="2" s="1"/>
  <c r="M33" i="2"/>
  <c r="I134" i="1"/>
  <c r="I133" i="1"/>
  <c r="N33" i="2"/>
  <c r="N45" i="2" s="1"/>
  <c r="N47" i="2" s="1"/>
  <c r="N55" i="2" s="1"/>
  <c r="H133" i="1"/>
  <c r="L33" i="2"/>
  <c r="L45" i="2" s="1"/>
  <c r="L47" i="2" s="1"/>
  <c r="L55" i="2" s="1"/>
  <c r="Q134" i="1"/>
  <c r="AG33" i="2"/>
  <c r="M135" i="1"/>
  <c r="V33" i="2"/>
  <c r="V45" i="2" s="1"/>
  <c r="V47" i="2" s="1"/>
  <c r="V55" i="2" s="1"/>
  <c r="R33" i="2"/>
  <c r="R45" i="2" s="1"/>
  <c r="R47" i="2" s="1"/>
  <c r="R55" i="2" s="1"/>
  <c r="K133" i="1"/>
  <c r="R134" i="1"/>
  <c r="AJ33" i="2"/>
  <c r="H134" i="1"/>
  <c r="K33" i="2"/>
  <c r="K45" i="2" s="1"/>
  <c r="K47" i="2" s="1"/>
  <c r="K55" i="2" s="1"/>
  <c r="F134" i="1"/>
  <c r="G33" i="2"/>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M45" i="2" l="1"/>
  <c r="M47" i="2" s="1"/>
  <c r="M55" i="2" s="1"/>
  <c r="AG45" i="2"/>
  <c r="AG47" i="2" s="1"/>
  <c r="AG55" i="2" s="1"/>
  <c r="G45" i="2"/>
  <c r="G47" i="2" s="1"/>
  <c r="G55" i="2" s="1"/>
  <c r="Q45" i="2"/>
  <c r="Q47" i="2" s="1"/>
  <c r="Q55" i="2" s="1"/>
  <c r="AU45" i="2"/>
  <c r="AU47" i="2" s="1"/>
  <c r="AU55" i="2" s="1"/>
  <c r="U45" i="2"/>
  <c r="U47" i="2" s="1"/>
  <c r="U55" i="2" s="1"/>
  <c r="I113" i="1"/>
  <c r="B21" i="26"/>
  <c r="B20" i="26"/>
  <c r="B22" i="26" s="1"/>
  <c r="B23" i="26" s="1"/>
  <c r="P15" i="29"/>
  <c r="D77" i="29" s="1"/>
  <c r="E77" i="29"/>
  <c r="B81" i="26" a="1"/>
  <c r="B81" i="27" a="1"/>
  <c r="B21" i="27"/>
  <c r="B20" i="27"/>
  <c r="B22" i="27" s="1"/>
  <c r="B23" i="27" s="1"/>
  <c r="I45" i="2"/>
  <c r="I47" i="2" s="1"/>
  <c r="I55" i="2" s="1"/>
  <c r="O45" i="2"/>
  <c r="O47" i="2" s="1"/>
  <c r="O55" i="2" s="1"/>
  <c r="AJ45" i="2"/>
  <c r="AJ47" i="2" s="1"/>
  <c r="AJ55" i="2" s="1"/>
  <c r="AO45" i="2"/>
  <c r="AO47" i="2" s="1"/>
  <c r="AO55" i="2" s="1"/>
  <c r="X45" i="2"/>
  <c r="X47" i="2" s="1"/>
  <c r="X55" i="2" s="1"/>
  <c r="S136" i="1"/>
  <c r="L113" i="1"/>
  <c r="N113" i="1"/>
  <c r="K113" i="1"/>
  <c r="S113" i="1"/>
  <c r="T113" i="1"/>
  <c r="H113" i="1"/>
  <c r="J136" i="1"/>
  <c r="G136" i="1"/>
  <c r="M113" i="1"/>
  <c r="T136" i="1"/>
  <c r="R113" i="1"/>
  <c r="H136" i="1"/>
  <c r="O113" i="1"/>
  <c r="G113" i="1"/>
  <c r="P113" i="1"/>
  <c r="K136" i="1"/>
  <c r="L136" i="1"/>
  <c r="F113" i="1"/>
  <c r="J113" i="1"/>
  <c r="Q136" i="1"/>
  <c r="I136" i="1"/>
  <c r="Q113" i="1"/>
  <c r="R136" i="1"/>
  <c r="N136" i="1"/>
  <c r="P136" i="1"/>
  <c r="F136" i="1"/>
  <c r="O136" i="1"/>
  <c r="M136" i="1"/>
  <c r="B26" i="41" l="1"/>
  <c r="E26" i="41" s="1"/>
  <c r="E27" i="41" s="1"/>
  <c r="C6" i="42" s="1"/>
  <c r="E6" i="42" s="1"/>
  <c r="B19" i="41"/>
  <c r="E19" i="41" s="1"/>
  <c r="B21" i="29"/>
  <c r="B81" i="29" a="1"/>
  <c r="C82" i="29" s="1"/>
  <c r="B20" i="29"/>
  <c r="B22" i="29" s="1"/>
  <c r="B23" i="29" s="1"/>
  <c r="L160" i="1"/>
  <c r="B81" i="27"/>
  <c r="C81" i="27"/>
  <c r="C84" i="27"/>
  <c r="B83" i="27"/>
  <c r="B85" i="27"/>
  <c r="C82" i="27"/>
  <c r="C85" i="27"/>
  <c r="B84" i="27"/>
  <c r="C83" i="27"/>
  <c r="B82" i="27"/>
  <c r="B85" i="26"/>
  <c r="C84" i="26"/>
  <c r="C82" i="26"/>
  <c r="B81" i="26"/>
  <c r="B84" i="26"/>
  <c r="C85" i="26"/>
  <c r="C83" i="26"/>
  <c r="B82" i="26"/>
  <c r="C81" i="26"/>
  <c r="B83" i="26"/>
  <c r="L174" i="1"/>
  <c r="L190" i="1" s="1"/>
  <c r="T114" i="1"/>
  <c r="L114" i="1"/>
  <c r="I174" i="1"/>
  <c r="I190" i="1" s="1"/>
  <c r="T174" i="1"/>
  <c r="T190" i="1" s="1"/>
  <c r="J174" i="1"/>
  <c r="J190" i="1" s="1"/>
  <c r="I160" i="1"/>
  <c r="H114" i="1"/>
  <c r="M174" i="1"/>
  <c r="M190" i="1" s="1"/>
  <c r="I114" i="1"/>
  <c r="T160" i="1"/>
  <c r="O174" i="1"/>
  <c r="O190" i="1" s="1"/>
  <c r="M114" i="1"/>
  <c r="S137" i="1"/>
  <c r="S160" i="1"/>
  <c r="T180" i="1"/>
  <c r="T196" i="1" s="1"/>
  <c r="H164" i="1"/>
  <c r="H180" i="1"/>
  <c r="H196" i="1" s="1"/>
  <c r="N114" i="1"/>
  <c r="O160" i="1"/>
  <c r="M160" i="1"/>
  <c r="T164" i="1"/>
  <c r="I180" i="1"/>
  <c r="I196" i="1" s="1"/>
  <c r="M180" i="1"/>
  <c r="M196" i="1" s="1"/>
  <c r="N174" i="1"/>
  <c r="N190" i="1" s="1"/>
  <c r="K180" i="1"/>
  <c r="K196" i="1" s="1"/>
  <c r="G137" i="1"/>
  <c r="N160" i="1"/>
  <c r="T137" i="1"/>
  <c r="Q174" i="1"/>
  <c r="Q190" i="1" s="1"/>
  <c r="S174" i="1"/>
  <c r="S190" i="1" s="1"/>
  <c r="N180" i="1"/>
  <c r="N196" i="1" s="1"/>
  <c r="Q180" i="1"/>
  <c r="Q196" i="1" s="1"/>
  <c r="L137" i="1"/>
  <c r="S114" i="1"/>
  <c r="R180" i="1"/>
  <c r="R196" i="1" s="1"/>
  <c r="P180" i="1"/>
  <c r="P196" i="1" s="1"/>
  <c r="H137" i="1"/>
  <c r="O180" i="1"/>
  <c r="O196" i="1" s="1"/>
  <c r="P174" i="1"/>
  <c r="P190" i="1" s="1"/>
  <c r="S164" i="1"/>
  <c r="S180" i="1"/>
  <c r="S196" i="1" s="1"/>
  <c r="K114" i="1"/>
  <c r="K174" i="1"/>
  <c r="K190" i="1" s="1"/>
  <c r="K160" i="1"/>
  <c r="R114" i="1"/>
  <c r="R174" i="1"/>
  <c r="R190" i="1" s="1"/>
  <c r="K164" i="1"/>
  <c r="L180" i="1"/>
  <c r="L196" i="1" s="1"/>
  <c r="J164" i="1"/>
  <c r="J180" i="1"/>
  <c r="J196" i="1" s="1"/>
  <c r="L164" i="1"/>
  <c r="K137" i="1"/>
  <c r="G114" i="1"/>
  <c r="H174" i="1"/>
  <c r="H190" i="1" s="1"/>
  <c r="O114" i="1"/>
  <c r="P160" i="1"/>
  <c r="J137" i="1"/>
  <c r="H160" i="1"/>
  <c r="P114" i="1"/>
  <c r="Q137" i="1"/>
  <c r="Q164" i="1"/>
  <c r="N164" i="1"/>
  <c r="N137" i="1"/>
  <c r="Q114" i="1"/>
  <c r="Q160" i="1"/>
  <c r="O164" i="1"/>
  <c r="O137" i="1"/>
  <c r="R164" i="1"/>
  <c r="R137" i="1"/>
  <c r="J114" i="1"/>
  <c r="J160" i="1"/>
  <c r="R160" i="1"/>
  <c r="M164" i="1"/>
  <c r="M137" i="1"/>
  <c r="P137" i="1"/>
  <c r="P164" i="1"/>
  <c r="I137" i="1"/>
  <c r="I164" i="1"/>
  <c r="B21" i="41" l="1"/>
  <c r="E21" i="41" s="1"/>
  <c r="E22" i="41" s="1"/>
  <c r="B82" i="29"/>
  <c r="C83" i="29"/>
  <c r="B85" i="29"/>
  <c r="C85" i="29"/>
  <c r="C84" i="29"/>
  <c r="C81" i="29"/>
  <c r="B83" i="29"/>
  <c r="B84" i="29"/>
  <c r="B81" i="29"/>
  <c r="B88" i="27"/>
  <c r="B89" i="27" s="1"/>
  <c r="B88" i="26"/>
  <c r="B89" i="26" s="1"/>
  <c r="C4" i="42" l="1"/>
  <c r="E4" i="42" s="1"/>
  <c r="E9" i="42" s="1"/>
  <c r="B88" i="29"/>
  <c r="B89" i="29" s="1"/>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3.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<sst xmlns="http://schemas.openxmlformats.org/spreadsheetml/2006/main" count="1637" uniqueCount="295">
  <si>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</si>
  <si>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</si>
  <si>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</si>
  <si>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</si>
  <si>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</si>
  <si>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</si>
  <si>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</si>
  <si>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</si>
  <si>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</si>
  <si>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</si>
  <si>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</si>
  <si>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</si>
  <si>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</si>
  <si>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</si>
  <si>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</si>
  <si>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</si>
  <si>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</si>
  <si>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</si>
  <si>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</si>
  <si>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</si>
  <si>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</si>
  <si>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</si>
  <si>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</si>
  <si>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</si>
  <si>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</si>
  <si>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</si>
  <si>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</si>
  <si>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</si>
  <si>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</si>
  <si>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</si>
  <si>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</si>
  <si>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</si>
  <si>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</si>
  <si>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</si>
  <si>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</si>
  <si>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</si>
  <si>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</si>
  <si>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</si>
  <si>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</si>
  <si>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</si>
  <si>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</si>
  <si>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</si>
  <si>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</si>
  <si>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</si>
  <si>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</si>
  <si>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</si>
  <si>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</si>
  <si>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</si>
  <si>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</si>
  <si>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</si>
  <si>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</si>
  <si>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</si>
  <si>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</si>
  <si>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</si>
  <si>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</si>
  <si>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</si>
  <si>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</si>
  <si>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</si>
  <si>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</si>
  <si>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</si>
  <si>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</si>
  <si>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</si>
  <si>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</si>
  <si>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</si>
  <si>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</si>
  <si>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</si>
  <si>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</si>
  <si>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</si>
  <si>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</si>
  <si>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</si>
  <si>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</si>
  <si>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</si>
  <si>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</si>
  <si>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</si>
  <si>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</si>
  <si>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</si>
  <si>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</si>
  <si>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</si>
  <si>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</si>
  <si>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</si>
  <si>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</si>
  <si>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</si>
  <si>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</si>
  <si>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</si>
  <si>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Revenue</t>
  </si>
  <si>
    <t>Weighted</t>
  </si>
  <si>
    <t>ANNUAL AND COMPOUND GROWTH RATES</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</si>
  <si>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</si>
  <si>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</si>
  <si>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</si>
  <si>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</si>
  <si>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</si>
  <si>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</si>
  <si>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</si>
  <si>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</si>
  <si>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</si>
  <si>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</si>
  <si>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</si>
  <si>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</si>
  <si>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</si>
  <si>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</si>
  <si>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</si>
  <si>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</si>
  <si>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</si>
  <si>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</si>
  <si>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</si>
  <si>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</si>
  <si>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</si>
  <si>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</si>
  <si>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</si>
  <si>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</si>
  <si>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</si>
  <si>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</si>
  <si>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</si>
  <si>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</si>
  <si>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</si>
  <si>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Adjusted Other Revenue</t>
  </si>
  <si>
    <t>2.5 year</t>
  </si>
  <si>
    <t>2 year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</si>
  <si>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</si>
  <si>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</si>
  <si>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</si>
  <si>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</si>
  <si>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</si>
  <si>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</si>
  <si>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</si>
  <si>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</si>
  <si>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</si>
  <si>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</si>
  <si>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</si>
  <si>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(a)</t>
  </si>
  <si>
    <t>(b)</t>
  </si>
  <si>
    <t>Growth Factor</t>
  </si>
  <si>
    <t>Natural Gas Data for Escalators</t>
  </si>
  <si>
    <t>Natural Gas Growth  Rate Analysis and Escalation Factor Calculation</t>
  </si>
  <si>
    <t>7A</t>
  </si>
  <si>
    <t>14A</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</si>
  <si>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</si>
  <si>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</si>
  <si>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</si>
  <si>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</si>
  <si>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</si>
  <si>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</si>
  <si>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</si>
  <si>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</si>
  <si>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</si>
  <si>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</si>
  <si>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</si>
  <si>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</si>
  <si>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</si>
  <si>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</si>
  <si>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</si>
  <si>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</si>
  <si>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</si>
  <si>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</si>
  <si>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</si>
  <si>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</si>
  <si>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</si>
  <si>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</si>
  <si>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</si>
  <si>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</si>
  <si>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</si>
  <si>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</si>
  <si>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</si>
  <si>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</si>
  <si>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</si>
  <si>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</si>
  <si>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</si>
  <si>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</si>
  <si>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</si>
  <si>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</si>
  <si>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</si>
  <si>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Not used due to deminimus values that resulted in extraordinary variablility</t>
  </si>
  <si>
    <t>2012-2013</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</si>
  <si>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</si>
  <si>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</si>
  <si>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</si>
  <si>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</si>
  <si>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Adjusted Depreciation/Amortization</t>
  </si>
  <si>
    <t>Net Plant After Deferred Income Taxes</t>
  </si>
  <si>
    <t>Adjusted Taxes Other than Income</t>
  </si>
  <si>
    <t>Adopted Operating Expense</t>
  </si>
  <si>
    <t xml:space="preserve">       2014  **     </t>
  </si>
  <si>
    <t>2012-2014</t>
  </si>
  <si>
    <t>2013-2014</t>
  </si>
  <si>
    <t>2001-2014</t>
  </si>
  <si>
    <t>2002-2014</t>
  </si>
  <si>
    <t>2003-2014</t>
  </si>
  <si>
    <t>2004-2014</t>
  </si>
  <si>
    <t>2005-2014</t>
  </si>
  <si>
    <t>2006-2014</t>
  </si>
  <si>
    <t>2007-2014</t>
  </si>
  <si>
    <t>2008-2014</t>
  </si>
  <si>
    <t>2009-2014</t>
  </si>
  <si>
    <t>2010-2014</t>
  </si>
  <si>
    <t>2011-2014</t>
  </si>
  <si>
    <t>2 years</t>
  </si>
  <si>
    <t>ADDED</t>
  </si>
  <si>
    <t>Slope</t>
  </si>
  <si>
    <t>Avista-proposed Operating Expense</t>
  </si>
  <si>
    <t>2-year Growth Rate (Linear)</t>
  </si>
  <si>
    <t>Compound Growth Rates to 2014</t>
  </si>
  <si>
    <t>TWELVE MONTHS ENDED DECEMBER 31, 2000 - 2015</t>
  </si>
  <si>
    <t>Eliminate Decoupling Deferred Revenue and Provision for Rate Refund</t>
  </si>
  <si>
    <t>NATURAL GAS COST AND REVENUE TREND CALCULATIONS 2007-2015</t>
  </si>
  <si>
    <t xml:space="preserve">Cost / Rate Base Category: </t>
  </si>
  <si>
    <t>-</t>
  </si>
  <si>
    <t>Remove Gas Cost</t>
  </si>
  <si>
    <t>Statistics (Over Highlighted Period)</t>
  </si>
  <si>
    <t>Annual Growth Rate (% of 2015)</t>
  </si>
  <si>
    <t>DATA SELECTION</t>
  </si>
  <si>
    <t>Year</t>
  </si>
  <si>
    <t>Use in Trendline? (1 = Y)</t>
  </si>
  <si>
    <t>Count</t>
  </si>
  <si>
    <t>Reorder</t>
  </si>
  <si>
    <t>Reordered Year</t>
  </si>
  <si>
    <t>Reordered Cost Data</t>
  </si>
  <si>
    <t>LINEST STATS</t>
  </si>
  <si>
    <t>Intercept</t>
  </si>
  <si>
    <t>SE Slope</t>
  </si>
  <si>
    <t>SE Intercept</t>
  </si>
  <si>
    <t>R Square</t>
  </si>
  <si>
    <t>SE Est.</t>
  </si>
  <si>
    <t>F</t>
  </si>
  <si>
    <t>df Res</t>
  </si>
  <si>
    <t>SS Reg</t>
  </si>
  <si>
    <t>SS Res</t>
  </si>
  <si>
    <t>t stat</t>
  </si>
  <si>
    <t>P-value</t>
  </si>
  <si>
    <t>Underground Storage Operating Expense</t>
  </si>
  <si>
    <t>Underground Storage Depreciation and Amortization</t>
  </si>
  <si>
    <t>Underground Storage Taxes</t>
  </si>
  <si>
    <t>Distribution Operating Expenses</t>
  </si>
  <si>
    <t>Less Gas Cost Taxes</t>
  </si>
  <si>
    <t>Customer Accounting and Sales</t>
  </si>
  <si>
    <t xml:space="preserve">Less: DSM, Decoupling and Gas Cost </t>
  </si>
  <si>
    <t>Less: DSM Expense</t>
  </si>
  <si>
    <t xml:space="preserve">Administrative and General Operations Expense </t>
  </si>
  <si>
    <t xml:space="preserve">A&amp;G Operations Expense </t>
  </si>
  <si>
    <t>Less DSM and Gas Costs</t>
  </si>
  <si>
    <t>Administrative and General Depreciation Expense</t>
  </si>
  <si>
    <t>A&amp;G Depreciation</t>
  </si>
  <si>
    <t>Less: Decoupling Amort.</t>
  </si>
  <si>
    <t>Undgerground Storage Net Plant</t>
  </si>
  <si>
    <t>Gross Plant</t>
  </si>
  <si>
    <t xml:space="preserve">Depreciation Reserve </t>
  </si>
  <si>
    <t>Distribution Net Plant</t>
  </si>
  <si>
    <t>General Net Plant</t>
  </si>
  <si>
    <t>Accumulated Deferred Income Taxes</t>
  </si>
  <si>
    <t xml:space="preserve">Escalation Rate Evaluation </t>
  </si>
  <si>
    <t>Selected trend period highlighted green and displayed as green dots in figure</t>
  </si>
  <si>
    <t>Slope of Best-Fit Line</t>
  </si>
  <si>
    <t>R-Squared of Best Fit</t>
  </si>
  <si>
    <t>Narrative</t>
  </si>
  <si>
    <t>Distribution Depreciation Expense</t>
  </si>
  <si>
    <t>Underground Storage Taxes Other Than Income Taxes</t>
  </si>
  <si>
    <t>Distribution Taxes Other Than Income Taxes</t>
  </si>
  <si>
    <t xml:space="preserve">       2015  **     </t>
  </si>
  <si>
    <t>2017</t>
  </si>
  <si>
    <t>2018</t>
  </si>
  <si>
    <t>Growth Rate Calculations</t>
  </si>
  <si>
    <t xml:space="preserve">Growth </t>
  </si>
  <si>
    <t xml:space="preserve">Account </t>
  </si>
  <si>
    <t xml:space="preserve">Rate </t>
  </si>
  <si>
    <t xml:space="preserve">Amount </t>
  </si>
  <si>
    <t>Depreciation Expense</t>
  </si>
  <si>
    <t>General</t>
  </si>
  <si>
    <t>Operations Expense</t>
  </si>
  <si>
    <t>General and Administrative</t>
  </si>
  <si>
    <t>Taxes Other than Income Taxes</t>
  </si>
  <si>
    <t>Net Plant</t>
  </si>
  <si>
    <t xml:space="preserve">General  </t>
  </si>
  <si>
    <t>ADIT</t>
  </si>
  <si>
    <t>Underground</t>
  </si>
  <si>
    <t>Natural Gas                                                        Revenue Growth Rate Calculation - Rate Year 2:</t>
  </si>
  <si>
    <t>(c)</t>
  </si>
  <si>
    <t>Category</t>
  </si>
  <si>
    <t>Revenue Portion of Category</t>
  </si>
  <si>
    <t>Growth Rate %              (a) x (b)</t>
  </si>
  <si>
    <r>
      <t>Operating Expenses</t>
    </r>
    <r>
      <rPr>
        <b/>
        <vertAlign val="superscript"/>
        <sz val="12"/>
        <color theme="1"/>
        <rFont val="Times New Roman"/>
        <family val="1"/>
      </rPr>
      <t xml:space="preserve"> (1)</t>
    </r>
  </si>
  <si>
    <t>Taxes Other than Income</t>
  </si>
  <si>
    <t>Net Plant After ADFIT</t>
  </si>
  <si>
    <t xml:space="preserve">Annual Growth In Sales Revenue </t>
  </si>
  <si>
    <t xml:space="preserve"> Total Revenue Growth Rate % </t>
  </si>
  <si>
    <r>
      <rPr>
        <b/>
        <vertAlign val="superscript"/>
        <sz val="10"/>
        <rFont val="Times New Roman"/>
        <family val="1"/>
      </rPr>
      <t>(1)</t>
    </r>
    <r>
      <rPr>
        <b/>
        <sz val="10"/>
        <rFont val="Times New Roman"/>
        <family val="1"/>
      </rPr>
      <t xml:space="preserve"> Reflects a 30 basis points efficiency adjustment in O&amp;M expenses.</t>
    </r>
  </si>
  <si>
    <t>Purchased Gas</t>
  </si>
  <si>
    <t>Customer Service</t>
  </si>
  <si>
    <t>UG Storage</t>
  </si>
  <si>
    <t xml:space="preserve">Distribution </t>
  </si>
  <si>
    <t>1-year Growth Rate</t>
  </si>
  <si>
    <t>Avista Gas Services Revenue Growth Study</t>
  </si>
  <si>
    <t>Revenue Growth Rate Analysis - Gas Services</t>
  </si>
  <si>
    <t>Growth 
Rate</t>
  </si>
  <si>
    <t xml:space="preserve"> Rate</t>
  </si>
  <si>
    <t xml:space="preserve">Weighting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</si>
</sst>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 #,##0_);_(* \(#,##0\);_(* &quot;-&quot;??_);_(@_)"/>
    <numFmt numFmtId="166" formatCode="0.0000"/>
    <numFmt numFmtId="167" formatCode="[$-409]mmm\-yy;@"/>
    <numFmt numFmtId="168" formatCode="0.0%"/>
    <numFmt numFmtId="169" formatCode="[$-F800]dddd\,\ mmmm\ dd\,\ yyyy"/>
    <numFmt numFmtId="170" formatCode="mmmm\ d\,\ yyyy"/>
    <numFmt numFmtId="171" formatCode="[$-409]mmmm\-yy;@"/>
    <numFmt numFmtId="172" formatCode="#,##0_%_);\(#,##0\)_%;#,##0_%_);@_%_)"/>
    <numFmt numFmtId="173" formatCode="_._.* #,##0.0_)_%;_._.* \(#,##0.0\)_%"/>
    <numFmt numFmtId="174" formatCode="_._.* #,##0.00_)_%;_._.* \(#,##0.00\)_%"/>
    <numFmt numFmtId="175" formatCode="_._.* #,##0.000_)_%;_._.* \(#,##0.000\)_%"/>
    <numFmt numFmtId="176" formatCode="_(* #,##0.00_);_(* \(\ #,##0.00\ \);_(* &quot;-&quot;??_);_(\ @_ \)"/>
    <numFmt numFmtId="177" formatCode="_._.* #,##0_)_%;_._.* #,##0_)_%;_._.* 0_)_%;_._.@_)_%"/>
    <numFmt numFmtId="178" formatCode="_._.&quot;$&quot;* #,##0.0_)_%;_._.&quot;$&quot;* \(#,##0.0\)_%"/>
    <numFmt numFmtId="179" formatCode="_._.&quot;$&quot;* #,##0.00_)_%;_._.&quot;$&quot;* \(#,##0.00\)_%"/>
    <numFmt numFmtId="180" formatCode="_._.&quot;$&quot;* #,##0.000_)_%;_._.&quot;$&quot;* \(#,##0.000\)_%"/>
    <numFmt numFmtId="181" formatCode="_._.&quot;$&quot;* #,###_)_%;_._.&quot;$&quot;* #,###_)_%;_._.&quot;$&quot;* 0_)_%;_._.@_)_%"/>
    <numFmt numFmtId="182" formatCode="#,###,##0.00;\(#,###,##0.00\)"/>
    <numFmt numFmtId="183" formatCode="#,###,##0;\(#,###,##0\)"/>
    <numFmt numFmtId="184" formatCode="0.0"/>
    <numFmt numFmtId="185" formatCode="_(&quot;$&quot;* #,##0.0_);_(&quot;$&quot;* \(#,##0.0\);_(&quot;$&quot;* &quot;-&quot;??_);_(@_)"/>
    <numFmt numFmtId="186" formatCode="&quot;$&quot;#,###,##0.00;\(&quot;$&quot;#,###,##0.00\)"/>
    <numFmt numFmtId="187" formatCode="&quot;$&quot;#,###,##0;\(&quot;$&quot;#,###,##0\)"/>
    <numFmt numFmtId="188" formatCode="#,##0.00%;\(#,##0.00%\)"/>
    <numFmt numFmtId="189" formatCode="_(0_)%;\(0\)%"/>
    <numFmt numFmtId="190" formatCode="_._._(* 0_)%;_._.* \(0\)%"/>
    <numFmt numFmtId="191" formatCode="_(0.0_)%;\(0.0\)%"/>
    <numFmt numFmtId="192" formatCode="_._._(* 0.0_)%;_._.* \(0.0\)%"/>
    <numFmt numFmtId="193" formatCode="_(0.00_)%;\(0.00\)%"/>
    <numFmt numFmtId="194" formatCode="_._._(* 0.00_)%;_._.* \(0.00\)%"/>
    <numFmt numFmtId="195" formatCode="_(0.000_)%;\(0.000\)%"/>
    <numFmt numFmtId="196" formatCode="_._._(* 0.000_)%;_._.* \(0.000\)%"/>
    <numFmt numFmtId="197" formatCode="_(0.0000_)%;\(0.0000\)%"/>
    <numFmt numFmtId="198" formatCode="_._._(* 0.0000_)%;_._.* \(0.0000\)%"/>
    <numFmt numFmtId="199" formatCode="_(* #,##0_);_(* \(#,##0\);_(* 0_);_(@_)"/>
    <numFmt numFmtId="200" formatCode="_(* #,##0.0_);_(* \(#,##0.0\)"/>
    <numFmt numFmtId="201" formatCode="_(* #,##0.00_);_(* \(#,##0.00\)"/>
    <numFmt numFmtId="202" formatCode="_(* #,##0.000_);_(* \(#,##0.000\)"/>
    <numFmt numFmtId="203" formatCode="_(&quot;$&quot;* #,##0_);_(&quot;$&quot;* \(#,##0\);_(&quot;$&quot;* 0_);_(@_)"/>
    <numFmt numFmtId="204" formatCode="_(&quot;$&quot;* #,##0.0_);_(&quot;$&quot;* \(#,##0.0\)"/>
    <numFmt numFmtId="205" formatCode="_(&quot;$&quot;* #,##0.00_);_(&quot;$&quot;* \(#,##0.00\)"/>
    <numFmt numFmtId="206" formatCode="_(&quot;$&quot;* #,##0.000_);_(&quot;$&quot;* \(#,##0.000\)"/>
    <numFmt numFmtId="207" formatCode="#,##0.0_x_x"/>
    <numFmt numFmtId="208" formatCode="&quot;$&quot;#,##0\ ;\(&quot;$&quot;#,##0\)"/>
    <numFmt numFmtId="209" formatCode="#,##0.00;[Red]\(#,##0.00\)"/>
    <numFmt numFmtId="210" formatCode="_(* #,##0.00000_);_(* \(#,##0.00000\);_(* &quot;-&quot;_);_(@_)"/>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sz val="10"/>
      <name val="Times New Roman"/>
      <family val="1"/>
    </font>
    <font>
      <i/>
      <sz val="10"/>
      <name val="Times New Roman"/>
      <family val="1"/>
    </font>
    <font>
      <sz val="11"/>
      <color indexed="8"/>
      <name val="Calibri"/>
      <family val="2"/>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0"/>
      <color theme="1"/>
      <name val="Times New Roman"/>
      <family val="1"/>
    </font>
    <font>
      <sz val="8"/>
      <name val="Arial"/>
      <family val="2"/>
    </font>
    <font>
      <b/>
      <sz val="8"/>
      <name val="Arial"/>
      <family val="2"/>
    </font>
    <font>
      <b/>
      <sz val="9"/>
      <name val="Arial"/>
      <family val="2"/>
    </font>
    <font>
      <sz val="8"/>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b/>
      <u/>
      <sz val="10"/>
      <name val="Arial"/>
      <family val="2"/>
    </font>
    <font>
      <b/>
      <sz val="12"/>
      <name val="Arial"/>
      <family val="2"/>
    </font>
    <font>
      <i/>
      <sz val="10"/>
      <name val="Arial"/>
      <family val="2"/>
    </font>
    <font>
      <sz val="12"/>
      <color theme="1"/>
      <name val="Times New Roman"/>
      <family val="1"/>
    </font>
    <font>
      <b/>
      <sz val="12"/>
      <color theme="1"/>
      <name val="Times New Roman"/>
      <family val="1"/>
    </font>
    <font>
      <u/>
      <sz val="12"/>
      <name val="Arial"/>
      <family val="2"/>
    </font>
    <font>
      <i/>
      <sz val="12"/>
      <name val="Arial"/>
      <family val="2"/>
    </font>
    <font>
      <b/>
      <u/>
      <sz val="12"/>
      <name val="Arial"/>
      <family val="2"/>
    </font>
    <font>
      <b/>
      <u/>
      <sz val="12"/>
      <name val="Times New Roman"/>
      <family val="1"/>
    </font>
    <font>
      <u/>
      <sz val="10"/>
      <name val="Times New Roman"/>
      <family val="1"/>
    </font>
    <font>
      <i/>
      <sz val="12"/>
      <name val="Times New Roman"/>
      <family val="1"/>
    </font>
    <font>
      <b/>
      <vertAlign val="superscript"/>
      <sz val="12"/>
      <color theme="1"/>
      <name val="Times New Roman"/>
      <family val="1"/>
    </font>
    <font>
      <b/>
      <vertAlign val="superscript"/>
      <sz val="10"/>
      <name val="Times New Roman"/>
      <family val="1"/>
    </font>
  </fonts>
  <fills count="7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1CCE5"/>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085">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29" fillId="0" borderId="0" applyFont="0" applyFill="0" applyBorder="0" applyAlignment="0" applyProtection="0"/>
    <xf numFmtId="43" fontId="29"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3" fillId="0" borderId="0" applyFont="0" applyFill="0" applyBorder="0" applyAlignment="0" applyProtection="0"/>
    <xf numFmtId="44" fontId="8" fillId="0" borderId="0" applyFont="0" applyFill="0" applyBorder="0" applyAlignment="0" applyProtection="0"/>
    <xf numFmtId="44" fontId="33"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0" fontId="27" fillId="0" borderId="0"/>
    <xf numFmtId="9" fontId="11" fillId="0" borderId="0" applyFont="0" applyFill="0" applyBorder="0" applyAlignment="0" applyProtection="0"/>
    <xf numFmtId="9" fontId="27" fillId="0" borderId="0" applyFont="0" applyFill="0" applyBorder="0" applyAlignment="0" applyProtection="0"/>
    <xf numFmtId="38" fontId="34" fillId="0" borderId="0" applyNumberFormat="0" applyFont="0" applyFill="0" applyBorder="0">
      <alignment horizontal="left" indent="4"/>
      <protection locked="0"/>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0" fontId="36" fillId="0" borderId="23">
      <alignment horizontal="center"/>
    </xf>
    <xf numFmtId="3" fontId="35" fillId="0" borderId="0" applyFont="0" applyFill="0" applyBorder="0" applyAlignment="0" applyProtection="0"/>
    <xf numFmtId="0" fontId="35" fillId="4" borderId="0" applyNumberFormat="0" applyFont="0" applyBorder="0" applyAlignment="0" applyProtection="0"/>
    <xf numFmtId="165" fontId="33"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60" fillId="0" borderId="26"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61"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62" fillId="0" borderId="0" applyBorder="0">
      <alignment horizontal="centerContinuous"/>
    </xf>
    <xf numFmtId="0" fontId="63" fillId="0" borderId="0" applyBorder="0">
      <alignment horizontal="centerContinuous"/>
    </xf>
    <xf numFmtId="0" fontId="64" fillId="39" borderId="0">
      <alignment horizontal="right"/>
    </xf>
    <xf numFmtId="0" fontId="63" fillId="39" borderId="7"/>
    <xf numFmtId="9" fontId="22" fillId="0" borderId="0" applyFont="0" applyFill="0" applyBorder="0" applyAlignment="0" applyProtection="0"/>
    <xf numFmtId="42" fontId="8" fillId="0" borderId="0" applyFont="0" applyFill="0" applyBorder="0" applyAlignment="0" applyProtection="0"/>
    <xf numFmtId="0" fontId="65" fillId="40" borderId="0">
      <alignment horizontal="left"/>
    </xf>
    <xf numFmtId="0" fontId="67" fillId="40" borderId="0">
      <alignment horizontal="right"/>
    </xf>
    <xf numFmtId="0" fontId="67" fillId="40" borderId="0">
      <alignment horizontal="center"/>
    </xf>
    <xf numFmtId="0" fontId="67" fillId="40" borderId="0">
      <alignment horizontal="right"/>
    </xf>
    <xf numFmtId="0" fontId="68"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5" fillId="40" borderId="0">
      <alignment horizontal="left"/>
    </xf>
    <xf numFmtId="0" fontId="65"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70"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65" fillId="40" borderId="0">
      <alignment horizontal="center"/>
    </xf>
    <xf numFmtId="49" fontId="71" fillId="40" borderId="0">
      <alignment horizontal="center"/>
    </xf>
    <xf numFmtId="0" fontId="67" fillId="40" borderId="0">
      <alignment horizontal="center"/>
    </xf>
    <xf numFmtId="0" fontId="67" fillId="40" borderId="0">
      <alignment horizontal="centerContinuous"/>
    </xf>
    <xf numFmtId="0" fontId="72" fillId="40" borderId="0">
      <alignment horizontal="left"/>
    </xf>
    <xf numFmtId="49" fontId="72" fillId="40" borderId="0">
      <alignment horizontal="center"/>
    </xf>
    <xf numFmtId="0" fontId="65" fillId="40" borderId="0">
      <alignment horizontal="left"/>
    </xf>
    <xf numFmtId="49" fontId="72" fillId="40" borderId="0">
      <alignment horizontal="left"/>
    </xf>
    <xf numFmtId="0" fontId="65" fillId="40" borderId="0">
      <alignment horizontal="centerContinuous"/>
    </xf>
    <xf numFmtId="0" fontId="65" fillId="40" borderId="0">
      <alignment horizontal="right"/>
    </xf>
    <xf numFmtId="49" fontId="65" fillId="40" borderId="0">
      <alignment horizontal="left"/>
    </xf>
    <xf numFmtId="0" fontId="67" fillId="40" borderId="0">
      <alignment horizontal="right"/>
    </xf>
    <xf numFmtId="0" fontId="72" fillId="41" borderId="0">
      <alignment horizontal="center"/>
    </xf>
    <xf numFmtId="0" fontId="43" fillId="41" borderId="0">
      <alignment horizontal="center"/>
    </xf>
    <xf numFmtId="0" fontId="73"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47" fillId="0" borderId="26" applyNumberFormat="0" applyFill="0" applyAlignment="0" applyProtection="0"/>
    <xf numFmtId="43" fontId="3" fillId="0" borderId="0" applyFont="0" applyFill="0" applyBorder="0" applyAlignment="0" applyProtection="0"/>
    <xf numFmtId="167" fontId="27" fillId="42" borderId="0" applyFont="0" applyFill="0" applyBorder="0" applyAlignment="0" applyProtection="0"/>
    <xf numFmtId="0" fontId="3" fillId="0" borderId="0"/>
    <xf numFmtId="0" fontId="22" fillId="0" borderId="0"/>
    <xf numFmtId="0" fontId="60" fillId="0" borderId="26"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66"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29"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29"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29"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29"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29"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29"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29"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29"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9"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29" fillId="52"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53" borderId="0" applyNumberFormat="0" applyBorder="0" applyAlignment="0" applyProtection="0"/>
    <xf numFmtId="0" fontId="74" fillId="53"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74" fillId="50"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51" borderId="0" applyNumberFormat="0" applyBorder="0" applyAlignment="0" applyProtection="0"/>
    <xf numFmtId="0" fontId="74" fillId="51"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54" borderId="0" applyNumberFormat="0" applyBorder="0" applyAlignment="0" applyProtection="0"/>
    <xf numFmtId="0" fontId="74" fillId="5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74" fillId="5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56" borderId="0" applyNumberFormat="0" applyBorder="0" applyAlignment="0" applyProtection="0"/>
    <xf numFmtId="0" fontId="74" fillId="56"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57" borderId="0" applyNumberFormat="0" applyBorder="0" applyAlignment="0" applyProtection="0"/>
    <xf numFmtId="0" fontId="74" fillId="5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58" borderId="0" applyNumberFormat="0" applyBorder="0" applyAlignment="0" applyProtection="0"/>
    <xf numFmtId="0" fontId="74" fillId="58"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59" borderId="0" applyNumberFormat="0" applyBorder="0" applyAlignment="0" applyProtection="0"/>
    <xf numFmtId="0" fontId="74" fillId="59"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54" borderId="0" applyNumberFormat="0" applyBorder="0" applyAlignment="0" applyProtection="0"/>
    <xf numFmtId="0" fontId="74" fillId="54"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74" fillId="5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74" fillId="60" borderId="0" applyNumberFormat="0" applyBorder="0" applyAlignment="0" applyProtection="0"/>
    <xf numFmtId="171" fontId="75" fillId="61" borderId="0" applyNumberFormat="0" applyBorder="0" applyAlignment="0" applyProtection="0"/>
    <xf numFmtId="171" fontId="76" fillId="62" borderId="0" applyNumberFormat="0" applyBorder="0" applyAlignment="0" applyProtection="0"/>
    <xf numFmtId="171" fontId="76" fillId="62"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77" fillId="9" borderId="0" applyNumberFormat="0" applyBorder="0" applyAlignment="0" applyProtection="0"/>
    <xf numFmtId="0" fontId="78" fillId="44" borderId="0" applyNumberFormat="0" applyBorder="0" applyAlignment="0" applyProtection="0"/>
    <xf numFmtId="0" fontId="27" fillId="0" borderId="0" applyFill="0" applyBorder="0" applyAlignment="0" applyProtection="0"/>
    <xf numFmtId="0" fontId="53" fillId="12" borderId="27" applyNumberFormat="0" applyAlignment="0" applyProtection="0"/>
    <xf numFmtId="0" fontId="53" fillId="12" borderId="27" applyNumberFormat="0" applyAlignment="0" applyProtection="0"/>
    <xf numFmtId="0" fontId="53" fillId="12" borderId="27" applyNumberFormat="0" applyAlignment="0" applyProtection="0"/>
    <xf numFmtId="0" fontId="53" fillId="63" borderId="27" applyNumberFormat="0" applyAlignment="0" applyProtection="0"/>
    <xf numFmtId="0" fontId="79" fillId="63" borderId="33" applyNumberFormat="0" applyAlignment="0" applyProtection="0"/>
    <xf numFmtId="0" fontId="41" fillId="0" borderId="0" applyFill="0" applyBorder="0" applyProtection="0">
      <alignment horizontal="center" vertical="center"/>
    </xf>
    <xf numFmtId="0" fontId="42" fillId="0" borderId="0" applyFill="0" applyBorder="0" applyProtection="0">
      <alignment horizontal="center"/>
      <protection locked="0"/>
    </xf>
    <xf numFmtId="0" fontId="41" fillId="0" borderId="0" applyFill="0" applyBorder="0" applyProtection="0">
      <alignment horizontal="center" vertical="center"/>
    </xf>
    <xf numFmtId="0" fontId="55" fillId="13" borderId="30" applyNumberFormat="0" applyAlignment="0" applyProtection="0"/>
    <xf numFmtId="0" fontId="55" fillId="13" borderId="30" applyNumberFormat="0" applyAlignment="0" applyProtection="0"/>
    <xf numFmtId="0" fontId="55" fillId="13" borderId="30" applyNumberFormat="0" applyAlignment="0" applyProtection="0"/>
    <xf numFmtId="0" fontId="80" fillId="64" borderId="34" applyNumberFormat="0" applyAlignment="0" applyProtection="0"/>
    <xf numFmtId="0" fontId="81" fillId="0" borderId="23">
      <alignment horizontal="center"/>
    </xf>
    <xf numFmtId="172" fontId="82" fillId="0" borderId="0" applyFont="0" applyFill="0" applyBorder="0" applyAlignment="0" applyProtection="0">
      <alignment horizontal="right"/>
    </xf>
    <xf numFmtId="173" fontId="10" fillId="0" borderId="0" applyFont="0" applyFill="0" applyBorder="0" applyAlignment="0" applyProtection="0"/>
    <xf numFmtId="174" fontId="83" fillId="0" borderId="0" applyFont="0" applyFill="0" applyBorder="0" applyAlignment="0" applyProtection="0"/>
    <xf numFmtId="175"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6"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29"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alignment vertical="top"/>
    </xf>
    <xf numFmtId="43" fontId="66" fillId="0" borderId="0" applyFont="0" applyFill="0" applyBorder="0" applyAlignment="0" applyProtection="0">
      <alignment vertical="top"/>
    </xf>
    <xf numFmtId="43" fontId="66"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6" fontId="8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6" fontId="87"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7" fontId="10" fillId="0" borderId="0">
      <protection locked="0"/>
    </xf>
    <xf numFmtId="0" fontId="88" fillId="0" borderId="0" applyFill="0" applyBorder="0" applyAlignment="0" applyProtection="0"/>
    <xf numFmtId="0" fontId="89" fillId="0" borderId="0" applyFill="0" applyBorder="0" applyAlignment="0" applyProtection="0">
      <protection locked="0"/>
    </xf>
    <xf numFmtId="0" fontId="88" fillId="0" borderId="0" applyFill="0" applyBorder="0" applyAlignment="0" applyProtection="0"/>
    <xf numFmtId="178" fontId="83" fillId="0" borderId="0" applyFont="0" applyFill="0" applyBorder="0" applyAlignment="0" applyProtection="0"/>
    <xf numFmtId="179" fontId="83" fillId="0" borderId="0" applyFont="0" applyFill="0" applyBorder="0" applyAlignment="0" applyProtection="0"/>
    <xf numFmtId="180" fontId="8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1" fontId="10" fillId="0" borderId="0">
      <protection locked="0"/>
    </xf>
    <xf numFmtId="170" fontId="90" fillId="0" borderId="0" applyFont="0" applyFill="0" applyBorder="0" applyAlignment="0" applyProtection="0"/>
    <xf numFmtId="171" fontId="91" fillId="0"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2" fillId="0" borderId="0" applyNumberFormat="0" applyFill="0" applyBorder="0" applyAlignment="0" applyProtection="0"/>
    <xf numFmtId="182" fontId="93" fillId="0" borderId="0"/>
    <xf numFmtId="183" fontId="93" fillId="0" borderId="0"/>
    <xf numFmtId="165" fontId="93" fillId="0" borderId="0"/>
    <xf numFmtId="183" fontId="93" fillId="0" borderId="0"/>
    <xf numFmtId="184" fontId="93" fillId="0" borderId="0"/>
    <xf numFmtId="184" fontId="93" fillId="0" borderId="0"/>
    <xf numFmtId="182" fontId="93" fillId="0" borderId="0"/>
    <xf numFmtId="185" fontId="93" fillId="0" borderId="0"/>
    <xf numFmtId="186" fontId="93" fillId="0" borderId="0"/>
    <xf numFmtId="187" fontId="93" fillId="0" borderId="0"/>
    <xf numFmtId="188" fontId="93" fillId="0" borderId="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4" fillId="45" borderId="0" applyNumberFormat="0" applyBorder="0" applyAlignment="0" applyProtection="0"/>
    <xf numFmtId="0" fontId="45" fillId="0" borderId="24" applyNumberFormat="0" applyFill="0" applyAlignment="0" applyProtection="0"/>
    <xf numFmtId="0" fontId="45" fillId="0" borderId="24" applyNumberFormat="0" applyFill="0" applyAlignment="0" applyProtection="0"/>
    <xf numFmtId="0" fontId="45" fillId="0" borderId="24" applyNumberFormat="0" applyFill="0" applyAlignment="0" applyProtection="0"/>
    <xf numFmtId="0" fontId="95" fillId="0" borderId="35" applyNumberFormat="0" applyFill="0" applyAlignment="0" applyProtection="0"/>
    <xf numFmtId="0" fontId="96" fillId="0" borderId="3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97" fillId="0" borderId="25" applyNumberFormat="0" applyFill="0" applyAlignment="0" applyProtection="0"/>
    <xf numFmtId="0" fontId="98" fillId="0" borderId="3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99" fillId="0" borderId="37" applyNumberFormat="0" applyFill="0" applyAlignment="0" applyProtection="0"/>
    <xf numFmtId="0" fontId="100" fillId="0" borderId="37"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23" fillId="0" borderId="0" applyFill="0" applyAlignment="0" applyProtection="0"/>
    <xf numFmtId="0" fontId="42" fillId="0" borderId="0" applyFill="0" applyAlignment="0" applyProtection="0">
      <protection locked="0"/>
    </xf>
    <xf numFmtId="0" fontId="23" fillId="0" borderId="0" applyFill="0" applyAlignment="0" applyProtection="0"/>
    <xf numFmtId="0" fontId="23" fillId="0" borderId="10" applyFill="0" applyAlignment="0" applyProtection="0"/>
    <xf numFmtId="0" fontId="42" fillId="0" borderId="10" applyFill="0" applyAlignment="0" applyProtection="0">
      <protection locked="0"/>
    </xf>
    <xf numFmtId="0" fontId="23" fillId="0" borderId="10" applyFill="0" applyAlignment="0" applyProtection="0"/>
    <xf numFmtId="0" fontId="42" fillId="0" borderId="0" applyFill="0" applyAlignment="0" applyProtection="0"/>
    <xf numFmtId="171" fontId="101" fillId="39" borderId="0" applyNumberFormat="0" applyBorder="0" applyAlignment="0" applyProtection="0"/>
    <xf numFmtId="0" fontId="51" fillId="11" borderId="27" applyNumberFormat="0" applyAlignment="0" applyProtection="0"/>
    <xf numFmtId="0" fontId="51" fillId="11" borderId="27" applyNumberFormat="0" applyAlignment="0" applyProtection="0"/>
    <xf numFmtId="0" fontId="51" fillId="11" borderId="27" applyNumberFormat="0" applyAlignment="0" applyProtection="0"/>
    <xf numFmtId="0" fontId="102" fillId="48" borderId="33" applyNumberFormat="0" applyAlignment="0" applyProtection="0"/>
    <xf numFmtId="171" fontId="76" fillId="3" borderId="0" applyNumberFormat="0" applyBorder="0" applyAlignment="0" applyProtection="0"/>
    <xf numFmtId="171" fontId="76" fillId="3" borderId="0" applyNumberFormat="0" applyBorder="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103" fillId="0" borderId="38" applyNumberFormat="0" applyFill="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104" fillId="65" borderId="0" applyNumberFormat="0" applyBorder="0" applyAlignment="0" applyProtection="0"/>
    <xf numFmtId="171" fontId="22" fillId="0" borderId="0"/>
    <xf numFmtId="171" fontId="22" fillId="0" borderId="0"/>
    <xf numFmtId="171" fontId="22" fillId="0" borderId="0"/>
    <xf numFmtId="171"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71" fontId="22" fillId="0" borderId="0"/>
    <xf numFmtId="171" fontId="22" fillId="0" borderId="0"/>
    <xf numFmtId="171" fontId="22" fillId="0" borderId="0"/>
    <xf numFmtId="171"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71" fontId="22" fillId="0" borderId="0"/>
    <xf numFmtId="171" fontId="22" fillId="0" borderId="0"/>
    <xf numFmtId="171" fontId="22" fillId="0" borderId="0"/>
    <xf numFmtId="171"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171" fontId="22" fillId="0" borderId="0"/>
    <xf numFmtId="171" fontId="22" fillId="0" borderId="0"/>
    <xf numFmtId="171" fontId="22" fillId="0" borderId="0"/>
    <xf numFmtId="171" fontId="22" fillId="0" borderId="0"/>
    <xf numFmtId="0" fontId="3" fillId="0" borderId="0"/>
    <xf numFmtId="0" fontId="3" fillId="0" borderId="0"/>
    <xf numFmtId="0" fontId="3" fillId="0" borderId="0"/>
    <xf numFmtId="171" fontId="22" fillId="0" borderId="0"/>
    <xf numFmtId="171" fontId="22" fillId="0" borderId="0"/>
    <xf numFmtId="171" fontId="22" fillId="0" borderId="0"/>
    <xf numFmtId="171" fontId="22" fillId="0" borderId="0"/>
    <xf numFmtId="0" fontId="3" fillId="0" borderId="0"/>
    <xf numFmtId="0" fontId="3" fillId="0" borderId="0"/>
    <xf numFmtId="0" fontId="3" fillId="0" borderId="0"/>
    <xf numFmtId="0" fontId="3" fillId="0" borderId="0"/>
    <xf numFmtId="0" fontId="3" fillId="0" borderId="0"/>
    <xf numFmtId="0" fontId="3" fillId="0" borderId="0"/>
    <xf numFmtId="171" fontId="22" fillId="0" borderId="0"/>
    <xf numFmtId="171" fontId="22" fillId="0" borderId="0"/>
    <xf numFmtId="171" fontId="22" fillId="0" borderId="0"/>
    <xf numFmtId="171" fontId="22" fillId="0" borderId="0"/>
    <xf numFmtId="0" fontId="3" fillId="0" borderId="0"/>
    <xf numFmtId="0" fontId="3" fillId="0" borderId="0"/>
    <xf numFmtId="169" fontId="22" fillId="0" borderId="0"/>
    <xf numFmtId="169" fontId="22" fillId="0" borderId="0"/>
    <xf numFmtId="169" fontId="22" fillId="0" borderId="0"/>
    <xf numFmtId="169"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4" fillId="0" borderId="0"/>
    <xf numFmtId="171" fontId="8" fillId="0" borderId="0"/>
    <xf numFmtId="0" fontId="84" fillId="0" borderId="0"/>
    <xf numFmtId="0" fontId="3" fillId="0" borderId="0"/>
    <xf numFmtId="0" fontId="84" fillId="0" borderId="0"/>
    <xf numFmtId="0" fontId="3" fillId="0" borderId="0"/>
    <xf numFmtId="0" fontId="3" fillId="0" borderId="0"/>
    <xf numFmtId="0" fontId="3" fillId="0" borderId="0"/>
    <xf numFmtId="0" fontId="3" fillId="0" borderId="0"/>
    <xf numFmtId="0" fontId="84" fillId="0" borderId="0"/>
    <xf numFmtId="0" fontId="8" fillId="0" borderId="0"/>
    <xf numFmtId="0" fontId="3" fillId="0" borderId="0"/>
    <xf numFmtId="0" fontId="3" fillId="0" borderId="0"/>
    <xf numFmtId="171" fontId="8"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7" fillId="0" borderId="0"/>
    <xf numFmtId="0" fontId="8" fillId="0" borderId="0"/>
    <xf numFmtId="0" fontId="2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5" fillId="0" borderId="0"/>
    <xf numFmtId="0" fontId="8" fillId="0" borderId="0"/>
    <xf numFmtId="0" fontId="66" fillId="0" borderId="0">
      <alignment vertical="top"/>
    </xf>
    <xf numFmtId="0" fontId="8" fillId="0" borderId="0"/>
    <xf numFmtId="0" fontId="8" fillId="0" borderId="0"/>
    <xf numFmtId="171" fontId="8" fillId="0" borderId="0"/>
    <xf numFmtId="0" fontId="3" fillId="0" borderId="0"/>
    <xf numFmtId="0" fontId="3" fillId="0" borderId="0"/>
    <xf numFmtId="0" fontId="3" fillId="0" borderId="0"/>
    <xf numFmtId="171"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66" fillId="0" borderId="0">
      <alignment vertical="top"/>
    </xf>
    <xf numFmtId="0" fontId="66"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66" fillId="0" borderId="0">
      <alignment vertical="top"/>
    </xf>
    <xf numFmtId="0" fontId="66"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7" fillId="0" borderId="0"/>
    <xf numFmtId="0" fontId="8" fillId="0" borderId="0"/>
    <xf numFmtId="0" fontId="27" fillId="0" borderId="0"/>
    <xf numFmtId="171" fontId="22" fillId="0" borderId="0"/>
    <xf numFmtId="171" fontId="22" fillId="0" borderId="0"/>
    <xf numFmtId="171" fontId="22" fillId="0" borderId="0"/>
    <xf numFmtId="171" fontId="22"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169" fontId="22" fillId="0" borderId="0"/>
    <xf numFmtId="169" fontId="22" fillId="0" borderId="0"/>
    <xf numFmtId="169" fontId="22" fillId="0" borderId="0"/>
    <xf numFmtId="169"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3" fillId="0" borderId="0"/>
    <xf numFmtId="0" fontId="3" fillId="0" borderId="0"/>
    <xf numFmtId="0" fontId="3" fillId="0" borderId="0"/>
    <xf numFmtId="169" fontId="8" fillId="0" borderId="0"/>
    <xf numFmtId="0" fontId="66" fillId="0" borderId="0">
      <alignment vertical="top"/>
    </xf>
    <xf numFmtId="0" fontId="66" fillId="0" borderId="0">
      <alignment vertical="top"/>
    </xf>
    <xf numFmtId="0" fontId="22" fillId="0" borderId="0"/>
    <xf numFmtId="0" fontId="3" fillId="0" borderId="0"/>
    <xf numFmtId="0" fontId="22" fillId="0" borderId="0"/>
    <xf numFmtId="0" fontId="22" fillId="0" borderId="0"/>
    <xf numFmtId="0" fontId="22" fillId="0" borderId="0"/>
    <xf numFmtId="171" fontId="22" fillId="0" borderId="0"/>
    <xf numFmtId="171" fontId="22" fillId="0" borderId="0"/>
    <xf numFmtId="0" fontId="66" fillId="0" borderId="0">
      <alignment vertical="top"/>
    </xf>
    <xf numFmtId="171" fontId="22" fillId="0" borderId="0"/>
    <xf numFmtId="171" fontId="22" fillId="0" borderId="0"/>
    <xf numFmtId="0" fontId="8" fillId="0" borderId="0"/>
    <xf numFmtId="0" fontId="3" fillId="0" borderId="0"/>
    <xf numFmtId="0" fontId="22" fillId="0" borderId="0"/>
    <xf numFmtId="0" fontId="66"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71" fontId="22" fillId="0" borderId="0"/>
    <xf numFmtId="171" fontId="22" fillId="0" borderId="0"/>
    <xf numFmtId="171" fontId="22" fillId="0" borderId="0"/>
    <xf numFmtId="171"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171" fontId="22" fillId="0" borderId="0"/>
    <xf numFmtId="171" fontId="22" fillId="0" borderId="0"/>
    <xf numFmtId="171" fontId="22" fillId="0" borderId="0"/>
    <xf numFmtId="171"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71"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71" fontId="22" fillId="0" borderId="0"/>
    <xf numFmtId="171" fontId="22" fillId="0" borderId="0"/>
    <xf numFmtId="171" fontId="22" fillId="0" borderId="0"/>
    <xf numFmtId="171"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29" fillId="14" borderId="31" applyNumberFormat="0" applyFont="0" applyAlignment="0" applyProtection="0"/>
    <xf numFmtId="0" fontId="8" fillId="66" borderId="39" applyNumberFormat="0" applyFont="0" applyAlignment="0" applyProtection="0"/>
    <xf numFmtId="0" fontId="3" fillId="14" borderId="31" applyNumberFormat="0" applyFont="0" applyAlignment="0" applyProtection="0"/>
    <xf numFmtId="0" fontId="52" fillId="12" borderId="28" applyNumberFormat="0" applyAlignment="0" applyProtection="0"/>
    <xf numFmtId="0" fontId="52" fillId="12" borderId="28" applyNumberFormat="0" applyAlignment="0" applyProtection="0"/>
    <xf numFmtId="0" fontId="52" fillId="12" borderId="28" applyNumberFormat="0" applyAlignment="0" applyProtection="0"/>
    <xf numFmtId="0" fontId="52" fillId="63" borderId="28" applyNumberFormat="0" applyAlignment="0" applyProtection="0"/>
    <xf numFmtId="0" fontId="106" fillId="63" borderId="40" applyNumberFormat="0" applyAlignment="0" applyProtection="0"/>
    <xf numFmtId="171" fontId="8" fillId="42" borderId="0" applyNumberFormat="0" applyBorder="0" applyAlignment="0" applyProtection="0"/>
    <xf numFmtId="171" fontId="8" fillId="42" borderId="0" applyNumberFormat="0" applyBorder="0" applyAlignment="0" applyProtection="0"/>
    <xf numFmtId="189" fontId="83" fillId="0" borderId="0" applyFont="0" applyFill="0" applyBorder="0" applyAlignment="0" applyProtection="0"/>
    <xf numFmtId="190" fontId="10" fillId="0" borderId="0" applyFont="0" applyFill="0" applyBorder="0" applyAlignment="0" applyProtection="0"/>
    <xf numFmtId="191" fontId="83" fillId="0" borderId="0" applyFont="0" applyFill="0" applyBorder="0" applyAlignment="0" applyProtection="0"/>
    <xf numFmtId="192" fontId="10" fillId="0" borderId="0" applyFont="0" applyFill="0" applyBorder="0" applyAlignment="0" applyProtection="0"/>
    <xf numFmtId="193" fontId="83" fillId="0" borderId="0" applyFont="0" applyFill="0" applyBorder="0" applyAlignment="0" applyProtection="0"/>
    <xf numFmtId="194" fontId="10" fillId="0" borderId="0" applyFont="0" applyFill="0" applyBorder="0" applyAlignment="0" applyProtection="0"/>
    <xf numFmtId="195" fontId="83"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4" fillId="0" borderId="0" applyFont="0" applyFill="0" applyBorder="0" applyAlignment="0" applyProtection="0"/>
    <xf numFmtId="9" fontId="66" fillId="0" borderId="0" applyFont="0" applyFill="0" applyBorder="0" applyAlignment="0" applyProtection="0"/>
    <xf numFmtId="9" fontId="84" fillId="0" borderId="0" applyFont="0" applyFill="0" applyBorder="0" applyAlignment="0" applyProtection="0"/>
    <xf numFmtId="9" fontId="6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85"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75" fillId="61" borderId="0" applyNumberFormat="0" applyBorder="0" applyAlignment="0" applyProtection="0"/>
    <xf numFmtId="0" fontId="107" fillId="0" borderId="0">
      <alignment horizontal="right"/>
    </xf>
    <xf numFmtId="0" fontId="108" fillId="0" borderId="0">
      <alignment horizontal="right"/>
    </xf>
    <xf numFmtId="0" fontId="93" fillId="0" borderId="0"/>
    <xf numFmtId="0" fontId="109" fillId="0" borderId="0" applyNumberFormat="0" applyBorder="0" applyAlignment="0"/>
    <xf numFmtId="0" fontId="109" fillId="0" borderId="0" applyNumberFormat="0" applyBorder="0" applyAlignment="0"/>
    <xf numFmtId="0" fontId="66" fillId="0" borderId="0" applyNumberFormat="0" applyBorder="0" applyAlignment="0"/>
    <xf numFmtId="171" fontId="66" fillId="0" borderId="0" applyNumberFormat="0" applyBorder="0" applyAlignment="0"/>
    <xf numFmtId="0" fontId="93" fillId="0" borderId="0"/>
    <xf numFmtId="171" fontId="66" fillId="0" borderId="0" applyNumberFormat="0" applyBorder="0" applyAlignment="0"/>
    <xf numFmtId="0" fontId="110" fillId="0" borderId="0"/>
    <xf numFmtId="0" fontId="111" fillId="0" borderId="0" applyNumberFormat="0" applyBorder="0" applyAlignment="0"/>
    <xf numFmtId="0" fontId="111" fillId="0" borderId="0" applyNumberFormat="0" applyBorder="0" applyAlignment="0"/>
    <xf numFmtId="0" fontId="110" fillId="0" borderId="0"/>
    <xf numFmtId="0" fontId="112" fillId="0" borderId="0"/>
    <xf numFmtId="171" fontId="113" fillId="0" borderId="0"/>
    <xf numFmtId="0" fontId="114" fillId="0" borderId="0"/>
    <xf numFmtId="0" fontId="115" fillId="0" borderId="0" applyNumberFormat="0" applyBorder="0" applyAlignment="0"/>
    <xf numFmtId="0" fontId="115" fillId="0" borderId="0" applyNumberFormat="0" applyBorder="0" applyAlignment="0"/>
    <xf numFmtId="0" fontId="114" fillId="0" borderId="0"/>
    <xf numFmtId="0" fontId="116" fillId="0" borderId="0" applyNumberFormat="0" applyBorder="0" applyAlignment="0"/>
    <xf numFmtId="0" fontId="117" fillId="0" borderId="0"/>
    <xf numFmtId="171" fontId="118" fillId="0" borderId="0"/>
    <xf numFmtId="0" fontId="119" fillId="0" borderId="0"/>
    <xf numFmtId="0" fontId="115" fillId="67" borderId="0" applyNumberFormat="0" applyBorder="0" applyAlignment="0"/>
    <xf numFmtId="0" fontId="120" fillId="0" borderId="0"/>
    <xf numFmtId="0" fontId="121" fillId="0" borderId="0"/>
    <xf numFmtId="0" fontId="122" fillId="0" borderId="0"/>
    <xf numFmtId="0" fontId="121" fillId="68" borderId="0"/>
    <xf numFmtId="0" fontId="44" fillId="0" borderId="0" applyNumberFormat="0" applyFill="0" applyBorder="0" applyAlignment="0" applyProtection="0"/>
    <xf numFmtId="0" fontId="123" fillId="69" borderId="41" applyNumberFormat="0">
      <alignment horizontal="left"/>
    </xf>
    <xf numFmtId="0" fontId="44" fillId="0" borderId="0" applyNumberFormat="0" applyFill="0" applyBorder="0" applyAlignment="0" applyProtection="0"/>
    <xf numFmtId="0" fontId="4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3" fillId="69" borderId="42">
      <alignment horizontal="left"/>
    </xf>
    <xf numFmtId="0" fontId="58"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43" applyNumberFormat="0" applyFill="0" applyAlignment="0" applyProtection="0"/>
    <xf numFmtId="0" fontId="126" fillId="0" borderId="4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27" fillId="0" borderId="0" applyNumberFormat="0" applyFill="0" applyBorder="0" applyAlignment="0" applyProtection="0"/>
    <xf numFmtId="171" fontId="23" fillId="70" borderId="0" applyNumberFormat="0" applyBorder="0" applyAlignment="0" applyProtection="0"/>
    <xf numFmtId="199" fontId="10" fillId="0" borderId="0" applyFont="0" applyFill="0" applyBorder="0" applyAlignment="0" applyProtection="0"/>
    <xf numFmtId="200"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205" fontId="10" fillId="0" borderId="0" applyFont="0" applyFill="0" applyBorder="0" applyAlignment="0" applyProtection="0"/>
    <xf numFmtId="206" fontId="10" fillId="0" borderId="0" applyFont="0" applyFill="0" applyBorder="0" applyAlignment="0" applyProtection="0"/>
    <xf numFmtId="207" fontId="27" fillId="0" borderId="0" applyFont="0" applyFill="0" applyBorder="0" applyAlignment="0" applyProtection="0">
      <alignment horizontal="right"/>
    </xf>
    <xf numFmtId="3" fontId="22" fillId="0" borderId="0"/>
    <xf numFmtId="0" fontId="60" fillId="0" borderId="26"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69"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60" fillId="0" borderId="26"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60" fillId="0" borderId="26"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6" fillId="63" borderId="40" applyNumberFormat="0" applyAlignment="0" applyProtection="0"/>
    <xf numFmtId="0" fontId="79" fillId="63" borderId="33"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79" fillId="63" borderId="33" applyNumberFormat="0" applyAlignment="0" applyProtection="0"/>
    <xf numFmtId="43" fontId="22" fillId="0" borderId="0" applyFont="0" applyFill="0" applyBorder="0" applyAlignment="0" applyProtection="0"/>
    <xf numFmtId="0" fontId="8" fillId="66" borderId="39" applyNumberFormat="0" applyFont="0" applyAlignment="0" applyProtection="0"/>
    <xf numFmtId="9" fontId="22" fillId="0" borderId="0" applyFont="0" applyFill="0" applyBorder="0" applyAlignment="0" applyProtection="0"/>
    <xf numFmtId="0" fontId="126" fillId="0" borderId="43"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26" fillId="0" borderId="43"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79" fillId="63" borderId="33"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02" fillId="48" borderId="33" applyNumberFormat="0" applyAlignment="0" applyProtection="0"/>
    <xf numFmtId="0" fontId="102" fillId="48" borderId="33" applyNumberFormat="0" applyAlignment="0" applyProtection="0"/>
    <xf numFmtId="0" fontId="102" fillId="48" borderId="33" applyNumberFormat="0" applyAlignment="0" applyProtection="0"/>
    <xf numFmtId="0" fontId="8" fillId="66" borderId="39" applyNumberFormat="0" applyFont="0" applyAlignment="0" applyProtection="0"/>
    <xf numFmtId="0" fontId="58" fillId="0" borderId="43"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39" applyNumberFormat="0" applyFont="0" applyAlignment="0" applyProtection="0"/>
    <xf numFmtId="0" fontId="106" fillId="63" borderId="40" applyNumberFormat="0" applyAlignment="0" applyProtection="0"/>
    <xf numFmtId="44" fontId="22" fillId="0" borderId="0" applyFont="0" applyFill="0" applyBorder="0" applyAlignment="0" applyProtection="0"/>
    <xf numFmtId="0" fontId="58" fillId="0" borderId="43"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26" fillId="0" borderId="43"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39" applyNumberFormat="0" applyFont="0" applyAlignment="0" applyProtection="0"/>
    <xf numFmtId="0" fontId="106" fillId="63" borderId="40" applyNumberFormat="0" applyAlignment="0" applyProtection="0"/>
    <xf numFmtId="0" fontId="79" fillId="63" borderId="33" applyNumberFormat="0" applyAlignment="0" applyProtection="0"/>
    <xf numFmtId="9" fontId="22" fillId="0" borderId="0" applyFont="0" applyFill="0" applyBorder="0" applyAlignment="0" applyProtection="0"/>
    <xf numFmtId="0" fontId="106" fillId="63" borderId="40" applyNumberFormat="0" applyAlignment="0" applyProtection="0"/>
    <xf numFmtId="0" fontId="58" fillId="0" borderId="43"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58" fillId="0" borderId="43" applyNumberFormat="0" applyFill="0" applyAlignment="0" applyProtection="0"/>
    <xf numFmtId="0" fontId="126" fillId="0" borderId="43"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02" fillId="48" borderId="33"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8" fillId="0" borderId="43"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39" applyNumberFormat="0" applyFont="0" applyAlignment="0" applyProtection="0"/>
    <xf numFmtId="0" fontId="106" fillId="63" borderId="40"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26" fillId="0" borderId="43"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9" fillId="63" borderId="33" applyNumberFormat="0" applyAlignment="0" applyProtection="0"/>
    <xf numFmtId="0" fontId="126" fillId="0" borderId="43" applyNumberFormat="0" applyFill="0" applyAlignment="0" applyProtection="0"/>
    <xf numFmtId="0" fontId="126" fillId="0" borderId="43" applyNumberFormat="0" applyFill="0" applyAlignment="0" applyProtection="0"/>
    <xf numFmtId="0" fontId="79" fillId="63" borderId="3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2" fillId="48" borderId="3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3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43"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3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39" applyNumberFormat="0" applyFont="0" applyAlignment="0" applyProtection="0"/>
    <xf numFmtId="0" fontId="79" fillId="63" borderId="3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43"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6" fillId="0" borderId="43"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2" fillId="48" borderId="3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3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8" fillId="0" borderId="43" applyNumberFormat="0" applyFill="0" applyAlignment="0" applyProtection="0"/>
    <xf numFmtId="0" fontId="106" fillId="63" borderId="40" applyNumberFormat="0" applyAlignment="0" applyProtection="0"/>
    <xf numFmtId="0" fontId="106" fillId="63" borderId="40" applyNumberFormat="0" applyAlignment="0" applyProtection="0"/>
    <xf numFmtId="0" fontId="126" fillId="0" borderId="43" applyNumberFormat="0" applyFill="0" applyAlignment="0" applyProtection="0"/>
    <xf numFmtId="0" fontId="58" fillId="0" borderId="43" applyNumberFormat="0" applyFill="0" applyAlignment="0" applyProtection="0"/>
    <xf numFmtId="0" fontId="106" fillId="63" borderId="40" applyNumberFormat="0" applyAlignment="0" applyProtection="0"/>
    <xf numFmtId="0" fontId="102" fillId="48" borderId="33" applyNumberFormat="0" applyAlignment="0" applyProtection="0"/>
    <xf numFmtId="0" fontId="102" fillId="48" borderId="33" applyNumberFormat="0" applyAlignment="0" applyProtection="0"/>
    <xf numFmtId="0" fontId="79" fillId="63" borderId="33" applyNumberFormat="0" applyAlignment="0" applyProtection="0"/>
    <xf numFmtId="0" fontId="106" fillId="63" borderId="40" applyNumberFormat="0" applyAlignment="0" applyProtection="0"/>
    <xf numFmtId="0" fontId="102" fillId="48" borderId="33" applyNumberFormat="0" applyAlignment="0" applyProtection="0"/>
    <xf numFmtId="0" fontId="79" fillId="63" borderId="33" applyNumberFormat="0" applyAlignment="0" applyProtection="0"/>
    <xf numFmtId="0" fontId="3" fillId="0" borderId="0"/>
    <xf numFmtId="0" fontId="22" fillId="0" borderId="0"/>
    <xf numFmtId="0" fontId="60" fillId="0" borderId="26"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28"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29" fillId="0" borderId="0"/>
    <xf numFmtId="44" fontId="129" fillId="0" borderId="0" applyFont="0" applyFill="0" applyBorder="0" applyAlignment="0" applyProtection="0"/>
    <xf numFmtId="43" fontId="129" fillId="0" borderId="0" applyFont="0" applyFill="0" applyBorder="0" applyAlignment="0" applyProtection="0"/>
    <xf numFmtId="43" fontId="3" fillId="0" borderId="0" applyFont="0" applyFill="0" applyBorder="0" applyAlignment="0" applyProtection="0"/>
    <xf numFmtId="3" fontId="40"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08"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40" fillId="0" borderId="0"/>
    <xf numFmtId="0" fontId="22" fillId="0" borderId="0"/>
    <xf numFmtId="0" fontId="3" fillId="0" borderId="0"/>
    <xf numFmtId="10" fontId="40"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29" fillId="0" borderId="0" applyFont="0" applyFill="0" applyBorder="0" applyAlignment="0" applyProtection="0"/>
    <xf numFmtId="9" fontId="129"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60" fillId="0" borderId="26"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44" fillId="0" borderId="0" applyNumberFormat="0" applyFill="0" applyBorder="0" applyAlignment="0" applyProtection="0"/>
    <xf numFmtId="0" fontId="45" fillId="0" borderId="24" applyNumberFormat="0" applyFill="0" applyAlignment="0" applyProtection="0"/>
    <xf numFmtId="0" fontId="46" fillId="0" borderId="25" applyNumberFormat="0" applyFill="0" applyAlignment="0" applyProtection="0"/>
    <xf numFmtId="0" fontId="47" fillId="0" borderId="26" applyNumberFormat="0" applyFill="0" applyAlignment="0" applyProtection="0"/>
    <xf numFmtId="0" fontId="47" fillId="0" borderId="0" applyNumberFormat="0" applyFill="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0" applyNumberFormat="0" applyBorder="0" applyAlignment="0" applyProtection="0"/>
    <xf numFmtId="0" fontId="51" fillId="11" borderId="27" applyNumberFormat="0" applyAlignment="0" applyProtection="0"/>
    <xf numFmtId="0" fontId="52" fillId="12" borderId="28" applyNumberFormat="0" applyAlignment="0" applyProtection="0"/>
    <xf numFmtId="0" fontId="53" fillId="12" borderId="27" applyNumberFormat="0" applyAlignment="0" applyProtection="0"/>
    <xf numFmtId="0" fontId="54" fillId="0" borderId="29" applyNumberFormat="0" applyFill="0" applyAlignment="0" applyProtection="0"/>
    <xf numFmtId="0" fontId="55" fillId="13" borderId="30"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2" applyNumberFormat="0" applyFill="0" applyAlignment="0" applyProtection="0"/>
    <xf numFmtId="0" fontId="5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59"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87"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7" fillId="0" borderId="0"/>
    <xf numFmtId="9" fontId="27" fillId="0" borderId="0" applyFont="0" applyFill="0" applyBorder="0" applyAlignment="0" applyProtection="0"/>
    <xf numFmtId="0" fontId="33" fillId="0" borderId="0"/>
    <xf numFmtId="0" fontId="27" fillId="0" borderId="0"/>
    <xf numFmtId="0" fontId="33" fillId="0" borderId="0"/>
    <xf numFmtId="0" fontId="8" fillId="0" borderId="0"/>
    <xf numFmtId="0" fontId="131" fillId="0" borderId="0"/>
    <xf numFmtId="0" fontId="8" fillId="0" borderId="0"/>
    <xf numFmtId="9" fontId="33"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32" fillId="0" borderId="0"/>
    <xf numFmtId="43" fontId="33" fillId="0" borderId="0" applyFont="0" applyFill="0" applyBorder="0" applyAlignment="0" applyProtection="0"/>
    <xf numFmtId="44" fontId="33" fillId="0" borderId="0" applyFont="0" applyFill="0" applyBorder="0" applyAlignment="0" applyProtection="0"/>
    <xf numFmtId="9" fontId="27"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33" fillId="3" borderId="44">
      <alignment horizontal="left"/>
      <protection locked="0"/>
    </xf>
    <xf numFmtId="0" fontId="27" fillId="0" borderId="0"/>
    <xf numFmtId="44" fontId="27"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7"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7" fillId="0" borderId="0" applyFont="0" applyFill="0" applyBorder="0" applyAlignment="0" applyProtection="0"/>
    <xf numFmtId="0" fontId="9" fillId="0" borderId="0"/>
    <xf numFmtId="9" fontId="27"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7"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2" fillId="0" borderId="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7" fillId="0" borderId="0"/>
    <xf numFmtId="44" fontId="27" fillId="0" borderId="0" applyFont="0" applyFill="0" applyBorder="0" applyAlignment="0" applyProtection="0"/>
    <xf numFmtId="9" fontId="8" fillId="0" borderId="0" applyFont="0" applyFill="0" applyBorder="0" applyAlignment="0" applyProtection="0"/>
    <xf numFmtId="0" fontId="27" fillId="0" borderId="0"/>
    <xf numFmtId="44" fontId="27"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44" fontId="27"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7"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43" fontId="27"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7" fillId="0" borderId="0" applyFont="0" applyFill="0" applyBorder="0" applyAlignment="0" applyProtection="0"/>
    <xf numFmtId="0" fontId="27"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7" fillId="0" borderId="0" applyFont="0" applyFill="0" applyBorder="0" applyAlignment="0" applyProtection="0"/>
    <xf numFmtId="0" fontId="27"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7" fillId="0" borderId="0" applyFont="0" applyFill="0" applyBorder="0" applyAlignment="0" applyProtection="0"/>
    <xf numFmtId="0" fontId="27"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7"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7"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7"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7"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7"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7"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7"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7"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7" fillId="0" borderId="0"/>
    <xf numFmtId="0" fontId="2" fillId="20" borderId="0" applyNumberFormat="0" applyBorder="0" applyAlignment="0" applyProtection="0"/>
    <xf numFmtId="0" fontId="2" fillId="21" borderId="0" applyNumberFormat="0" applyBorder="0" applyAlignment="0" applyProtection="0"/>
    <xf numFmtId="9"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7"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7"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7"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7"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7"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7"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7"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9" fontId="27"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34"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66"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9"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9"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9"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9"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9"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9"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9"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9"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9"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29" fillId="52" borderId="0" applyNumberFormat="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6"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alignment vertical="top"/>
    </xf>
    <xf numFmtId="43" fontId="66" fillId="0" borderId="0" applyFont="0" applyFill="0" applyBorder="0" applyAlignment="0" applyProtection="0">
      <alignment vertical="top"/>
    </xf>
    <xf numFmtId="43" fontId="66"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6"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176" fontId="87"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168"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90" fillId="0" borderId="0" applyFont="0" applyFill="0" applyBorder="0" applyAlignment="0" applyProtection="0"/>
    <xf numFmtId="171" fontId="22" fillId="0" borderId="0"/>
    <xf numFmtId="171"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2" fillId="0" borderId="0"/>
    <xf numFmtId="171"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8"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8" fillId="0" borderId="0"/>
    <xf numFmtId="171"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1" fontId="22" fillId="0" borderId="0"/>
    <xf numFmtId="171" fontId="2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71" fontId="22" fillId="0" borderId="0"/>
    <xf numFmtId="171" fontId="22" fillId="0" borderId="0"/>
    <xf numFmtId="171" fontId="22" fillId="0" borderId="0"/>
    <xf numFmtId="171"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66" fillId="0" borderId="0" applyFont="0" applyFill="0" applyBorder="0" applyAlignment="0" applyProtection="0"/>
    <xf numFmtId="9" fontId="84" fillId="0" borderId="0" applyFont="0" applyFill="0" applyBorder="0" applyAlignment="0" applyProtection="0"/>
    <xf numFmtId="9" fontId="66"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3" fontId="40"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08" fontId="40" fillId="0" borderId="0" applyFont="0" applyFill="0" applyBorder="0" applyAlignment="0" applyProtection="0"/>
    <xf numFmtId="2" fontId="40" fillId="0" borderId="0" applyFont="0" applyFill="0" applyBorder="0" applyAlignment="0" applyProtection="0"/>
    <xf numFmtId="0" fontId="40" fillId="0" borderId="0"/>
    <xf numFmtId="0" fontId="22" fillId="0" borderId="0"/>
    <xf numFmtId="0" fontId="2" fillId="0" borderId="0"/>
    <xf numFmtId="10" fontId="40"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1"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1"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1" applyNumberFormat="0" applyFont="0" applyAlignment="0" applyProtection="0"/>
    <xf numFmtId="43" fontId="2" fillId="0" borderId="0" applyFont="0" applyFill="0" applyBorder="0" applyAlignment="0" applyProtection="0"/>
    <xf numFmtId="0" fontId="2" fillId="14" borderId="31"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1"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1"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1"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1"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7" fillId="0" borderId="0" applyFont="0" applyFill="0" applyBorder="0" applyAlignment="0" applyProtection="0"/>
    <xf numFmtId="0" fontId="8" fillId="0" borderId="0"/>
    <xf numFmtId="0" fontId="8" fillId="0" borderId="0"/>
    <xf numFmtId="43" fontId="1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8" fillId="0" borderId="0" applyFont="0" applyFill="0" applyBorder="0" applyAlignment="0" applyProtection="0"/>
    <xf numFmtId="43" fontId="8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0" fontId="136" fillId="0" borderId="0" applyNumberFormat="0" applyFill="0" applyBorder="0" applyAlignment="0" applyProtection="0">
      <alignment vertical="top"/>
      <protection locked="0"/>
    </xf>
    <xf numFmtId="0" fontId="132" fillId="0" borderId="0"/>
    <xf numFmtId="0" fontId="8"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8" fillId="0" borderId="0"/>
    <xf numFmtId="0" fontId="8" fillId="0" borderId="0"/>
    <xf numFmtId="43" fontId="87" fillId="0" borderId="0" applyFont="0" applyFill="0" applyBorder="0" applyAlignment="0" applyProtection="0"/>
    <xf numFmtId="0" fontId="8"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66" fillId="0" borderId="0"/>
    <xf numFmtId="0" fontId="66" fillId="0" borderId="0"/>
    <xf numFmtId="0" fontId="8" fillId="0" borderId="0"/>
    <xf numFmtId="0" fontId="8" fillId="0" borderId="0"/>
    <xf numFmtId="0" fontId="66" fillId="0" borderId="0"/>
    <xf numFmtId="0" fontId="8"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13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8"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09" fontId="130" fillId="40" borderId="0" applyBorder="0">
      <alignment horizontal="right"/>
    </xf>
    <xf numFmtId="0" fontId="137" fillId="72" borderId="0" applyBorder="0"/>
    <xf numFmtId="9" fontId="135" fillId="0" borderId="0" applyFont="0" applyFill="0" applyBorder="0" applyAlignment="0" applyProtection="0"/>
    <xf numFmtId="9" fontId="1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2"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66"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29" fillId="0" borderId="0"/>
    <xf numFmtId="0" fontId="1" fillId="0" borderId="0"/>
    <xf numFmtId="0" fontId="29" fillId="0" borderId="0"/>
    <xf numFmtId="0" fontId="29" fillId="0" borderId="0"/>
    <xf numFmtId="0" fontId="1" fillId="0" borderId="0"/>
    <xf numFmtId="43" fontId="1" fillId="0" borderId="0" applyFont="0" applyFill="0" applyBorder="0" applyAlignment="0" applyProtection="0"/>
    <xf numFmtId="0" fontId="9" fillId="0" borderId="0"/>
  </cellStyleXfs>
  <cellXfs count="358">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8" fillId="0" borderId="0" xfId="0" applyFont="1" applyAlignment="1">
      <alignment horizontal="center"/>
    </xf>
    <xf numFmtId="0" fontId="0" fillId="0" borderId="0" xfId="0" applyAlignment="1">
      <alignment horizontal="centerContinuous"/>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3" fontId="14" fillId="0" borderId="0" xfId="2" applyNumberFormat="1" applyFont="1" applyFill="1"/>
    <xf numFmtId="10" fontId="14" fillId="0" borderId="0" xfId="2" applyNumberFormat="1" applyFont="1"/>
    <xf numFmtId="3" fontId="15" fillId="0" borderId="0" xfId="2" applyNumberFormat="1" applyFont="1" applyBorder="1"/>
    <xf numFmtId="10" fontId="0" fillId="0" borderId="0" xfId="0" applyNumberFormat="1" applyFill="1"/>
    <xf numFmtId="0" fontId="22" fillId="0" borderId="0" xfId="15"/>
    <xf numFmtId="0" fontId="22" fillId="0" borderId="10" xfId="15" applyBorder="1" applyAlignment="1">
      <alignment horizontal="center"/>
    </xf>
    <xf numFmtId="165" fontId="0" fillId="0" borderId="0" xfId="0" applyNumberFormat="1"/>
    <xf numFmtId="165" fontId="0" fillId="0" borderId="0" xfId="14" applyNumberFormat="1" applyFont="1"/>
    <xf numFmtId="165"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5" fontId="8" fillId="0" borderId="0" xfId="14" applyNumberFormat="1" applyFont="1" applyBorder="1"/>
    <xf numFmtId="165" fontId="0" fillId="0" borderId="3" xfId="14" applyNumberFormat="1" applyFont="1" applyBorder="1"/>
    <xf numFmtId="165"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10" fontId="0" fillId="0" borderId="0" xfId="0" applyNumberFormat="1" applyFill="1" applyBorder="1"/>
    <xf numFmtId="0" fontId="0" fillId="0" borderId="0" xfId="0" applyFill="1"/>
    <xf numFmtId="0" fontId="0" fillId="0" borderId="0" xfId="0" applyFill="1" applyAlignment="1">
      <alignment horizontal="center"/>
    </xf>
    <xf numFmtId="10" fontId="0" fillId="0" borderId="0" xfId="0" applyNumberFormat="1" applyBorder="1"/>
    <xf numFmtId="10" fontId="14" fillId="0" borderId="0" xfId="2" applyNumberFormat="1" applyFont="1" applyBorder="1"/>
    <xf numFmtId="164" fontId="0" fillId="0" borderId="0" xfId="0" applyNumberFormat="1" applyFill="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3" fontId="31"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1"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0" fontId="37" fillId="0" borderId="0" xfId="2" applyNumberFormat="1" applyFont="1" applyAlignment="1">
      <alignment horizontal="left"/>
    </xf>
    <xf numFmtId="0" fontId="39"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5" fillId="0" borderId="0" xfId="2" applyFont="1" applyAlignment="1">
      <alignment horizontal="left"/>
    </xf>
    <xf numFmtId="10" fontId="8" fillId="0" borderId="0" xfId="0" applyNumberFormat="1" applyFont="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5" fontId="0" fillId="0" borderId="0" xfId="14" applyNumberFormat="1" applyFont="1" applyFill="1"/>
    <xf numFmtId="3" fontId="15" fillId="0" borderId="0" xfId="2" applyNumberFormat="1" applyFont="1" applyFill="1" applyBorder="1"/>
    <xf numFmtId="37" fontId="27" fillId="0" borderId="0" xfId="2" applyNumberFormat="1" applyFont="1"/>
    <xf numFmtId="3" fontId="15" fillId="0" borderId="0" xfId="20" applyNumberFormat="1" applyFont="1" applyBorder="1"/>
    <xf numFmtId="3" fontId="0" fillId="0" borderId="11" xfId="0" applyNumberFormat="1" applyFill="1" applyBorder="1"/>
    <xf numFmtId="3" fontId="0" fillId="0" borderId="7" xfId="0" applyNumberFormat="1" applyFill="1" applyBorder="1"/>
    <xf numFmtId="165" fontId="15" fillId="0" borderId="0" xfId="2" applyNumberFormat="1" applyFont="1"/>
    <xf numFmtId="0" fontId="14" fillId="0" borderId="0" xfId="2" applyFont="1" applyFill="1" applyBorder="1"/>
    <xf numFmtId="165" fontId="14" fillId="0" borderId="0" xfId="2" applyNumberFormat="1" applyFont="1" applyBorder="1"/>
    <xf numFmtId="10" fontId="8" fillId="0" borderId="18" xfId="0" applyNumberFormat="1" applyFont="1" applyBorder="1"/>
    <xf numFmtId="10" fontId="22" fillId="0" borderId="17" xfId="2" applyNumberFormat="1" applyFont="1" applyFill="1" applyBorder="1"/>
    <xf numFmtId="10" fontId="138" fillId="0" borderId="18" xfId="2" applyNumberFormat="1" applyFont="1" applyFill="1" applyBorder="1"/>
    <xf numFmtId="10" fontId="22" fillId="0" borderId="18" xfId="2" applyNumberFormat="1" applyFont="1" applyFill="1" applyBorder="1"/>
    <xf numFmtId="10" fontId="22" fillId="0" borderId="18" xfId="2" applyNumberFormat="1" applyFont="1" applyBorder="1"/>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41" fontId="0" fillId="0" borderId="0" xfId="0" applyNumberFormat="1" applyFill="1"/>
    <xf numFmtId="0" fontId="22" fillId="0" borderId="10" xfId="15" applyFill="1" applyBorder="1" applyAlignment="1">
      <alignment horizontal="center"/>
    </xf>
    <xf numFmtId="165" fontId="0" fillId="0" borderId="0" xfId="0" applyNumberFormat="1" applyFill="1"/>
    <xf numFmtId="165" fontId="0" fillId="0" borderId="3" xfId="14" applyNumberFormat="1" applyFont="1" applyFill="1" applyBorder="1"/>
    <xf numFmtId="165" fontId="8" fillId="0" borderId="0" xfId="14" applyNumberFormat="1" applyFont="1" applyFill="1" applyBorder="1"/>
    <xf numFmtId="165"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8" xfId="0" applyNumberFormat="1" applyBorder="1"/>
    <xf numFmtId="0" fontId="15" fillId="0" borderId="0" xfId="2" applyFont="1" applyFill="1" applyAlignment="1">
      <alignment horizontal="center"/>
    </xf>
    <xf numFmtId="10" fontId="22" fillId="73" borderId="18" xfId="2" applyNumberFormat="1" applyFont="1" applyFill="1" applyBorder="1"/>
    <xf numFmtId="10" fontId="22" fillId="73" borderId="19" xfId="2" applyNumberFormat="1" applyFont="1" applyFill="1" applyBorder="1"/>
    <xf numFmtId="10" fontId="0" fillId="0" borderId="17" xfId="0" applyNumberFormat="1" applyBorder="1"/>
    <xf numFmtId="10" fontId="0" fillId="0" borderId="19" xfId="0" applyNumberFormat="1" applyBorder="1"/>
    <xf numFmtId="165" fontId="0" fillId="0" borderId="0" xfId="96" applyNumberFormat="1" applyFont="1"/>
    <xf numFmtId="0" fontId="0" fillId="6" borderId="0" xfId="0" applyFill="1"/>
    <xf numFmtId="3" fontId="0" fillId="6" borderId="0" xfId="0" applyNumberFormat="1" applyFill="1" applyBorder="1"/>
    <xf numFmtId="165" fontId="0" fillId="0" borderId="0" xfId="96" applyNumberFormat="1" applyFont="1" applyFill="1"/>
    <xf numFmtId="0" fontId="15" fillId="0" borderId="0" xfId="2" applyFont="1" applyFill="1" applyBorder="1" applyAlignment="1">
      <alignment horizontal="center"/>
    </xf>
    <xf numFmtId="10" fontId="14" fillId="0" borderId="0" xfId="2" applyNumberFormat="1" applyFont="1" applyFill="1"/>
    <xf numFmtId="0" fontId="18" fillId="0" borderId="10" xfId="0" applyFont="1" applyFill="1" applyBorder="1" applyAlignment="1">
      <alignment horizontal="center"/>
    </xf>
    <xf numFmtId="10" fontId="14" fillId="0" borderId="0" xfId="16" applyNumberFormat="1" applyFont="1" applyFill="1" applyBorder="1"/>
    <xf numFmtId="0" fontId="18" fillId="0" borderId="0" xfId="0" applyFont="1" applyFill="1" applyBorder="1" applyAlignment="1">
      <alignment horizontal="center"/>
    </xf>
    <xf numFmtId="10" fontId="14" fillId="0" borderId="0" xfId="2" applyNumberFormat="1" applyFont="1" applyFill="1" applyBorder="1"/>
    <xf numFmtId="0" fontId="140" fillId="0" borderId="0" xfId="283" applyFont="1"/>
    <xf numFmtId="0" fontId="33" fillId="0" borderId="0" xfId="283" applyFont="1"/>
    <xf numFmtId="0" fontId="8" fillId="0" borderId="0" xfId="283"/>
    <xf numFmtId="0" fontId="8" fillId="0" borderId="0" xfId="283" applyFill="1" applyBorder="1"/>
    <xf numFmtId="0" fontId="139" fillId="0" borderId="0" xfId="283" applyFont="1" applyFill="1" applyBorder="1" applyAlignment="1"/>
    <xf numFmtId="0" fontId="23" fillId="0" borderId="0" xfId="283" quotePrefix="1" applyFont="1" applyAlignment="1">
      <alignment horizontal="centerContinuous" vertical="center"/>
    </xf>
    <xf numFmtId="0" fontId="17" fillId="0" borderId="0" xfId="283" applyFont="1" applyFill="1" applyBorder="1" applyAlignment="1">
      <alignment horizontal="centerContinuous" vertical="center"/>
    </xf>
    <xf numFmtId="0" fontId="8" fillId="0" borderId="0" xfId="283" applyFont="1" applyBorder="1" applyAlignment="1">
      <alignment horizontal="centerContinuous" vertical="center"/>
    </xf>
    <xf numFmtId="37" fontId="8" fillId="0" borderId="0" xfId="283" applyNumberFormat="1" applyFont="1" applyFill="1" applyBorder="1" applyAlignment="1">
      <alignment horizontal="centerContinuous" vertical="center"/>
    </xf>
    <xf numFmtId="0" fontId="23" fillId="0" borderId="0" xfId="283" applyFont="1" applyFill="1" applyBorder="1" applyAlignment="1">
      <alignment horizontal="center"/>
    </xf>
    <xf numFmtId="0" fontId="23" fillId="0" borderId="0" xfId="283" applyFont="1" applyBorder="1" applyAlignment="1">
      <alignment horizontal="center"/>
    </xf>
    <xf numFmtId="0" fontId="0" fillId="0" borderId="0" xfId="96" applyNumberFormat="1" applyFont="1" applyFill="1" applyAlignment="1">
      <alignment horizontal="fill"/>
    </xf>
    <xf numFmtId="37" fontId="8" fillId="0" borderId="0" xfId="283" applyNumberFormat="1"/>
    <xf numFmtId="0" fontId="23" fillId="0" borderId="0" xfId="283" applyFont="1" applyAlignment="1">
      <alignment vertical="center" wrapText="1"/>
    </xf>
    <xf numFmtId="165" fontId="23" fillId="0" borderId="0" xfId="283" applyNumberFormat="1" applyFont="1" applyAlignment="1">
      <alignment vertical="center"/>
    </xf>
    <xf numFmtId="0" fontId="8" fillId="0" borderId="0" xfId="283" applyFont="1"/>
    <xf numFmtId="0" fontId="23" fillId="0" borderId="13" xfId="283" applyFont="1" applyBorder="1"/>
    <xf numFmtId="0" fontId="8" fillId="0" borderId="13" xfId="283" applyBorder="1"/>
    <xf numFmtId="0" fontId="8" fillId="0" borderId="0" xfId="283" applyBorder="1"/>
    <xf numFmtId="0" fontId="8" fillId="0" borderId="13" xfId="283" applyFont="1" applyBorder="1"/>
    <xf numFmtId="210" fontId="8" fillId="0" borderId="0" xfId="283" applyNumberFormat="1"/>
    <xf numFmtId="41" fontId="8" fillId="0" borderId="0" xfId="283" applyNumberFormat="1"/>
    <xf numFmtId="10" fontId="8" fillId="0" borderId="0" xfId="283" applyNumberFormat="1"/>
    <xf numFmtId="10" fontId="8" fillId="0" borderId="0" xfId="283" applyNumberFormat="1" applyFont="1" applyFill="1" applyBorder="1"/>
    <xf numFmtId="10" fontId="0" fillId="0" borderId="0" xfId="3259" applyNumberFormat="1" applyFont="1" applyFill="1"/>
    <xf numFmtId="0" fontId="141" fillId="0" borderId="0" xfId="283" applyFont="1" applyFill="1" applyBorder="1" applyAlignment="1">
      <alignment horizontal="centerContinuous"/>
    </xf>
    <xf numFmtId="0" fontId="8" fillId="0" borderId="0" xfId="283" applyFill="1" applyBorder="1" applyAlignment="1"/>
    <xf numFmtId="0" fontId="141" fillId="0" borderId="0" xfId="283" applyFont="1" applyFill="1" applyBorder="1" applyAlignment="1">
      <alignment horizontal="center"/>
    </xf>
    <xf numFmtId="0" fontId="8" fillId="76" borderId="45" xfId="283" applyFill="1" applyBorder="1" applyAlignment="1">
      <alignment horizontal="centerContinuous" vertical="center"/>
    </xf>
    <xf numFmtId="0" fontId="8" fillId="0" borderId="45" xfId="283" applyBorder="1" applyAlignment="1">
      <alignment horizontal="center" vertical="center"/>
    </xf>
    <xf numFmtId="41" fontId="141" fillId="0" borderId="0" xfId="283" applyNumberFormat="1" applyFont="1"/>
    <xf numFmtId="41" fontId="141" fillId="0" borderId="0" xfId="283" applyNumberFormat="1" applyFont="1" applyAlignment="1">
      <alignment horizontal="center"/>
    </xf>
    <xf numFmtId="0" fontId="141" fillId="0" borderId="0" xfId="283" applyFont="1"/>
    <xf numFmtId="0" fontId="8" fillId="0" borderId="0" xfId="283" applyAlignment="1">
      <alignment horizontal="right"/>
    </xf>
    <xf numFmtId="0" fontId="8" fillId="0" borderId="14" xfId="283" applyBorder="1"/>
    <xf numFmtId="0" fontId="8" fillId="0" borderId="15" xfId="283" applyBorder="1"/>
    <xf numFmtId="0" fontId="8" fillId="0" borderId="45" xfId="283" applyBorder="1"/>
    <xf numFmtId="0" fontId="8" fillId="0" borderId="0" xfId="283" applyFill="1" applyBorder="1" applyAlignment="1">
      <alignment horizontal="right"/>
    </xf>
    <xf numFmtId="210" fontId="8" fillId="0" borderId="0" xfId="283" applyNumberFormat="1" applyAlignment="1">
      <alignment horizontal="right"/>
    </xf>
    <xf numFmtId="41" fontId="0" fillId="0" borderId="0" xfId="96" applyNumberFormat="1" applyFont="1" applyFill="1" applyAlignment="1">
      <alignment horizontal="fill"/>
    </xf>
    <xf numFmtId="10" fontId="23" fillId="0" borderId="0" xfId="283" applyNumberFormat="1" applyFont="1" applyFill="1" applyBorder="1"/>
    <xf numFmtId="0" fontId="33" fillId="0" borderId="0" xfId="283" applyFont="1" applyAlignment="1">
      <alignment horizontal="left" indent="2"/>
    </xf>
    <xf numFmtId="0" fontId="144" fillId="0" borderId="0" xfId="283" quotePrefix="1" applyFont="1" applyAlignment="1">
      <alignment horizontal="left" indent="1"/>
    </xf>
    <xf numFmtId="0" fontId="145" fillId="0" borderId="0" xfId="283" quotePrefix="1" applyFont="1" applyAlignment="1">
      <alignment horizontal="left" indent="2"/>
    </xf>
    <xf numFmtId="0" fontId="146" fillId="0" borderId="0" xfId="283" applyFont="1"/>
    <xf numFmtId="0" fontId="33" fillId="0" borderId="0" xfId="283" applyFont="1" applyFill="1" applyBorder="1"/>
    <xf numFmtId="3" fontId="140" fillId="0" borderId="0" xfId="12" applyNumberFormat="1" applyFont="1" applyFill="1" applyBorder="1" applyAlignment="1">
      <alignment horizontal="left"/>
    </xf>
    <xf numFmtId="166" fontId="15" fillId="75" borderId="2" xfId="2" quotePrefix="1" applyNumberFormat="1" applyFont="1" applyFill="1" applyBorder="1" applyAlignment="1">
      <alignment horizontal="center"/>
    </xf>
    <xf numFmtId="3" fontId="15" fillId="75" borderId="6" xfId="2" applyNumberFormat="1" applyFont="1" applyFill="1" applyBorder="1" applyAlignment="1">
      <alignment horizontal="center"/>
    </xf>
    <xf numFmtId="3" fontId="15" fillId="75" borderId="9" xfId="2" applyNumberFormat="1" applyFont="1" applyFill="1" applyBorder="1" applyAlignment="1">
      <alignment horizontal="center"/>
    </xf>
    <xf numFmtId="3" fontId="15" fillId="75" borderId="0" xfId="2" applyNumberFormat="1" applyFont="1" applyFill="1"/>
    <xf numFmtId="42" fontId="15" fillId="75" borderId="0" xfId="2" applyNumberFormat="1" applyFont="1" applyFill="1"/>
    <xf numFmtId="41" fontId="15" fillId="75" borderId="0" xfId="2" applyNumberFormat="1" applyFont="1" applyFill="1"/>
    <xf numFmtId="41" fontId="15" fillId="75" borderId="10" xfId="2" applyNumberFormat="1" applyFont="1" applyFill="1" applyBorder="1"/>
    <xf numFmtId="42" fontId="15" fillId="75" borderId="12" xfId="2" applyNumberFormat="1" applyFont="1" applyFill="1" applyBorder="1"/>
    <xf numFmtId="0" fontId="14" fillId="75" borderId="0" xfId="2" applyFont="1" applyFill="1"/>
    <xf numFmtId="0" fontId="15" fillId="75" borderId="0" xfId="2" applyFont="1" applyFill="1" applyAlignment="1">
      <alignment horizontal="center"/>
    </xf>
    <xf numFmtId="41" fontId="15" fillId="75" borderId="13" xfId="2" applyNumberFormat="1" applyFont="1" applyFill="1" applyBorder="1"/>
    <xf numFmtId="41" fontId="15" fillId="75" borderId="0" xfId="2" applyNumberFormat="1" applyFont="1" applyFill="1" applyBorder="1"/>
    <xf numFmtId="1" fontId="18" fillId="75" borderId="0" xfId="150" applyNumberFormat="1" applyFont="1" applyFill="1" applyBorder="1" applyAlignment="1">
      <alignment horizontal="center"/>
    </xf>
    <xf numFmtId="3" fontId="14" fillId="75" borderId="0" xfId="2" applyNumberFormat="1" applyFont="1" applyFill="1"/>
    <xf numFmtId="3" fontId="14" fillId="75" borderId="3" xfId="2" applyNumberFormat="1" applyFont="1" applyFill="1" applyBorder="1"/>
    <xf numFmtId="3" fontId="14" fillId="75" borderId="10" xfId="2" applyNumberFormat="1" applyFont="1" applyFill="1" applyBorder="1"/>
    <xf numFmtId="3" fontId="15" fillId="75" borderId="16" xfId="2" applyNumberFormat="1" applyFont="1" applyFill="1" applyBorder="1"/>
    <xf numFmtId="10" fontId="14" fillId="75" borderId="0" xfId="16" applyNumberFormat="1" applyFont="1" applyFill="1"/>
    <xf numFmtId="3" fontId="15" fillId="75" borderId="0" xfId="2" applyNumberFormat="1" applyFont="1" applyFill="1" applyBorder="1"/>
    <xf numFmtId="0" fontId="0" fillId="6" borderId="6" xfId="0" applyFill="1" applyBorder="1"/>
    <xf numFmtId="0" fontId="0" fillId="6" borderId="0" xfId="0" applyFill="1" applyBorder="1"/>
    <xf numFmtId="0" fontId="15" fillId="6" borderId="0" xfId="2" applyFont="1" applyFill="1" applyAlignment="1">
      <alignment horizontal="center"/>
    </xf>
    <xf numFmtId="0" fontId="0" fillId="6" borderId="6" xfId="0" applyFill="1" applyBorder="1" applyAlignment="1">
      <alignment horizontal="center"/>
    </xf>
    <xf numFmtId="0" fontId="8" fillId="6" borderId="0" xfId="0" applyFont="1" applyFill="1" applyBorder="1" applyAlignment="1">
      <alignment horizontal="center"/>
    </xf>
    <xf numFmtId="0" fontId="0" fillId="6" borderId="7" xfId="0" applyFill="1" applyBorder="1"/>
    <xf numFmtId="0" fontId="8" fillId="6" borderId="6" xfId="0" applyFont="1" applyFill="1" applyBorder="1" applyAlignment="1">
      <alignment horizontal="center"/>
    </xf>
    <xf numFmtId="0" fontId="8" fillId="6" borderId="7" xfId="0" applyFont="1" applyFill="1" applyBorder="1" applyAlignment="1">
      <alignment horizontal="center"/>
    </xf>
    <xf numFmtId="0" fontId="17" fillId="6" borderId="6" xfId="0" applyFont="1" applyFill="1" applyBorder="1" applyAlignment="1">
      <alignment horizontal="center"/>
    </xf>
    <xf numFmtId="0" fontId="17" fillId="6" borderId="0" xfId="0" applyFont="1" applyFill="1" applyBorder="1" applyAlignment="1">
      <alignment horizontal="center"/>
    </xf>
    <xf numFmtId="0" fontId="17" fillId="6" borderId="7" xfId="0" applyFont="1" applyFill="1" applyBorder="1" applyAlignment="1">
      <alignment horizontal="center"/>
    </xf>
    <xf numFmtId="3" fontId="0" fillId="6" borderId="6" xfId="0" applyNumberFormat="1" applyFill="1" applyBorder="1"/>
    <xf numFmtId="3" fontId="0" fillId="6" borderId="7" xfId="0" applyNumberFormat="1" applyFill="1" applyBorder="1"/>
    <xf numFmtId="3" fontId="0" fillId="6" borderId="9" xfId="0" applyNumberFormat="1" applyFill="1" applyBorder="1"/>
    <xf numFmtId="3" fontId="0" fillId="6" borderId="10" xfId="0" applyNumberFormat="1" applyFill="1" applyBorder="1"/>
    <xf numFmtId="3" fontId="0" fillId="6" borderId="11" xfId="0" applyNumberFormat="1" applyFill="1" applyBorder="1"/>
    <xf numFmtId="3" fontId="0" fillId="0" borderId="52" xfId="0" applyNumberFormat="1" applyFill="1" applyBorder="1"/>
    <xf numFmtId="3" fontId="0" fillId="6" borderId="52" xfId="0" applyNumberFormat="1" applyFill="1" applyBorder="1"/>
    <xf numFmtId="3" fontId="0" fillId="0" borderId="46" xfId="0" applyNumberFormat="1" applyBorder="1"/>
    <xf numFmtId="3" fontId="0" fillId="0" borderId="47" xfId="0" applyNumberFormat="1" applyBorder="1"/>
    <xf numFmtId="3" fontId="0" fillId="0" borderId="48" xfId="0" applyNumberFormat="1" applyFill="1" applyBorder="1"/>
    <xf numFmtId="3" fontId="0" fillId="6" borderId="46" xfId="0" applyNumberFormat="1" applyFill="1" applyBorder="1"/>
    <xf numFmtId="3" fontId="0" fillId="6" borderId="47" xfId="0" applyNumberFormat="1" applyFill="1" applyBorder="1"/>
    <xf numFmtId="3" fontId="0" fillId="6" borderId="48" xfId="0" applyNumberFormat="1" applyFill="1" applyBorder="1"/>
    <xf numFmtId="165" fontId="0" fillId="6" borderId="0" xfId="96" applyNumberFormat="1" applyFont="1" applyFill="1"/>
    <xf numFmtId="41" fontId="0" fillId="6" borderId="0" xfId="0" applyNumberFormat="1" applyFill="1"/>
    <xf numFmtId="41" fontId="15" fillId="0" borderId="47" xfId="2" applyNumberFormat="1" applyFont="1" applyFill="1" applyBorder="1"/>
    <xf numFmtId="3" fontId="14" fillId="0" borderId="51" xfId="2" applyNumberFormat="1" applyFont="1" applyFill="1" applyBorder="1"/>
    <xf numFmtId="10" fontId="14" fillId="0" borderId="0" xfId="13" applyNumberFormat="1" applyFont="1" applyFill="1"/>
    <xf numFmtId="166" fontId="15" fillId="0" borderId="50" xfId="2" quotePrefix="1" applyNumberFormat="1" applyFont="1" applyFill="1" applyBorder="1" applyAlignment="1">
      <alignment horizontal="center"/>
    </xf>
    <xf numFmtId="3" fontId="15" fillId="0" borderId="6" xfId="2" applyNumberFormat="1" applyFont="1" applyFill="1" applyBorder="1" applyAlignment="1">
      <alignment horizontal="center"/>
    </xf>
    <xf numFmtId="3" fontId="15" fillId="0" borderId="9" xfId="2" applyNumberFormat="1" applyFont="1" applyFill="1" applyBorder="1" applyAlignment="1">
      <alignment horizontal="center"/>
    </xf>
    <xf numFmtId="0" fontId="8" fillId="0" borderId="47" xfId="283" applyBorder="1"/>
    <xf numFmtId="0" fontId="31" fillId="0" borderId="0" xfId="283" applyFont="1"/>
    <xf numFmtId="0" fontId="11" fillId="0" borderId="0" xfId="283" applyFont="1"/>
    <xf numFmtId="0" fontId="11" fillId="0" borderId="0" xfId="283" applyFont="1" applyFill="1" applyBorder="1"/>
    <xf numFmtId="0" fontId="11" fillId="0" borderId="0" xfId="283" applyFont="1" applyAlignment="1">
      <alignment horizontal="left" indent="2"/>
    </xf>
    <xf numFmtId="0" fontId="147" fillId="0" borderId="0" xfId="283" applyFont="1"/>
    <xf numFmtId="0" fontId="27" fillId="0" borderId="0" xfId="283" applyFont="1"/>
    <xf numFmtId="0" fontId="31" fillId="0" borderId="0" xfId="283" quotePrefix="1" applyFont="1" applyAlignment="1">
      <alignment horizontal="centerContinuous" vertical="center"/>
    </xf>
    <xf numFmtId="0" fontId="31" fillId="0" borderId="0" xfId="283" applyFont="1" applyFill="1" applyBorder="1" applyAlignment="1">
      <alignment horizontal="center" wrapText="1"/>
    </xf>
    <xf numFmtId="0" fontId="19" fillId="0" borderId="0" xfId="283" quotePrefix="1" applyFont="1" applyAlignment="1">
      <alignment horizontal="centerContinuous" vertical="center"/>
    </xf>
    <xf numFmtId="0" fontId="148" fillId="0" borderId="0" xfId="283" applyFont="1" applyFill="1" applyBorder="1" applyAlignment="1">
      <alignment horizontal="centerContinuous" vertical="center"/>
    </xf>
    <xf numFmtId="0" fontId="27" fillId="0" borderId="0" xfId="283" applyFont="1" applyBorder="1" applyAlignment="1">
      <alignment horizontal="centerContinuous" vertical="center"/>
    </xf>
    <xf numFmtId="37" fontId="27" fillId="0" borderId="0" xfId="283" applyNumberFormat="1" applyFont="1" applyFill="1" applyBorder="1" applyAlignment="1">
      <alignment horizontal="centerContinuous" vertical="center"/>
    </xf>
    <xf numFmtId="0" fontId="27" fillId="0" borderId="0" xfId="283" applyFont="1" applyFill="1" applyBorder="1"/>
    <xf numFmtId="0" fontId="19" fillId="0" borderId="0" xfId="283" applyFont="1" applyFill="1" applyBorder="1" applyAlignment="1">
      <alignment horizontal="center"/>
    </xf>
    <xf numFmtId="0" fontId="19" fillId="0" borderId="0" xfId="283" applyFont="1" applyBorder="1" applyAlignment="1">
      <alignment horizontal="center"/>
    </xf>
    <xf numFmtId="0" fontId="11" fillId="0" borderId="0" xfId="96" applyNumberFormat="1" applyFont="1" applyFill="1" applyAlignment="1">
      <alignment horizontal="fill"/>
    </xf>
    <xf numFmtId="37" fontId="11" fillId="0" borderId="0" xfId="283" applyNumberFormat="1" applyFont="1"/>
    <xf numFmtId="10" fontId="11" fillId="0" borderId="0" xfId="96" applyNumberFormat="1" applyFont="1" applyFill="1"/>
    <xf numFmtId="165" fontId="11" fillId="0" borderId="0" xfId="96" applyNumberFormat="1" applyFont="1" applyFill="1"/>
    <xf numFmtId="43" fontId="11" fillId="0" borderId="0" xfId="96" applyNumberFormat="1" applyFont="1" applyFill="1"/>
    <xf numFmtId="10" fontId="31" fillId="0" borderId="0" xfId="3259" applyNumberFormat="1" applyFont="1" applyFill="1" applyBorder="1" applyAlignment="1">
      <alignment horizontal="center"/>
    </xf>
    <xf numFmtId="10" fontId="11" fillId="0" borderId="0" xfId="96" applyNumberFormat="1" applyFont="1" applyFill="1" applyAlignment="1">
      <alignment horizontal="right"/>
    </xf>
    <xf numFmtId="165" fontId="11" fillId="0" borderId="0" xfId="96" applyNumberFormat="1" applyFont="1" applyFill="1" applyAlignment="1">
      <alignment horizontal="right"/>
    </xf>
    <xf numFmtId="168" fontId="11" fillId="0" borderId="0" xfId="96" applyNumberFormat="1" applyFont="1" applyFill="1" applyAlignment="1">
      <alignment horizontal="right"/>
    </xf>
    <xf numFmtId="10" fontId="11" fillId="0" borderId="0" xfId="3259" applyNumberFormat="1" applyFont="1" applyFill="1" applyBorder="1" applyAlignment="1">
      <alignment horizontal="right"/>
    </xf>
    <xf numFmtId="10" fontId="11" fillId="0" borderId="0" xfId="3259" applyNumberFormat="1" applyFont="1" applyFill="1" applyAlignment="1">
      <alignment horizontal="right"/>
    </xf>
    <xf numFmtId="10" fontId="11" fillId="0" borderId="10" xfId="3259" applyNumberFormat="1" applyFont="1" applyFill="1" applyBorder="1" applyAlignment="1">
      <alignment horizontal="right"/>
    </xf>
    <xf numFmtId="165" fontId="149" fillId="0" borderId="0" xfId="96" applyNumberFormat="1" applyFont="1" applyFill="1" applyAlignment="1">
      <alignment horizontal="right"/>
    </xf>
    <xf numFmtId="10" fontId="31" fillId="0" borderId="0" xfId="283" applyNumberFormat="1" applyFont="1" applyFill="1" applyBorder="1" applyAlignment="1">
      <alignment horizontal="right"/>
    </xf>
    <xf numFmtId="210" fontId="27" fillId="0" borderId="0" xfId="283" applyNumberFormat="1" applyFont="1"/>
    <xf numFmtId="10" fontId="27" fillId="0" borderId="0" xfId="283" applyNumberFormat="1" applyFont="1"/>
    <xf numFmtId="10" fontId="27" fillId="0" borderId="0" xfId="283" applyNumberFormat="1" applyFont="1" applyFill="1" applyBorder="1"/>
    <xf numFmtId="10" fontId="27" fillId="0" borderId="0" xfId="3259" applyNumberFormat="1" applyFont="1" applyFill="1"/>
    <xf numFmtId="0" fontId="28" fillId="0" borderId="0" xfId="283" applyFont="1" applyFill="1" applyBorder="1" applyAlignment="1">
      <alignment horizontal="centerContinuous"/>
    </xf>
    <xf numFmtId="0" fontId="27" fillId="0" borderId="0" xfId="283" applyFont="1" applyFill="1" applyBorder="1" applyAlignment="1"/>
    <xf numFmtId="0" fontId="28" fillId="0" borderId="0" xfId="283" applyFont="1" applyFill="1" applyBorder="1" applyAlignment="1">
      <alignment horizontal="center"/>
    </xf>
    <xf numFmtId="0" fontId="27" fillId="76" borderId="49" xfId="283" applyFont="1" applyFill="1" applyBorder="1" applyAlignment="1">
      <alignment horizontal="centerContinuous" vertical="center"/>
    </xf>
    <xf numFmtId="0" fontId="27" fillId="0" borderId="49" xfId="283" applyFont="1" applyBorder="1" applyAlignment="1">
      <alignment horizontal="center" vertical="center"/>
    </xf>
    <xf numFmtId="41" fontId="27" fillId="0" borderId="0" xfId="283" applyNumberFormat="1" applyFont="1"/>
    <xf numFmtId="41" fontId="28" fillId="0" borderId="0" xfId="283" applyNumberFormat="1" applyFont="1"/>
    <xf numFmtId="41" fontId="28" fillId="0" borderId="0" xfId="283" applyNumberFormat="1" applyFont="1" applyAlignment="1">
      <alignment horizontal="center"/>
    </xf>
    <xf numFmtId="0" fontId="28" fillId="0" borderId="0" xfId="283" applyFont="1"/>
    <xf numFmtId="0" fontId="27" fillId="0" borderId="0" xfId="283" applyFont="1" applyAlignment="1">
      <alignment horizontal="right"/>
    </xf>
    <xf numFmtId="0" fontId="27" fillId="0" borderId="46" xfId="283" applyFont="1" applyBorder="1"/>
    <xf numFmtId="0" fontId="27" fillId="0" borderId="48" xfId="283" applyFont="1" applyBorder="1"/>
    <xf numFmtId="0" fontId="27" fillId="0" borderId="49" xfId="283" applyFont="1" applyBorder="1"/>
    <xf numFmtId="0" fontId="27" fillId="0" borderId="0" xfId="283" applyFont="1" applyFill="1" applyBorder="1" applyAlignment="1">
      <alignment horizontal="right"/>
    </xf>
    <xf numFmtId="210" fontId="27" fillId="0" borderId="0" xfId="283" applyNumberFormat="1" applyFont="1" applyAlignment="1">
      <alignment horizontal="right"/>
    </xf>
    <xf numFmtId="0" fontId="8" fillId="0" borderId="0" xfId="0" applyFont="1" applyAlignment="1">
      <alignment horizontal="center" vertical="center"/>
    </xf>
    <xf numFmtId="0" fontId="0" fillId="0" borderId="0" xfId="0" applyAlignment="1">
      <alignment horizontal="center" vertical="center"/>
    </xf>
    <xf numFmtId="0" fontId="31" fillId="7" borderId="53" xfId="0" applyFont="1" applyFill="1" applyBorder="1" applyAlignment="1">
      <alignment horizontal="left" vertical="top" wrapText="1"/>
    </xf>
    <xf numFmtId="0" fontId="19" fillId="7" borderId="54" xfId="0" applyFont="1" applyFill="1" applyBorder="1" applyAlignment="1">
      <alignment horizontal="center" vertical="center"/>
    </xf>
    <xf numFmtId="0" fontId="19" fillId="7" borderId="55" xfId="0" applyFont="1" applyFill="1" applyBorder="1" applyAlignment="1">
      <alignment horizontal="center" vertical="center"/>
    </xf>
    <xf numFmtId="0" fontId="31" fillId="7" borderId="56" xfId="11" applyFont="1" applyFill="1" applyBorder="1" applyAlignment="1">
      <alignment wrapText="1"/>
    </xf>
    <xf numFmtId="0" fontId="31" fillId="7" borderId="10" xfId="11" applyFont="1" applyFill="1" applyBorder="1" applyAlignment="1">
      <alignment horizontal="center" wrapText="1"/>
    </xf>
    <xf numFmtId="0" fontId="31" fillId="7" borderId="57" xfId="11" applyFont="1" applyFill="1" applyBorder="1" applyAlignment="1">
      <alignment horizontal="center" wrapText="1"/>
    </xf>
    <xf numFmtId="0" fontId="143" fillId="7" borderId="20" xfId="42084" applyFont="1" applyFill="1" applyBorder="1"/>
    <xf numFmtId="10" fontId="142" fillId="7" borderId="0" xfId="3259" applyNumberFormat="1" applyFont="1" applyFill="1" applyBorder="1"/>
    <xf numFmtId="10" fontId="142" fillId="7" borderId="21" xfId="3259" applyNumberFormat="1" applyFont="1" applyFill="1" applyBorder="1"/>
    <xf numFmtId="0" fontId="31" fillId="7" borderId="20" xfId="11" applyFont="1" applyFill="1" applyBorder="1"/>
    <xf numFmtId="10" fontId="142" fillId="7" borderId="10" xfId="3259" applyNumberFormat="1" applyFont="1" applyFill="1" applyBorder="1"/>
    <xf numFmtId="0" fontId="11" fillId="7" borderId="0" xfId="0" applyFont="1" applyFill="1" applyBorder="1"/>
    <xf numFmtId="10" fontId="27" fillId="7" borderId="0" xfId="0" applyNumberFormat="1" applyFont="1" applyFill="1" applyBorder="1"/>
    <xf numFmtId="10" fontId="142" fillId="7" borderId="57" xfId="3259" applyNumberFormat="1" applyFont="1" applyFill="1" applyBorder="1"/>
    <xf numFmtId="0" fontId="31" fillId="7" borderId="22" xfId="11" applyFont="1" applyFill="1" applyBorder="1" applyAlignment="1">
      <alignment horizontal="right"/>
    </xf>
    <xf numFmtId="0" fontId="27" fillId="7" borderId="23" xfId="0" applyFont="1" applyFill="1" applyBorder="1"/>
    <xf numFmtId="10" fontId="143" fillId="74" borderId="58" xfId="3259" applyNumberFormat="1" applyFont="1" applyFill="1" applyBorder="1"/>
    <xf numFmtId="0" fontId="19" fillId="7" borderId="0" xfId="0" applyFont="1" applyFill="1" applyBorder="1" applyAlignment="1">
      <alignment vertical="top" wrapText="1"/>
    </xf>
    <xf numFmtId="0" fontId="19" fillId="7" borderId="59" xfId="0" applyFont="1" applyFill="1" applyBorder="1" applyAlignment="1">
      <alignment horizontal="left" vertical="top" wrapText="1"/>
    </xf>
    <xf numFmtId="0" fontId="19" fillId="7" borderId="60" xfId="0" applyFont="1" applyFill="1" applyBorder="1" applyAlignment="1">
      <alignment horizontal="left" vertical="top" wrapText="1"/>
    </xf>
    <xf numFmtId="0" fontId="19" fillId="7" borderId="61" xfId="0" applyFont="1" applyFill="1" applyBorder="1" applyAlignment="1">
      <alignment horizontal="left" vertical="top" wrapText="1"/>
    </xf>
    <xf numFmtId="10" fontId="31" fillId="0" borderId="0" xfId="13" applyNumberFormat="1" applyFont="1" applyFill="1" applyBorder="1" applyAlignment="1">
      <alignment horizontal="center"/>
    </xf>
    <xf numFmtId="3" fontId="30" fillId="0" borderId="0" xfId="12" applyNumberFormat="1" applyFont="1" applyFill="1" applyBorder="1" applyAlignment="1">
      <alignment horizontal="center"/>
    </xf>
    <xf numFmtId="3" fontId="38" fillId="0" borderId="0" xfId="0" applyNumberFormat="1" applyFont="1" applyFill="1" applyBorder="1" applyAlignment="1">
      <alignment horizontal="center"/>
    </xf>
    <xf numFmtId="3" fontId="30" fillId="0" borderId="0" xfId="0" applyNumberFormat="1" applyFont="1" applyFill="1" applyBorder="1" applyAlignment="1">
      <alignment horizontal="center"/>
    </xf>
    <xf numFmtId="3" fontId="31" fillId="0" borderId="0" xfId="0" applyNumberFormat="1" applyFont="1" applyFill="1" applyBorder="1" applyAlignment="1">
      <alignment horizontal="center"/>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xf numFmtId="0" fontId="17" fillId="6" borderId="6" xfId="0" quotePrefix="1" applyFont="1" applyFill="1" applyBorder="1" applyAlignment="1">
      <alignment horizontal="center"/>
    </xf>
    <xf numFmtId="0" fontId="17" fillId="6" borderId="0" xfId="0" quotePrefix="1" applyFont="1" applyFill="1" applyBorder="1" applyAlignment="1">
      <alignment horizontal="center"/>
    </xf>
    <xf numFmtId="0" fontId="17" fillId="6" borderId="7" xfId="0" quotePrefix="1" applyFont="1" applyFill="1" applyBorder="1" applyAlignment="1">
      <alignment horizontal="center"/>
    </xf>
  </cellXfs>
  <cellStyles count="42085">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rmal_WAGas6_97 2 2" xfId="42084"/>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35">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34"/>
      <tableStyleElement type="headerRow" dxfId="33"/>
    </tableStyle>
    <tableStyle name="Table Style 2" pivot="0" count="3">
      <tableStyleElement type="wholeTable" dxfId="32"/>
      <tableStyleElement type="headerRow" dxfId="31"/>
      <tableStyleElement type="totalRow" dxfId="3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'4.01'!$A$15</c:f>
              <c:strCache>
                <c:ptCount val="1"/>
                <c:pt idx="0">
                  <c:v>Total Purchased Gas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'4.01'!$B$9:$T$9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'4.01'!$B$15:$T$15</c:f>
              <c:numCache>
                <c:formatCode>_(* #,##0_);_(* \(#,##0\);_(* "-"??_);_(@_)</c:formatCode>
                <c:ptCount val="19"/>
                <c:pt idx="0">
                  <c:v>163</c:v>
                </c:pt>
                <c:pt idx="1">
                  <c:v>232</c:v>
                </c:pt>
                <c:pt idx="2">
                  <c:v>261</c:v>
                </c:pt>
                <c:pt idx="3">
                  <c:v>285</c:v>
                </c:pt>
                <c:pt idx="4">
                  <c:v>369</c:v>
                </c:pt>
                <c:pt idx="5">
                  <c:v>651</c:v>
                </c:pt>
                <c:pt idx="6">
                  <c:v>653</c:v>
                </c:pt>
                <c:pt idx="7">
                  <c:v>792</c:v>
                </c:pt>
                <c:pt idx="8">
                  <c:v>783</c:v>
                </c:pt>
                <c:pt idx="9">
                  <c:v>803</c:v>
                </c:pt>
                <c:pt idx="10">
                  <c:v>800</c:v>
                </c:pt>
                <c:pt idx="11">
                  <c:v>981</c:v>
                </c:pt>
                <c:pt idx="12">
                  <c:v>928</c:v>
                </c:pt>
                <c:pt idx="13">
                  <c:v>891</c:v>
                </c:pt>
                <c:pt idx="14">
                  <c:v>779</c:v>
                </c:pt>
                <c:pt idx="15">
                  <c:v>840</c:v>
                </c:pt>
                <c:pt idx="16">
                  <c:v>994</c:v>
                </c:pt>
                <c:pt idx="17">
                  <c:v>944</c:v>
                </c:pt>
                <c:pt idx="18">
                  <c:v>959</c:v>
                </c:pt>
              </c:numCache>
            </c:numRef>
          </c:yVal>
          <c:smooth val="0"/>
          <c:extLst>
            <c:ext xmlns:c16="http://schemas.microsoft.com/office/drawing/2014/chart" uri="{C3380CC4-5D6E-409C-BE32-E72D297353CC}">
              <c16:uniqueId val="{00000000-FEF6-4AB1-A3E0-A79194B7110E}"/>
            </c:ext>
          </c:extLst>
        </c:ser>
        <c:ser>
          <c:idx val="1"/>
          <c:order val="1"/>
          <c:tx>
            <c:strRef>
              <c:f>'4.01'!$A$69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'4.01'!$B$76:$T$76</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#N/A</c:v>
                </c:pt>
                <c:pt idx="13">
                  <c:v>#N/A</c:v>
                </c:pt>
                <c:pt idx="14">
                  <c:v>#N/A</c:v>
                </c:pt>
                <c:pt idx="15">
                  <c:v>#N/A</c:v>
                </c:pt>
                <c:pt idx="16">
                  <c:v>#N/A</c:v>
                </c:pt>
                <c:pt idx="17">
                  <c:v>#N/A</c:v>
                </c:pt>
                <c:pt idx="18">
                  <c:v>#N/A</c:v>
                </c:pt>
              </c:numCache>
            </c:numRef>
          </c:xVal>
          <c:yVal>
            <c:numRef>
              <c:f>'4.01'!$B$77:$T$77</c:f>
              <c:numCache>
                <c:formatCode>_(* #,##0_);_(* \(#,##0\);_(* "-"_);_(@_)</c:formatCode>
                <c:ptCount val="19"/>
                <c:pt idx="0">
                  <c:v>792</c:v>
                </c:pt>
                <c:pt idx="1">
                  <c:v>783</c:v>
                </c:pt>
                <c:pt idx="2">
                  <c:v>803</c:v>
                </c:pt>
                <c:pt idx="3">
                  <c:v>800</c:v>
                </c:pt>
                <c:pt idx="4">
                  <c:v>981</c:v>
                </c:pt>
                <c:pt idx="5">
                  <c:v>928</c:v>
                </c:pt>
                <c:pt idx="6">
                  <c:v>891</c:v>
                </c:pt>
                <c:pt idx="7">
                  <c:v>779</c:v>
                </c:pt>
                <c:pt idx="8">
                  <c:v>840</c:v>
                </c:pt>
                <c:pt idx="9">
                  <c:v>994</c:v>
                </c:pt>
                <c:pt idx="10">
                  <c:v>944</c:v>
                </c:pt>
                <c:pt idx="11">
                  <c:v>959</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FEF6-4AB1-A3E0-A79194B7110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'4.02'!$A$14</c:f>
              <c:strCache>
                <c:ptCount val="1"/>
                <c:pt idx="0">
                  <c:v>Total Underground Storage Operating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'4.02'!$B$9:$T$9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'4.02'!$B$14:$T$14</c:f>
              <c:numCache>
                <c:formatCode>_(* #,##0_);_(* \(#,##0\);_(* "-"??_);_(@_)</c:formatCode>
                <c:ptCount val="19"/>
                <c:pt idx="0">
                  <c:v>312</c:v>
                </c:pt>
                <c:pt idx="1">
                  <c:v>322</c:v>
                </c:pt>
                <c:pt idx="2">
                  <c:v>357</c:v>
                </c:pt>
                <c:pt idx="3">
                  <c:v>342</c:v>
                </c:pt>
                <c:pt idx="4">
                  <c:v>381</c:v>
                </c:pt>
                <c:pt idx="5">
                  <c:v>450</c:v>
                </c:pt>
                <c:pt idx="6">
                  <c:v>492</c:v>
                </c:pt>
                <c:pt idx="7">
                  <c:v>451</c:v>
                </c:pt>
                <c:pt idx="8">
                  <c:v>436</c:v>
                </c:pt>
                <c:pt idx="9">
                  <c:v>403</c:v>
                </c:pt>
                <c:pt idx="10">
                  <c:v>380</c:v>
                </c:pt>
                <c:pt idx="11">
                  <c:v>585</c:v>
                </c:pt>
                <c:pt idx="12">
                  <c:v>712</c:v>
                </c:pt>
                <c:pt idx="13">
                  <c:v>820</c:v>
                </c:pt>
                <c:pt idx="14">
                  <c:v>893</c:v>
                </c:pt>
                <c:pt idx="15">
                  <c:v>857</c:v>
                </c:pt>
                <c:pt idx="16">
                  <c:v>974</c:v>
                </c:pt>
                <c:pt idx="17">
                  <c:v>1032</c:v>
                </c:pt>
                <c:pt idx="18">
                  <c:v>1532</c:v>
                </c:pt>
              </c:numCache>
            </c:numRef>
          </c:yVal>
          <c:smooth val="0"/>
          <c:extLst>
            <c:ext xmlns:c16="http://schemas.microsoft.com/office/drawing/2014/chart" uri="{C3380CC4-5D6E-409C-BE32-E72D297353CC}">
              <c16:uniqueId val="{00000000-CA70-44F6-97E1-29A0B345A7EE}"/>
            </c:ext>
          </c:extLst>
        </c:ser>
        <c:ser>
          <c:idx val="1"/>
          <c:order val="1"/>
          <c:tx>
            <c:strRef>
              <c:f>'4.02'!$A$69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'4.02'!$B$76:$T$76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#N/A</c:v>
                </c:pt>
                <c:pt idx="12">
                  <c:v>#N/A</c:v>
                </c:pt>
                <c:pt idx="13">
                  <c:v>#N/A</c:v>
                </c:pt>
                <c:pt idx="14">
                  <c:v>#N/A</c:v>
                </c:pt>
                <c:pt idx="15">
                  <c:v>#N/A</c:v>
                </c:pt>
                <c:pt idx="16">
                  <c:v>#N/A</c:v>
                </c:pt>
                <c:pt idx="17">
                  <c:v>#N/A</c:v>
                </c:pt>
                <c:pt idx="18">
                  <c:v>#N/A</c:v>
                </c:pt>
              </c:numCache>
            </c:numRef>
          </c:xVal>
          <c:yVal>
            <c:numRef>
              <c:f>'4.02'!$B$77:$T$77</c:f>
              <c:numCache>
                <c:formatCode>_(* #,##0_);_(* \(#,##0\);_(* "-"_);_(@_)</c:formatCode>
                <c:ptCount val="19"/>
                <c:pt idx="0">
                  <c:v>312</c:v>
                </c:pt>
                <c:pt idx="1">
                  <c:v>322</c:v>
                </c:pt>
                <c:pt idx="2">
                  <c:v>357</c:v>
                </c:pt>
                <c:pt idx="3">
                  <c:v>342</c:v>
                </c:pt>
                <c:pt idx="4">
                  <c:v>381</c:v>
                </c:pt>
                <c:pt idx="5">
                  <c:v>450</c:v>
                </c:pt>
                <c:pt idx="6">
                  <c:v>492</c:v>
                </c:pt>
                <c:pt idx="7">
                  <c:v>451</c:v>
                </c:pt>
                <c:pt idx="8">
                  <c:v>436</c:v>
                </c:pt>
                <c:pt idx="9">
                  <c:v>403</c:v>
                </c:pt>
                <c:pt idx="10">
                  <c:v>380</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CA70-44F6-97E1-29A0B345A7E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'4.03 UG.Dep'!$A$14</c:f>
              <c:strCache>
                <c:ptCount val="1"/>
                <c:pt idx="0">
                  <c:v>Total Underground Storage Depreciation and Amortization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'4.03 UG.Dep'!$B$9:$T$9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'4.03 UG.Dep'!$B$14:$T$14</c:f>
              <c:numCache>
                <c:formatCode>_(* #,##0_);_(* \(#,##0\);_(* "-"??_);_(@_)</c:formatCode>
                <c:ptCount val="19"/>
                <c:pt idx="0">
                  <c:v>314</c:v>
                </c:pt>
                <c:pt idx="1">
                  <c:v>314</c:v>
                </c:pt>
                <c:pt idx="2">
                  <c:v>297</c:v>
                </c:pt>
                <c:pt idx="3">
                  <c:v>309</c:v>
                </c:pt>
                <c:pt idx="4">
                  <c:v>309</c:v>
                </c:pt>
                <c:pt idx="5">
                  <c:v>310</c:v>
                </c:pt>
                <c:pt idx="6">
                  <c:v>312</c:v>
                </c:pt>
                <c:pt idx="7">
                  <c:v>310</c:v>
                </c:pt>
                <c:pt idx="8">
                  <c:v>276</c:v>
                </c:pt>
                <c:pt idx="9">
                  <c:v>393</c:v>
                </c:pt>
                <c:pt idx="10">
                  <c:v>348</c:v>
                </c:pt>
                <c:pt idx="11">
                  <c:v>395</c:v>
                </c:pt>
                <c:pt idx="12">
                  <c:v>438</c:v>
                </c:pt>
                <c:pt idx="13">
                  <c:v>380</c:v>
                </c:pt>
                <c:pt idx="14">
                  <c:v>402</c:v>
                </c:pt>
                <c:pt idx="15">
                  <c:v>439</c:v>
                </c:pt>
                <c:pt idx="16">
                  <c:v>492</c:v>
                </c:pt>
                <c:pt idx="17">
                  <c:v>537</c:v>
                </c:pt>
                <c:pt idx="18">
                  <c:v>627</c:v>
                </c:pt>
              </c:numCache>
            </c:numRef>
          </c:yVal>
          <c:smooth val="0"/>
          <c:extLst>
            <c:ext xmlns:c16="http://schemas.microsoft.com/office/drawing/2014/chart" uri="{C3380CC4-5D6E-409C-BE32-E72D297353CC}">
              <c16:uniqueId val="{00000000-937A-4AF3-AA1C-563E122DB45E}"/>
            </c:ext>
          </c:extLst>
        </c:ser>
        <c:ser>
          <c:idx val="1"/>
          <c:order val="1"/>
          <c:tx>
            <c:strRef>
              <c:f>'4.03 UG.Dep'!$A$69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'4.03 UG.Dep'!$B$76:$T$76</c:f>
              <c:numCache>
                <c:formatCode>General</c:formatCode>
                <c:ptCount val="19"/>
                <c:pt idx="0">
                  <c:v>2009</c:v>
                </c:pt>
                <c:pt idx="1">
                  <c:v>2010</c:v>
                </c:pt>
                <c:pt idx="2">
                  <c:v>2011</c:v>
                </c:pt>
                <c:pt idx="3">
                  <c:v>2012</c:v>
                </c:pt>
                <c:pt idx="4">
                  <c:v>2013</c:v>
                </c:pt>
                <c:pt idx="5">
                  <c:v>2014</c:v>
                </c:pt>
                <c:pt idx="6">
                  <c:v>2015</c:v>
                </c:pt>
                <c:pt idx="7">
                  <c:v>2016</c:v>
                </c:pt>
                <c:pt idx="8">
                  <c:v>2017</c:v>
                </c:pt>
                <c:pt idx="9">
                  <c:v>2018</c:v>
                </c:pt>
                <c:pt idx="10">
                  <c:v>#N/A</c:v>
                </c:pt>
                <c:pt idx="11">
                  <c:v>#N/A</c:v>
                </c:pt>
                <c:pt idx="12">
                  <c:v>#N/A</c:v>
                </c:pt>
                <c:pt idx="13">
                  <c:v>#N/A</c:v>
                </c:pt>
                <c:pt idx="14">
                  <c:v>#N/A</c:v>
                </c:pt>
                <c:pt idx="15">
                  <c:v>#N/A</c:v>
                </c:pt>
                <c:pt idx="16">
                  <c:v>#N/A</c:v>
                </c:pt>
                <c:pt idx="17">
                  <c:v>#N/A</c:v>
                </c:pt>
                <c:pt idx="18">
                  <c:v>#N/A</c:v>
                </c:pt>
              </c:numCache>
            </c:numRef>
          </c:xVal>
          <c:yVal>
            <c:numRef>
              <c:f>'4.03 UG.Dep'!$B$77:$T$77</c:f>
              <c:numCache>
                <c:formatCode>_(* #,##0_);_(* \(#,##0\);_(* "-"_);_(@_)</c:formatCode>
                <c:ptCount val="19"/>
                <c:pt idx="0">
                  <c:v>393</c:v>
                </c:pt>
                <c:pt idx="1">
                  <c:v>348</c:v>
                </c:pt>
                <c:pt idx="2">
                  <c:v>395</c:v>
                </c:pt>
                <c:pt idx="3">
                  <c:v>438</c:v>
                </c:pt>
                <c:pt idx="4">
                  <c:v>380</c:v>
                </c:pt>
                <c:pt idx="5">
                  <c:v>402</c:v>
                </c:pt>
                <c:pt idx="6">
                  <c:v>439</c:v>
                </c:pt>
                <c:pt idx="7">
                  <c:v>492</c:v>
                </c:pt>
                <c:pt idx="8">
                  <c:v>537</c:v>
                </c:pt>
                <c:pt idx="9">
                  <c:v>627</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937A-4AF3-AA1C-563E122DB45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'4.04'!$A$14</c:f>
              <c:strCache>
                <c:ptCount val="1"/>
                <c:pt idx="0">
                  <c:v>Total Underground Storage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'4.04'!$B$9:$T$9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'4.04'!$B$14:$T$14</c:f>
              <c:numCache>
                <c:formatCode>_(* #,##0_);_(* \(#,##0\);_(* "-"??_);_(@_)</c:formatCode>
                <c:ptCount val="19"/>
                <c:pt idx="0">
                  <c:v>111</c:v>
                </c:pt>
                <c:pt idx="1">
                  <c:v>108</c:v>
                </c:pt>
                <c:pt idx="2">
                  <c:v>120</c:v>
                </c:pt>
                <c:pt idx="3">
                  <c:v>118</c:v>
                </c:pt>
                <c:pt idx="4">
                  <c:v>120</c:v>
                </c:pt>
                <c:pt idx="5">
                  <c:v>115</c:v>
                </c:pt>
                <c:pt idx="6">
                  <c:v>122</c:v>
                </c:pt>
                <c:pt idx="7">
                  <c:v>95</c:v>
                </c:pt>
                <c:pt idx="8">
                  <c:v>113</c:v>
                </c:pt>
                <c:pt idx="9">
                  <c:v>121</c:v>
                </c:pt>
                <c:pt idx="10">
                  <c:v>116</c:v>
                </c:pt>
                <c:pt idx="11">
                  <c:v>19</c:v>
                </c:pt>
                <c:pt idx="12">
                  <c:v>17</c:v>
                </c:pt>
                <c:pt idx="13">
                  <c:v>158</c:v>
                </c:pt>
                <c:pt idx="14">
                  <c:v>184</c:v>
                </c:pt>
                <c:pt idx="15">
                  <c:v>196</c:v>
                </c:pt>
                <c:pt idx="16">
                  <c:v>210</c:v>
                </c:pt>
                <c:pt idx="17">
                  <c:v>85</c:v>
                </c:pt>
                <c:pt idx="18">
                  <c:v>224</c:v>
                </c:pt>
              </c:numCache>
            </c:numRef>
          </c:yVal>
          <c:smooth val="0"/>
          <c:extLst>
            <c:ext xmlns:c16="http://schemas.microsoft.com/office/drawing/2014/chart" uri="{C3380CC4-5D6E-409C-BE32-E72D297353CC}">
              <c16:uniqueId val="{00000000-6B7D-4DB6-B2D0-51B8A0FED16C}"/>
            </c:ext>
          </c:extLst>
        </c:ser>
        <c:ser>
          <c:idx val="1"/>
          <c:order val="1"/>
          <c:tx>
            <c:strRef>
              <c:f>'4.04'!$A$69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'4.04'!$B$76:$T$76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'4.04'!$B$77:$T$77</c:f>
              <c:numCache>
                <c:formatCode>_(* #,##0_);_(* \(#,##0\);_(* "-"_);_(@_)</c:formatCode>
                <c:ptCount val="19"/>
                <c:pt idx="0">
                  <c:v>111</c:v>
                </c:pt>
                <c:pt idx="1">
                  <c:v>108</c:v>
                </c:pt>
                <c:pt idx="2">
                  <c:v>120</c:v>
                </c:pt>
                <c:pt idx="3">
                  <c:v>118</c:v>
                </c:pt>
                <c:pt idx="4">
                  <c:v>120</c:v>
                </c:pt>
                <c:pt idx="5">
                  <c:v>115</c:v>
                </c:pt>
                <c:pt idx="6">
                  <c:v>122</c:v>
                </c:pt>
                <c:pt idx="7">
                  <c:v>95</c:v>
                </c:pt>
                <c:pt idx="8">
                  <c:v>113</c:v>
                </c:pt>
                <c:pt idx="9">
                  <c:v>121</c:v>
                </c:pt>
                <c:pt idx="10">
                  <c:v>116</c:v>
                </c:pt>
                <c:pt idx="11">
                  <c:v>19</c:v>
                </c:pt>
                <c:pt idx="12">
                  <c:v>17</c:v>
                </c:pt>
                <c:pt idx="13">
                  <c:v>158</c:v>
                </c:pt>
                <c:pt idx="14">
                  <c:v>184</c:v>
                </c:pt>
                <c:pt idx="15">
                  <c:v>196</c:v>
                </c:pt>
                <c:pt idx="16">
                  <c:v>210</c:v>
                </c:pt>
                <c:pt idx="17">
                  <c:v>85</c:v>
                </c:pt>
                <c:pt idx="18">
                  <c:v>224</c:v>
                </c:pt>
              </c:numCache>
            </c:numRef>
          </c:yVal>
          <c:smooth val="0"/>
          <c:extLst>
            <c:ext xmlns:c16="http://schemas.microsoft.com/office/drawing/2014/chart" uri="{C3380CC4-5D6E-409C-BE32-E72D297353CC}">
              <c16:uniqueId val="{00000001-6B7D-4DB6-B2D0-51B8A0FED16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'4.05'!$A$14</c:f>
              <c:strCache>
                <c:ptCount val="1"/>
                <c:pt idx="0">
                  <c:v>Total Distribution Operating Expenses</c:v>
                </c:pt>
              </c:strCache>
            </c:strRef>
          </c:tx>
          <c:spPr>
            <a:ln w="28575" cap="rnd">
              <a:noFill/>
              <a:round/>
            </a:ln>
            <a:effectLst/>
          </c:spPr>
          <c:marker>
            <c:symbol val="dash"/>
            <c:size val="11"/>
            <c:spPr>
              <a:solidFill>
                <a:schemeClr val="accent1"/>
              </a:solidFill>
              <a:ln w="9525">
                <a:solidFill>
                  <a:schemeClr val="accent1"/>
                </a:solidFill>
              </a:ln>
              <a:effectLst/>
            </c:spPr>
          </c:marker>
          <c:xVal>
            <c:numRef>
              <c:f>'4.05'!$B$9:$T$9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'4.05'!$B$14:$T$14</c:f>
              <c:numCache>
                <c:formatCode>_(* #,##0_);_(* \(#,##0\);_(* "-"??_);_(@_)</c:formatCode>
                <c:ptCount val="19"/>
                <c:pt idx="0">
                  <c:v>3956</c:v>
                </c:pt>
                <c:pt idx="1">
                  <c:v>4655</c:v>
                </c:pt>
                <c:pt idx="2">
                  <c:v>5482</c:v>
                </c:pt>
                <c:pt idx="3">
                  <c:v>5762</c:v>
                </c:pt>
                <c:pt idx="4">
                  <c:v>5958</c:v>
                </c:pt>
                <c:pt idx="5">
                  <c:v>6084</c:v>
                </c:pt>
                <c:pt idx="6">
                  <c:v>6359</c:v>
                </c:pt>
                <c:pt idx="7">
                  <c:v>6467</c:v>
                </c:pt>
                <c:pt idx="8">
                  <c:v>6123</c:v>
                </c:pt>
                <c:pt idx="9">
                  <c:v>7700</c:v>
                </c:pt>
                <c:pt idx="10">
                  <c:v>7696</c:v>
                </c:pt>
                <c:pt idx="11">
                  <c:v>8854</c:v>
                </c:pt>
                <c:pt idx="12">
                  <c:v>9511</c:v>
                </c:pt>
                <c:pt idx="13">
                  <c:v>10820</c:v>
                </c:pt>
                <c:pt idx="14">
                  <c:v>10704</c:v>
                </c:pt>
                <c:pt idx="15">
                  <c:v>12315</c:v>
                </c:pt>
                <c:pt idx="16">
                  <c:v>12050</c:v>
                </c:pt>
                <c:pt idx="17">
                  <c:v>12380</c:v>
                </c:pt>
                <c:pt idx="18">
                  <c:v>12308</c:v>
                </c:pt>
              </c:numCache>
            </c:numRef>
          </c:yVal>
          <c:smooth val="0"/>
          <c:extLst>
            <c:ext xmlns:c16="http://schemas.microsoft.com/office/drawing/2014/chart" uri="{C3380CC4-5D6E-409C-BE32-E72D297353CC}">
              <c16:uniqueId val="{00000000-A316-4113-A715-F597EA82F229}"/>
            </c:ext>
          </c:extLst>
        </c:ser>
        <c:ser>
          <c:idx val="1"/>
          <c:order val="1"/>
          <c:tx>
            <c:strRef>
              <c:f>'4.05'!$A$69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'4.05'!$B$76:$T$76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'4.05'!$B$77:$T$77</c:f>
              <c:numCache>
                <c:formatCode>_(* #,##0_);_(* \(#,##0\);_(* "-"_);_(@_)</c:formatCode>
                <c:ptCount val="19"/>
                <c:pt idx="0">
                  <c:v>3956</c:v>
                </c:pt>
                <c:pt idx="1">
                  <c:v>4655</c:v>
                </c:pt>
                <c:pt idx="2">
                  <c:v>5482</c:v>
                </c:pt>
                <c:pt idx="3">
                  <c:v>5762</c:v>
                </c:pt>
                <c:pt idx="4">
                  <c:v>5958</c:v>
                </c:pt>
                <c:pt idx="5">
                  <c:v>6084</c:v>
                </c:pt>
                <c:pt idx="6">
                  <c:v>6359</c:v>
                </c:pt>
                <c:pt idx="7">
                  <c:v>6467</c:v>
                </c:pt>
                <c:pt idx="8">
                  <c:v>6123</c:v>
                </c:pt>
                <c:pt idx="9">
                  <c:v>7700</c:v>
                </c:pt>
                <c:pt idx="10">
                  <c:v>7696</c:v>
                </c:pt>
                <c:pt idx="11">
                  <c:v>8854</c:v>
                </c:pt>
                <c:pt idx="12">
                  <c:v>9511</c:v>
                </c:pt>
                <c:pt idx="13">
                  <c:v>10820</c:v>
                </c:pt>
                <c:pt idx="14">
                  <c:v>10704</c:v>
                </c:pt>
                <c:pt idx="15">
                  <c:v>12315</c:v>
                </c:pt>
                <c:pt idx="16">
                  <c:v>12050</c:v>
                </c:pt>
                <c:pt idx="17">
                  <c:v>12380</c:v>
                </c:pt>
                <c:pt idx="18">
                  <c:v>12308</c:v>
                </c:pt>
              </c:numCache>
            </c:numRef>
          </c:yVal>
          <c:smooth val="0"/>
          <c:extLst>
            <c:ext xmlns:c16="http://schemas.microsoft.com/office/drawing/2014/chart" uri="{C3380CC4-5D6E-409C-BE32-E72D297353CC}">
              <c16:uniqueId val="{00000001-A316-4113-A715-F597EA82F229}"/>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'4.06 D.Dep'!$A$14</c:f>
              <c:strCache>
                <c:ptCount val="1"/>
                <c:pt idx="0">
                  <c:v>Total Distribution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'4.06 D.Dep'!$B$9:$T$9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'4.06 D.Dep'!$B$14:$T$14</c:f>
              <c:numCache>
                <c:formatCode>_(* #,##0_);_(* \(#,##0\);_(* "-"??_);_(@_)</c:formatCode>
                <c:ptCount val="19"/>
                <c:pt idx="0">
                  <c:v>4184</c:v>
                </c:pt>
                <c:pt idx="1">
                  <c:v>4390</c:v>
                </c:pt>
                <c:pt idx="2">
                  <c:v>4496</c:v>
                </c:pt>
                <c:pt idx="3">
                  <c:v>4707</c:v>
                </c:pt>
                <c:pt idx="4">
                  <c:v>4902</c:v>
                </c:pt>
                <c:pt idx="5">
                  <c:v>5088</c:v>
                </c:pt>
                <c:pt idx="6">
                  <c:v>5369</c:v>
                </c:pt>
                <c:pt idx="7">
                  <c:v>5605</c:v>
                </c:pt>
                <c:pt idx="8">
                  <c:v>5673</c:v>
                </c:pt>
                <c:pt idx="9">
                  <c:v>6064</c:v>
                </c:pt>
                <c:pt idx="10">
                  <c:v>6367</c:v>
                </c:pt>
                <c:pt idx="11">
                  <c:v>6649</c:v>
                </c:pt>
                <c:pt idx="12">
                  <c:v>6978</c:v>
                </c:pt>
                <c:pt idx="13">
                  <c:v>7925</c:v>
                </c:pt>
                <c:pt idx="14">
                  <c:v>8513</c:v>
                </c:pt>
                <c:pt idx="15">
                  <c:v>9088</c:v>
                </c:pt>
                <c:pt idx="16">
                  <c:v>9866</c:v>
                </c:pt>
                <c:pt idx="17">
                  <c:v>10638</c:v>
                </c:pt>
                <c:pt idx="18">
                  <c:v>11629</c:v>
                </c:pt>
              </c:numCache>
            </c:numRef>
          </c:yVal>
          <c:smooth val="0"/>
          <c:extLst>
            <c:ext xmlns:c16="http://schemas.microsoft.com/office/drawing/2014/chart" uri="{C3380CC4-5D6E-409C-BE32-E72D297353CC}">
              <c16:uniqueId val="{00000000-1046-4749-8CDF-456ACBA087FF}"/>
            </c:ext>
          </c:extLst>
        </c:ser>
        <c:ser>
          <c:idx val="1"/>
          <c:order val="1"/>
          <c:tx>
            <c:strRef>
              <c:f>'4.06 D.Dep'!$A$69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'4.06 D.Dep'!$B$76:$T$76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'4.06 D.Dep'!$B$77:$T$77</c:f>
              <c:numCache>
                <c:formatCode>_(* #,##0_);_(* \(#,##0\);_(* "-"_);_(@_)</c:formatCode>
                <c:ptCount val="19"/>
                <c:pt idx="0">
                  <c:v>4184</c:v>
                </c:pt>
                <c:pt idx="1">
                  <c:v>4390</c:v>
                </c:pt>
                <c:pt idx="2">
                  <c:v>4496</c:v>
                </c:pt>
                <c:pt idx="3">
                  <c:v>4707</c:v>
                </c:pt>
                <c:pt idx="4">
                  <c:v>4902</c:v>
                </c:pt>
                <c:pt idx="5">
                  <c:v>5088</c:v>
                </c:pt>
                <c:pt idx="6">
                  <c:v>5369</c:v>
                </c:pt>
                <c:pt idx="7">
                  <c:v>5605</c:v>
                </c:pt>
                <c:pt idx="8">
                  <c:v>5673</c:v>
                </c:pt>
                <c:pt idx="9">
                  <c:v>6064</c:v>
                </c:pt>
                <c:pt idx="10">
                  <c:v>6367</c:v>
                </c:pt>
                <c:pt idx="11">
                  <c:v>6649</c:v>
                </c:pt>
                <c:pt idx="12">
                  <c:v>6978</c:v>
                </c:pt>
                <c:pt idx="13">
                  <c:v>7925</c:v>
                </c:pt>
                <c:pt idx="14">
                  <c:v>8513</c:v>
                </c:pt>
                <c:pt idx="15">
                  <c:v>9088</c:v>
                </c:pt>
                <c:pt idx="16">
                  <c:v>9866</c:v>
                </c:pt>
                <c:pt idx="17">
                  <c:v>10638</c:v>
                </c:pt>
                <c:pt idx="18">
                  <c:v>11629</c:v>
                </c:pt>
              </c:numCache>
            </c:numRef>
          </c:yVal>
          <c:smooth val="0"/>
          <c:extLst>
            <c:ext xmlns:c16="http://schemas.microsoft.com/office/drawing/2014/chart" uri="{C3380CC4-5D6E-409C-BE32-E72D297353CC}">
              <c16:uniqueId val="{00000001-1046-4749-8CDF-456ACBA087FF}"/>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'4.07'!$A$15</c:f>
              <c:strCache>
                <c:ptCount val="1"/>
                <c:pt idx="0">
                  <c:v>Total Distribution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'4.07'!$B$9:$T$9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'4.07'!$B$15:$T$15</c:f>
              <c:numCache>
                <c:formatCode>_(* #,##0_);_(* \(#,##0\);_(* "-"??_);_(@_)</c:formatCode>
                <c:ptCount val="19"/>
                <c:pt idx="0">
                  <c:v>2615</c:v>
                </c:pt>
                <c:pt idx="1">
                  <c:v>3028</c:v>
                </c:pt>
                <c:pt idx="2">
                  <c:v>3645</c:v>
                </c:pt>
                <c:pt idx="3">
                  <c:v>3306</c:v>
                </c:pt>
                <c:pt idx="4">
                  <c:v>3621</c:v>
                </c:pt>
                <c:pt idx="5">
                  <c:v>3333</c:v>
                </c:pt>
                <c:pt idx="6">
                  <c:v>3443</c:v>
                </c:pt>
                <c:pt idx="7">
                  <c:v>3583</c:v>
                </c:pt>
                <c:pt idx="8">
                  <c:v>3024</c:v>
                </c:pt>
                <c:pt idx="9">
                  <c:v>3888</c:v>
                </c:pt>
                <c:pt idx="10">
                  <c:v>4052</c:v>
                </c:pt>
                <c:pt idx="11">
                  <c:v>4676.6743270000006</c:v>
                </c:pt>
                <c:pt idx="12">
                  <c:v>4822</c:v>
                </c:pt>
                <c:pt idx="13">
                  <c:v>5033</c:v>
                </c:pt>
                <c:pt idx="14">
                  <c:v>5339</c:v>
                </c:pt>
                <c:pt idx="15">
                  <c:v>5357</c:v>
                </c:pt>
                <c:pt idx="16">
                  <c:v>5186</c:v>
                </c:pt>
                <c:pt idx="17">
                  <c:v>5947</c:v>
                </c:pt>
                <c:pt idx="18">
                  <c:v>6261</c:v>
                </c:pt>
              </c:numCache>
            </c:numRef>
          </c:yVal>
          <c:smooth val="0"/>
          <c:extLst>
            <c:ext xmlns:c16="http://schemas.microsoft.com/office/drawing/2014/chart" uri="{C3380CC4-5D6E-409C-BE32-E72D297353CC}">
              <c16:uniqueId val="{00000000-07C3-4A40-82D0-1E300D20338D}"/>
            </c:ext>
          </c:extLst>
        </c:ser>
        <c:ser>
          <c:idx val="1"/>
          <c:order val="1"/>
          <c:tx>
            <c:strRef>
              <c:f>'4.07'!$A$69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'4.07'!$B$76:$T$76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'4.07'!$B$77:$T$77</c:f>
              <c:numCache>
                <c:formatCode>_(* #,##0_);_(* \(#,##0\);_(* "-"_);_(@_)</c:formatCode>
                <c:ptCount val="19"/>
                <c:pt idx="0">
                  <c:v>2615</c:v>
                </c:pt>
                <c:pt idx="1">
                  <c:v>3028</c:v>
                </c:pt>
                <c:pt idx="2">
                  <c:v>3645</c:v>
                </c:pt>
                <c:pt idx="3">
                  <c:v>3306</c:v>
                </c:pt>
                <c:pt idx="4">
                  <c:v>3621</c:v>
                </c:pt>
                <c:pt idx="5">
                  <c:v>3333</c:v>
                </c:pt>
                <c:pt idx="6">
                  <c:v>3443</c:v>
                </c:pt>
                <c:pt idx="7">
                  <c:v>3583</c:v>
                </c:pt>
                <c:pt idx="8">
                  <c:v>3024</c:v>
                </c:pt>
                <c:pt idx="9">
                  <c:v>3888</c:v>
                </c:pt>
                <c:pt idx="10">
                  <c:v>4052</c:v>
                </c:pt>
                <c:pt idx="11">
                  <c:v>4676.6743270000006</c:v>
                </c:pt>
                <c:pt idx="12">
                  <c:v>4822</c:v>
                </c:pt>
                <c:pt idx="13">
                  <c:v>5033</c:v>
                </c:pt>
                <c:pt idx="14">
                  <c:v>5339</c:v>
                </c:pt>
                <c:pt idx="15">
                  <c:v>5357</c:v>
                </c:pt>
                <c:pt idx="16">
                  <c:v>5186</c:v>
                </c:pt>
                <c:pt idx="17">
                  <c:v>5947</c:v>
                </c:pt>
                <c:pt idx="18">
                  <c:v>6261</c:v>
                </c:pt>
              </c:numCache>
            </c:numRef>
          </c:yVal>
          <c:smooth val="0"/>
          <c:extLst>
            <c:ext xmlns:c16="http://schemas.microsoft.com/office/drawing/2014/chart" uri="{C3380CC4-5D6E-409C-BE32-E72D297353CC}">
              <c16:uniqueId val="{00000001-07C3-4A40-82D0-1E300D20338D}"/>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'4.08'!$A$15</c:f>
              <c:strCache>
                <c:ptCount val="1"/>
                <c:pt idx="0">
                  <c:v>Total Customer Accounting and Sales</c:v>
                </c:pt>
              </c:strCache>
            </c:strRef>
          </c:tx>
          <c:spPr>
            <a:ln w="28575" cap="rnd">
              <a:noFill/>
              <a:round/>
            </a:ln>
            <a:effectLst/>
          </c:spPr>
          <c:marker>
            <c:symbol val="dash"/>
            <c:size val="11"/>
            <c:spPr>
              <a:solidFill>
                <a:schemeClr val="accent1"/>
              </a:solidFill>
              <a:ln w="9525">
                <a:solidFill>
                  <a:schemeClr val="accent1"/>
                </a:solidFill>
              </a:ln>
              <a:effectLst/>
            </c:spPr>
          </c:marker>
          <c:xVal>
            <c:numRef>
              <c:f>'4.08'!$B$9:$T$9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'4.08'!$B$15:$T$15</c:f>
              <c:numCache>
                <c:formatCode>_(* #,##0_);_(* \(#,##0\);_(* "-"??_);_(@_)</c:formatCode>
                <c:ptCount val="19"/>
                <c:pt idx="0">
                  <c:v>3588</c:v>
                </c:pt>
                <c:pt idx="1">
                  <c:v>3267</c:v>
                </c:pt>
                <c:pt idx="2">
                  <c:v>3917</c:v>
                </c:pt>
                <c:pt idx="3">
                  <c:v>4112</c:v>
                </c:pt>
                <c:pt idx="4">
                  <c:v>4186</c:v>
                </c:pt>
                <c:pt idx="5">
                  <c:v>3895</c:v>
                </c:pt>
                <c:pt idx="6">
                  <c:v>3964</c:v>
                </c:pt>
                <c:pt idx="7">
                  <c:v>4196</c:v>
                </c:pt>
                <c:pt idx="8">
                  <c:v>4365</c:v>
                </c:pt>
                <c:pt idx="9">
                  <c:v>5433</c:v>
                </c:pt>
                <c:pt idx="10">
                  <c:v>4895</c:v>
                </c:pt>
                <c:pt idx="11">
                  <c:v>5270.734942</c:v>
                </c:pt>
                <c:pt idx="12">
                  <c:v>5390</c:v>
                </c:pt>
                <c:pt idx="13">
                  <c:v>5885</c:v>
                </c:pt>
                <c:pt idx="14">
                  <c:v>5682</c:v>
                </c:pt>
                <c:pt idx="15">
                  <c:v>6229</c:v>
                </c:pt>
                <c:pt idx="16">
                  <c:v>6408</c:v>
                </c:pt>
                <c:pt idx="17">
                  <c:v>6588</c:v>
                </c:pt>
                <c:pt idx="18">
                  <c:v>6564</c:v>
                </c:pt>
              </c:numCache>
            </c:numRef>
          </c:yVal>
          <c:smooth val="0"/>
          <c:extLst>
            <c:ext xmlns:c16="http://schemas.microsoft.com/office/drawing/2014/chart" uri="{C3380CC4-5D6E-409C-BE32-E72D297353CC}">
              <c16:uniqueId val="{00000000-826F-4421-83AC-4FBA76F40C7E}"/>
            </c:ext>
          </c:extLst>
        </c:ser>
        <c:ser>
          <c:idx val="1"/>
          <c:order val="1"/>
          <c:tx>
            <c:strRef>
              <c:f>'4.08'!$A$69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'4.08'!$B$76:$T$76</c:f>
              <c:numCache>
                <c:formatCode>General</c:formatCode>
                <c:ptCount val="19"/>
                <c:pt idx="0">
                  <c:v>2009</c:v>
                </c:pt>
                <c:pt idx="1">
                  <c:v>2010</c:v>
                </c:pt>
                <c:pt idx="2">
                  <c:v>2011</c:v>
                </c:pt>
                <c:pt idx="3">
                  <c:v>2012</c:v>
                </c:pt>
                <c:pt idx="4">
                  <c:v>2013</c:v>
                </c:pt>
                <c:pt idx="5">
                  <c:v>2014</c:v>
                </c:pt>
                <c:pt idx="6">
                  <c:v>2015</c:v>
                </c:pt>
                <c:pt idx="7">
                  <c:v>2016</c:v>
                </c:pt>
                <c:pt idx="8">
                  <c:v>2017</c:v>
                </c:pt>
                <c:pt idx="9">
                  <c:v>2018</c:v>
                </c:pt>
                <c:pt idx="10">
                  <c:v>#N/A</c:v>
                </c:pt>
                <c:pt idx="11">
                  <c:v>#N/A</c:v>
                </c:pt>
                <c:pt idx="12">
                  <c:v>#N/A</c:v>
                </c:pt>
                <c:pt idx="13">
                  <c:v>#N/A</c:v>
                </c:pt>
                <c:pt idx="14">
                  <c:v>#N/A</c:v>
                </c:pt>
                <c:pt idx="15">
                  <c:v>#N/A</c:v>
                </c:pt>
                <c:pt idx="16">
                  <c:v>#N/A</c:v>
                </c:pt>
                <c:pt idx="17">
                  <c:v>#N/A</c:v>
                </c:pt>
                <c:pt idx="18">
                  <c:v>#N/A</c:v>
                </c:pt>
              </c:numCache>
            </c:numRef>
          </c:xVal>
          <c:yVal>
            <c:numRef>
              <c:f>'4.08'!$B$77:$T$77</c:f>
              <c:numCache>
                <c:formatCode>_(* #,##0_);_(* \(#,##0\);_(* "-"_);_(@_)</c:formatCode>
                <c:ptCount val="19"/>
                <c:pt idx="0">
                  <c:v>5433</c:v>
                </c:pt>
                <c:pt idx="1">
                  <c:v>4895</c:v>
                </c:pt>
                <c:pt idx="2">
                  <c:v>5270.734942</c:v>
                </c:pt>
                <c:pt idx="3">
                  <c:v>5390</c:v>
                </c:pt>
                <c:pt idx="4">
                  <c:v>5885</c:v>
                </c:pt>
                <c:pt idx="5">
                  <c:v>5682</c:v>
                </c:pt>
                <c:pt idx="6">
                  <c:v>6229</c:v>
                </c:pt>
                <c:pt idx="7">
                  <c:v>6408</c:v>
                </c:pt>
                <c:pt idx="8">
                  <c:v>6588</c:v>
                </c:pt>
                <c:pt idx="9">
                  <c:v>6564</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826F-4421-83AC-4FBA76F40C7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'4.09'!$A$15</c:f>
              <c:strCache>
                <c:ptCount val="1"/>
                <c:pt idx="0">
                  <c:v>Total Customer Service &amp; Information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'4.09'!$B$9:$T$9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'4.09'!$B$15:$T$15</c:f>
              <c:numCache>
                <c:formatCode>_(* #,##0_);_(* \(#,##0\);_(* "-"??_);_(@_)</c:formatCode>
                <c:ptCount val="19"/>
                <c:pt idx="0">
                  <c:v>507</c:v>
                </c:pt>
                <c:pt idx="1">
                  <c:v>564</c:v>
                </c:pt>
                <c:pt idx="2">
                  <c:v>556</c:v>
                </c:pt>
                <c:pt idx="3">
                  <c:v>718</c:v>
                </c:pt>
                <c:pt idx="4">
                  <c:v>480</c:v>
                </c:pt>
                <c:pt idx="5">
                  <c:v>681</c:v>
                </c:pt>
                <c:pt idx="6">
                  <c:v>1061</c:v>
                </c:pt>
                <c:pt idx="7">
                  <c:v>823</c:v>
                </c:pt>
                <c:pt idx="8">
                  <c:v>788</c:v>
                </c:pt>
                <c:pt idx="9">
                  <c:v>832</c:v>
                </c:pt>
                <c:pt idx="10">
                  <c:v>1089</c:v>
                </c:pt>
                <c:pt idx="11">
                  <c:v>824</c:v>
                </c:pt>
                <c:pt idx="12">
                  <c:v>1013</c:v>
                </c:pt>
                <c:pt idx="13">
                  <c:v>983</c:v>
                </c:pt>
                <c:pt idx="14">
                  <c:v>865</c:v>
                </c:pt>
                <c:pt idx="15">
                  <c:v>837</c:v>
                </c:pt>
                <c:pt idx="16">
                  <c:v>964</c:v>
                </c:pt>
                <c:pt idx="17">
                  <c:v>1000</c:v>
                </c:pt>
                <c:pt idx="18">
                  <c:v>1232</c:v>
                </c:pt>
              </c:numCache>
            </c:numRef>
          </c:yVal>
          <c:smooth val="0"/>
          <c:extLst>
            <c:ext xmlns:c16="http://schemas.microsoft.com/office/drawing/2014/chart" uri="{C3380CC4-5D6E-409C-BE32-E72D297353CC}">
              <c16:uniqueId val="{00000000-8E42-4BA9-BB9F-8D4C3B0CBD0C}"/>
            </c:ext>
          </c:extLst>
        </c:ser>
        <c:ser>
          <c:idx val="1"/>
          <c:order val="1"/>
          <c:tx>
            <c:strRef>
              <c:f>'4.09'!$A$69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'4.09'!$B$76:$T$76</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#N/A</c:v>
                </c:pt>
                <c:pt idx="14">
                  <c:v>#N/A</c:v>
                </c:pt>
                <c:pt idx="15">
                  <c:v>#N/A</c:v>
                </c:pt>
                <c:pt idx="16">
                  <c:v>#N/A</c:v>
                </c:pt>
                <c:pt idx="17">
                  <c:v>#N/A</c:v>
                </c:pt>
                <c:pt idx="18">
                  <c:v>#N/A</c:v>
                </c:pt>
              </c:numCache>
            </c:numRef>
          </c:xVal>
          <c:yVal>
            <c:numRef>
              <c:f>'4.09'!$B$77:$T$77</c:f>
              <c:numCache>
                <c:formatCode>_(* #,##0_);_(* \(#,##0\);_(* "-"_);_(@_)</c:formatCode>
                <c:ptCount val="19"/>
                <c:pt idx="0">
                  <c:v>1061</c:v>
                </c:pt>
                <c:pt idx="1">
                  <c:v>823</c:v>
                </c:pt>
                <c:pt idx="2">
                  <c:v>788</c:v>
                </c:pt>
                <c:pt idx="3">
                  <c:v>832</c:v>
                </c:pt>
                <c:pt idx="4">
                  <c:v>1089</c:v>
                </c:pt>
                <c:pt idx="5">
                  <c:v>824</c:v>
                </c:pt>
                <c:pt idx="6">
                  <c:v>1013</c:v>
                </c:pt>
                <c:pt idx="7">
                  <c:v>983</c:v>
                </c:pt>
                <c:pt idx="8">
                  <c:v>865</c:v>
                </c:pt>
                <c:pt idx="9">
                  <c:v>837</c:v>
                </c:pt>
                <c:pt idx="10">
                  <c:v>964</c:v>
                </c:pt>
                <c:pt idx="11">
                  <c:v>1000</c:v>
                </c:pt>
                <c:pt idx="12">
                  <c:v>1232</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8E42-4BA9-BB9F-8D4C3B0CBD0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'4.10'!$A$15</c:f>
              <c:strCache>
                <c:ptCount val="1"/>
                <c:pt idx="0">
                  <c:v>Total Administrative and General Operations Expense </c:v>
                </c:pt>
              </c:strCache>
            </c:strRef>
          </c:tx>
          <c:spPr>
            <a:ln w="28575" cap="rnd">
              <a:noFill/>
              <a:round/>
            </a:ln>
            <a:effectLst/>
          </c:spPr>
          <c:marker>
            <c:symbol val="dash"/>
            <c:size val="11"/>
            <c:spPr>
              <a:solidFill>
                <a:schemeClr val="accent1"/>
              </a:solidFill>
              <a:ln w="9525">
                <a:solidFill>
                  <a:schemeClr val="accent1"/>
                </a:solidFill>
              </a:ln>
              <a:effectLst/>
            </c:spPr>
          </c:marker>
          <c:xVal>
            <c:numRef>
              <c:f>'4.10'!$B$9:$T$9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'4.10'!$B$15:$T$15</c:f>
              <c:numCache>
                <c:formatCode>_(* #,##0_);_(* \(#,##0\);_(* "-"??_);_(@_)</c:formatCode>
                <c:ptCount val="19"/>
                <c:pt idx="0">
                  <c:v>7884</c:v>
                </c:pt>
                <c:pt idx="1">
                  <c:v>7352</c:v>
                </c:pt>
                <c:pt idx="2">
                  <c:v>9164</c:v>
                </c:pt>
                <c:pt idx="3">
                  <c:v>9620</c:v>
                </c:pt>
                <c:pt idx="4">
                  <c:v>8671</c:v>
                </c:pt>
                <c:pt idx="5">
                  <c:v>8917</c:v>
                </c:pt>
                <c:pt idx="6">
                  <c:v>8079</c:v>
                </c:pt>
                <c:pt idx="7">
                  <c:v>8566</c:v>
                </c:pt>
                <c:pt idx="8">
                  <c:v>9387</c:v>
                </c:pt>
                <c:pt idx="9">
                  <c:v>9502</c:v>
                </c:pt>
                <c:pt idx="10">
                  <c:v>11199</c:v>
                </c:pt>
                <c:pt idx="11">
                  <c:v>11389.118</c:v>
                </c:pt>
                <c:pt idx="12">
                  <c:v>13250</c:v>
                </c:pt>
                <c:pt idx="13">
                  <c:v>11701</c:v>
                </c:pt>
                <c:pt idx="14">
                  <c:v>12601</c:v>
                </c:pt>
                <c:pt idx="15">
                  <c:v>13840</c:v>
                </c:pt>
                <c:pt idx="16">
                  <c:v>13100</c:v>
                </c:pt>
                <c:pt idx="17">
                  <c:v>13208</c:v>
                </c:pt>
                <c:pt idx="18">
                  <c:v>14445</c:v>
                </c:pt>
              </c:numCache>
            </c:numRef>
          </c:yVal>
          <c:smooth val="0"/>
          <c:extLst>
            <c:ext xmlns:c16="http://schemas.microsoft.com/office/drawing/2014/chart" uri="{C3380CC4-5D6E-409C-BE32-E72D297353CC}">
              <c16:uniqueId val="{00000000-30AD-4658-822D-C2C4A15768C4}"/>
            </c:ext>
          </c:extLst>
        </c:ser>
        <c:ser>
          <c:idx val="1"/>
          <c:order val="1"/>
          <c:tx>
            <c:strRef>
              <c:f>'4.10'!$A$69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'4.10'!$B$76:$T$76</c:f>
              <c:numCache>
                <c:formatCode>General</c:formatCode>
                <c:ptCount val="19"/>
                <c:pt idx="0">
                  <c:v>2015</c:v>
                </c:pt>
                <c:pt idx="1">
                  <c:v>2016</c:v>
                </c:pt>
                <c:pt idx="2">
                  <c:v>2017</c:v>
                </c:pt>
                <c:pt idx="3">
                  <c:v>2018</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'4.10'!$B$77:$T$77</c:f>
              <c:numCache>
                <c:formatCode>_(* #,##0_);_(* \(#,##0\);_(* "-"_);_(@_)</c:formatCode>
                <c:ptCount val="19"/>
                <c:pt idx="0">
                  <c:v>13840</c:v>
                </c:pt>
                <c:pt idx="1">
                  <c:v>13100</c:v>
                </c:pt>
                <c:pt idx="2">
                  <c:v>13208</c:v>
                </c:pt>
                <c:pt idx="3">
                  <c:v>14445</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30AD-4658-822D-C2C4A15768C4}"/>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'4.11 A.Dep'!$A$15</c:f>
              <c:strCache>
                <c:ptCount val="1"/>
                <c:pt idx="0">
                  <c:v>Total Administrative and General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'4.11 A.Dep'!$B$9:$T$9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'4.11 A.Dep'!$B$15:$T$15</c:f>
              <c:numCache>
                <c:formatCode>_(* #,##0_);_(* \(#,##0\);_(* "-"??_);_(@_)</c:formatCode>
                <c:ptCount val="19"/>
                <c:pt idx="0">
                  <c:v>1027</c:v>
                </c:pt>
                <c:pt idx="1">
                  <c:v>1020</c:v>
                </c:pt>
                <c:pt idx="2">
                  <c:v>1275</c:v>
                </c:pt>
                <c:pt idx="3">
                  <c:v>1363</c:v>
                </c:pt>
                <c:pt idx="4">
                  <c:v>1180</c:v>
                </c:pt>
                <c:pt idx="5">
                  <c:v>1343</c:v>
                </c:pt>
                <c:pt idx="6">
                  <c:v>1282</c:v>
                </c:pt>
                <c:pt idx="7">
                  <c:v>1413</c:v>
                </c:pt>
                <c:pt idx="8">
                  <c:v>1371</c:v>
                </c:pt>
                <c:pt idx="9">
                  <c:v>1289</c:v>
                </c:pt>
                <c:pt idx="10">
                  <c:v>1918</c:v>
                </c:pt>
                <c:pt idx="11">
                  <c:v>2240</c:v>
                </c:pt>
                <c:pt idx="12">
                  <c:v>3093</c:v>
                </c:pt>
                <c:pt idx="13">
                  <c:v>3868</c:v>
                </c:pt>
                <c:pt idx="14">
                  <c:v>4389</c:v>
                </c:pt>
                <c:pt idx="15">
                  <c:v>5649</c:v>
                </c:pt>
                <c:pt idx="16">
                  <c:v>6260</c:v>
                </c:pt>
                <c:pt idx="17">
                  <c:v>6864</c:v>
                </c:pt>
                <c:pt idx="18">
                  <c:v>7965</c:v>
                </c:pt>
              </c:numCache>
            </c:numRef>
          </c:yVal>
          <c:smooth val="0"/>
          <c:extLst>
            <c:ext xmlns:c16="http://schemas.microsoft.com/office/drawing/2014/chart" uri="{C3380CC4-5D6E-409C-BE32-E72D297353CC}">
              <c16:uniqueId val="{00000000-B259-4217-A01D-0F52AE8F5DD7}"/>
            </c:ext>
          </c:extLst>
        </c:ser>
        <c:ser>
          <c:idx val="1"/>
          <c:order val="1"/>
          <c:tx>
            <c:strRef>
              <c:f>'4.11 A.Dep'!$A$69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'4.11 A.Dep'!$B$76:$T$76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'4.11 A.Dep'!$B$77:$T$77</c:f>
              <c:numCache>
                <c:formatCode>_(* #,##0_);_(* \(#,##0\);_(* "-"_);_(@_)</c:formatCode>
                <c:ptCount val="19"/>
                <c:pt idx="0">
                  <c:v>1027</c:v>
                </c:pt>
                <c:pt idx="1">
                  <c:v>1020</c:v>
                </c:pt>
                <c:pt idx="2">
                  <c:v>1275</c:v>
                </c:pt>
                <c:pt idx="3">
                  <c:v>1363</c:v>
                </c:pt>
                <c:pt idx="4">
                  <c:v>1180</c:v>
                </c:pt>
                <c:pt idx="5">
                  <c:v>1343</c:v>
                </c:pt>
                <c:pt idx="6">
                  <c:v>1282</c:v>
                </c:pt>
                <c:pt idx="7">
                  <c:v>1413</c:v>
                </c:pt>
                <c:pt idx="8">
                  <c:v>1371</c:v>
                </c:pt>
                <c:pt idx="9">
                  <c:v>1289</c:v>
                </c:pt>
                <c:pt idx="10">
                  <c:v>1918</c:v>
                </c:pt>
                <c:pt idx="11">
                  <c:v>2240</c:v>
                </c:pt>
                <c:pt idx="12">
                  <c:v>3093</c:v>
                </c:pt>
                <c:pt idx="13">
                  <c:v>3868</c:v>
                </c:pt>
                <c:pt idx="14">
                  <c:v>4389</c:v>
                </c:pt>
                <c:pt idx="15">
                  <c:v>5649</c:v>
                </c:pt>
                <c:pt idx="16">
                  <c:v>6260</c:v>
                </c:pt>
                <c:pt idx="17">
                  <c:v>6864</c:v>
                </c:pt>
                <c:pt idx="18">
                  <c:v>7965</c:v>
                </c:pt>
              </c:numCache>
            </c:numRef>
          </c:yVal>
          <c:smooth val="0"/>
          <c:extLst>
            <c:ext xmlns:c16="http://schemas.microsoft.com/office/drawing/2014/chart" uri="{C3380CC4-5D6E-409C-BE32-E72D297353CC}">
              <c16:uniqueId val="{00000001-B259-4217-A01D-0F52AE8F5DD7}"/>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'4.12'!$A$15</c:f>
              <c:strCache>
                <c:ptCount val="1"/>
                <c:pt idx="0">
                  <c:v>Total Undgerground Storage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'4.12'!$B$9:$T$9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'4.12'!$B$15:$T$15</c:f>
              <c:numCache>
                <c:formatCode>_(* #,##0_);_(* \(#,##0\);_(* "-"??_);_(@_)</c:formatCode>
                <c:ptCount val="19"/>
                <c:pt idx="0">
                  <c:v>7503</c:v>
                </c:pt>
                <c:pt idx="1">
                  <c:v>7313</c:v>
                </c:pt>
                <c:pt idx="2">
                  <c:v>7324</c:v>
                </c:pt>
                <c:pt idx="3">
                  <c:v>7217</c:v>
                </c:pt>
                <c:pt idx="4">
                  <c:v>6973</c:v>
                </c:pt>
                <c:pt idx="5">
                  <c:v>6784</c:v>
                </c:pt>
                <c:pt idx="6">
                  <c:v>6605</c:v>
                </c:pt>
                <c:pt idx="7">
                  <c:v>6331</c:v>
                </c:pt>
                <c:pt idx="8">
                  <c:v>7679</c:v>
                </c:pt>
                <c:pt idx="9">
                  <c:v>13991</c:v>
                </c:pt>
                <c:pt idx="10">
                  <c:v>12135</c:v>
                </c:pt>
                <c:pt idx="11">
                  <c:v>13722</c:v>
                </c:pt>
                <c:pt idx="12">
                  <c:v>15688</c:v>
                </c:pt>
                <c:pt idx="13">
                  <c:v>15623</c:v>
                </c:pt>
                <c:pt idx="14">
                  <c:v>15714</c:v>
                </c:pt>
                <c:pt idx="15">
                  <c:v>15814</c:v>
                </c:pt>
                <c:pt idx="16">
                  <c:v>16550</c:v>
                </c:pt>
                <c:pt idx="17">
                  <c:v>16645</c:v>
                </c:pt>
                <c:pt idx="18">
                  <c:v>17391</c:v>
                </c:pt>
              </c:numCache>
            </c:numRef>
          </c:yVal>
          <c:smooth val="0"/>
          <c:extLst>
            <c:ext xmlns:c16="http://schemas.microsoft.com/office/drawing/2014/chart" uri="{C3380CC4-5D6E-409C-BE32-E72D297353CC}">
              <c16:uniqueId val="{00000000-4DF9-437A-B4A6-7D81A3A3B96A}"/>
            </c:ext>
          </c:extLst>
        </c:ser>
        <c:ser>
          <c:idx val="1"/>
          <c:order val="1"/>
          <c:tx>
            <c:strRef>
              <c:f>'4.12'!$A$68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'4.12'!$B$75:$T$75</c:f>
              <c:numCache>
                <c:formatCode>General</c:formatCode>
                <c:ptCount val="19"/>
                <c:pt idx="0">
                  <c:v>2012</c:v>
                </c:pt>
                <c:pt idx="1">
                  <c:v>2013</c:v>
                </c:pt>
                <c:pt idx="2">
                  <c:v>2014</c:v>
                </c:pt>
                <c:pt idx="3">
                  <c:v>2015</c:v>
                </c:pt>
                <c:pt idx="4">
                  <c:v>2016</c:v>
                </c:pt>
                <c:pt idx="5">
                  <c:v>2017</c:v>
                </c:pt>
                <c:pt idx="6">
                  <c:v>2018</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'4.12'!$B$76:$T$76</c:f>
              <c:numCache>
                <c:formatCode>_(* #,##0_);_(* \(#,##0\);_(* "-"_);_(@_)</c:formatCode>
                <c:ptCount val="19"/>
                <c:pt idx="0">
                  <c:v>15688</c:v>
                </c:pt>
                <c:pt idx="1">
                  <c:v>15623</c:v>
                </c:pt>
                <c:pt idx="2">
                  <c:v>15714</c:v>
                </c:pt>
                <c:pt idx="3">
                  <c:v>15814</c:v>
                </c:pt>
                <c:pt idx="4">
                  <c:v>16550</c:v>
                </c:pt>
                <c:pt idx="5">
                  <c:v>16645</c:v>
                </c:pt>
                <c:pt idx="6">
                  <c:v>17391</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4DF9-437A-B4A6-7D81A3A3B96A}"/>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'4.13'!$A$15</c:f>
              <c:strCache>
                <c:ptCount val="1"/>
                <c:pt idx="0">
                  <c:v>Total Distribution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'4.13'!$B$9:$T$9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'4.13'!$B$15:$T$15</c:f>
              <c:numCache>
                <c:formatCode>_(* #,##0_);_(* \(#,##0\);_(* "-"??_);_(@_)</c:formatCode>
                <c:ptCount val="19"/>
                <c:pt idx="0">
                  <c:v>122013</c:v>
                </c:pt>
                <c:pt idx="1">
                  <c:v>127298</c:v>
                </c:pt>
                <c:pt idx="2">
                  <c:v>129469</c:v>
                </c:pt>
                <c:pt idx="3">
                  <c:v>131731</c:v>
                </c:pt>
                <c:pt idx="4">
                  <c:v>135262</c:v>
                </c:pt>
                <c:pt idx="5">
                  <c:v>138968</c:v>
                </c:pt>
                <c:pt idx="6">
                  <c:v>145268</c:v>
                </c:pt>
                <c:pt idx="7">
                  <c:v>151420</c:v>
                </c:pt>
                <c:pt idx="8">
                  <c:v>159373</c:v>
                </c:pt>
                <c:pt idx="9">
                  <c:v>171955</c:v>
                </c:pt>
                <c:pt idx="10">
                  <c:v>179849</c:v>
                </c:pt>
                <c:pt idx="11">
                  <c:v>183790</c:v>
                </c:pt>
                <c:pt idx="12">
                  <c:v>193474</c:v>
                </c:pt>
                <c:pt idx="13">
                  <c:v>204807</c:v>
                </c:pt>
                <c:pt idx="14">
                  <c:v>223099</c:v>
                </c:pt>
                <c:pt idx="15">
                  <c:v>238989</c:v>
                </c:pt>
                <c:pt idx="16">
                  <c:v>261410</c:v>
                </c:pt>
                <c:pt idx="17">
                  <c:v>285934</c:v>
                </c:pt>
                <c:pt idx="18">
                  <c:v>310626</c:v>
                </c:pt>
              </c:numCache>
            </c:numRef>
          </c:yVal>
          <c:smooth val="0"/>
          <c:extLst>
            <c:ext xmlns:c16="http://schemas.microsoft.com/office/drawing/2014/chart" uri="{C3380CC4-5D6E-409C-BE32-E72D297353CC}">
              <c16:uniqueId val="{00000000-181E-4DCB-A545-F1F901A82A05}"/>
            </c:ext>
          </c:extLst>
        </c:ser>
        <c:ser>
          <c:idx val="1"/>
          <c:order val="1"/>
          <c:tx>
            <c:strRef>
              <c:f>'4.13'!$A$68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'4.13'!$B$75:$T$75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'4.13'!$B$76:$T$76</c:f>
              <c:numCache>
                <c:formatCode>_(* #,##0_);_(* \(#,##0\);_(* "-"_);_(@_)</c:formatCode>
                <c:ptCount val="19"/>
                <c:pt idx="0">
                  <c:v>122013</c:v>
                </c:pt>
                <c:pt idx="1">
                  <c:v>127298</c:v>
                </c:pt>
                <c:pt idx="2">
                  <c:v>129469</c:v>
                </c:pt>
                <c:pt idx="3">
                  <c:v>131731</c:v>
                </c:pt>
                <c:pt idx="4">
                  <c:v>135262</c:v>
                </c:pt>
                <c:pt idx="5">
                  <c:v>138968</c:v>
                </c:pt>
                <c:pt idx="6">
                  <c:v>145268</c:v>
                </c:pt>
                <c:pt idx="7">
                  <c:v>151420</c:v>
                </c:pt>
                <c:pt idx="8">
                  <c:v>159373</c:v>
                </c:pt>
                <c:pt idx="9">
                  <c:v>171955</c:v>
                </c:pt>
                <c:pt idx="10">
                  <c:v>179849</c:v>
                </c:pt>
                <c:pt idx="11">
                  <c:v>183790</c:v>
                </c:pt>
                <c:pt idx="12">
                  <c:v>193474</c:v>
                </c:pt>
                <c:pt idx="13">
                  <c:v>204807</c:v>
                </c:pt>
                <c:pt idx="14">
                  <c:v>223099</c:v>
                </c:pt>
                <c:pt idx="15">
                  <c:v>238989</c:v>
                </c:pt>
                <c:pt idx="16">
                  <c:v>261410</c:v>
                </c:pt>
                <c:pt idx="17">
                  <c:v>285934</c:v>
                </c:pt>
                <c:pt idx="18">
                  <c:v>310626</c:v>
                </c:pt>
              </c:numCache>
            </c:numRef>
          </c:yVal>
          <c:smooth val="0"/>
          <c:extLst>
            <c:ext xmlns:c16="http://schemas.microsoft.com/office/drawing/2014/chart" uri="{C3380CC4-5D6E-409C-BE32-E72D297353CC}">
              <c16:uniqueId val="{00000001-181E-4DCB-A545-F1F901A82A05}"/>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'4.14'!$A$15</c:f>
              <c:strCache>
                <c:ptCount val="1"/>
                <c:pt idx="0">
                  <c:v>Total General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'4.14'!$B$9:$T$9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'4.14'!$B$15:$T$15</c:f>
              <c:numCache>
                <c:formatCode>_(* #,##0_);_(* \(#,##0\);_(* "-"??_);_(@_)</c:formatCode>
                <c:ptCount val="19"/>
                <c:pt idx="0">
                  <c:v>8686</c:v>
                </c:pt>
                <c:pt idx="1">
                  <c:v>9365</c:v>
                </c:pt>
                <c:pt idx="2">
                  <c:v>8926</c:v>
                </c:pt>
                <c:pt idx="3">
                  <c:v>8666</c:v>
                </c:pt>
                <c:pt idx="4">
                  <c:v>9515</c:v>
                </c:pt>
                <c:pt idx="5">
                  <c:v>10670</c:v>
                </c:pt>
                <c:pt idx="6">
                  <c:v>13561</c:v>
                </c:pt>
                <c:pt idx="7">
                  <c:v>14572</c:v>
                </c:pt>
                <c:pt idx="8">
                  <c:v>15947</c:v>
                </c:pt>
                <c:pt idx="9">
                  <c:v>18865</c:v>
                </c:pt>
                <c:pt idx="10">
                  <c:v>22679</c:v>
                </c:pt>
                <c:pt idx="11">
                  <c:v>28045</c:v>
                </c:pt>
                <c:pt idx="12">
                  <c:v>32623</c:v>
                </c:pt>
                <c:pt idx="13">
                  <c:v>37499</c:v>
                </c:pt>
                <c:pt idx="14">
                  <c:v>41740</c:v>
                </c:pt>
                <c:pt idx="15">
                  <c:v>54773</c:v>
                </c:pt>
                <c:pt idx="16">
                  <c:v>59151</c:v>
                </c:pt>
                <c:pt idx="17">
                  <c:v>65994</c:v>
                </c:pt>
                <c:pt idx="18">
                  <c:v>81699</c:v>
                </c:pt>
              </c:numCache>
            </c:numRef>
          </c:yVal>
          <c:smooth val="0"/>
          <c:extLst>
            <c:ext xmlns:c16="http://schemas.microsoft.com/office/drawing/2014/chart" uri="{C3380CC4-5D6E-409C-BE32-E72D297353CC}">
              <c16:uniqueId val="{00000000-9D3B-481F-BD69-24F765C1F5F2}"/>
            </c:ext>
          </c:extLst>
        </c:ser>
        <c:ser>
          <c:idx val="1"/>
          <c:order val="1"/>
          <c:tx>
            <c:strRef>
              <c:f>'4.14'!$A$68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'4.14'!$B$75:$T$75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'4.14'!$B$76:$T$76</c:f>
              <c:numCache>
                <c:formatCode>_(* #,##0_);_(* \(#,##0\);_(* "-"_);_(@_)</c:formatCode>
                <c:ptCount val="19"/>
                <c:pt idx="0">
                  <c:v>8686</c:v>
                </c:pt>
                <c:pt idx="1">
                  <c:v>9365</c:v>
                </c:pt>
                <c:pt idx="2">
                  <c:v>8926</c:v>
                </c:pt>
                <c:pt idx="3">
                  <c:v>8666</c:v>
                </c:pt>
                <c:pt idx="4">
                  <c:v>9515</c:v>
                </c:pt>
                <c:pt idx="5">
                  <c:v>10670</c:v>
                </c:pt>
                <c:pt idx="6">
                  <c:v>13561</c:v>
                </c:pt>
                <c:pt idx="7">
                  <c:v>14572</c:v>
                </c:pt>
                <c:pt idx="8">
                  <c:v>15947</c:v>
                </c:pt>
                <c:pt idx="9">
                  <c:v>18865</c:v>
                </c:pt>
                <c:pt idx="10">
                  <c:v>22679</c:v>
                </c:pt>
                <c:pt idx="11">
                  <c:v>28045</c:v>
                </c:pt>
                <c:pt idx="12">
                  <c:v>32623</c:v>
                </c:pt>
                <c:pt idx="13">
                  <c:v>37499</c:v>
                </c:pt>
                <c:pt idx="14">
                  <c:v>41740</c:v>
                </c:pt>
                <c:pt idx="15">
                  <c:v>54773</c:v>
                </c:pt>
                <c:pt idx="16">
                  <c:v>59151</c:v>
                </c:pt>
                <c:pt idx="17">
                  <c:v>65994</c:v>
                </c:pt>
                <c:pt idx="18">
                  <c:v>81699</c:v>
                </c:pt>
              </c:numCache>
            </c:numRef>
          </c:yVal>
          <c:smooth val="0"/>
          <c:extLst>
            <c:ext xmlns:c16="http://schemas.microsoft.com/office/drawing/2014/chart" uri="{C3380CC4-5D6E-409C-BE32-E72D297353CC}">
              <c16:uniqueId val="{00000001-9D3B-481F-BD69-24F765C1F5F2}"/>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'4.15'!$A$14</c:f>
              <c:strCache>
                <c:ptCount val="1"/>
                <c:pt idx="0">
                  <c:v>Total Accumulated Deferred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'4.15'!$B$9:$T$9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'4.15'!$B$14:$T$14</c:f>
              <c:numCache>
                <c:formatCode>_(* #,##0_);_(* \(#,##0\);_(* "-"??_);_(@_)</c:formatCode>
                <c:ptCount val="19"/>
                <c:pt idx="0">
                  <c:v>13317</c:v>
                </c:pt>
                <c:pt idx="1">
                  <c:v>14476</c:v>
                </c:pt>
                <c:pt idx="2">
                  <c:v>15979</c:v>
                </c:pt>
                <c:pt idx="3">
                  <c:v>22570</c:v>
                </c:pt>
                <c:pt idx="4">
                  <c:v>26800</c:v>
                </c:pt>
                <c:pt idx="5">
                  <c:v>23805</c:v>
                </c:pt>
                <c:pt idx="6">
                  <c:v>24645</c:v>
                </c:pt>
                <c:pt idx="7">
                  <c:v>26823</c:v>
                </c:pt>
                <c:pt idx="8">
                  <c:v>28945</c:v>
                </c:pt>
                <c:pt idx="9">
                  <c:v>31005</c:v>
                </c:pt>
                <c:pt idx="10">
                  <c:v>36762</c:v>
                </c:pt>
                <c:pt idx="11">
                  <c:v>42004</c:v>
                </c:pt>
                <c:pt idx="12">
                  <c:v>46498</c:v>
                </c:pt>
                <c:pt idx="13">
                  <c:v>50170</c:v>
                </c:pt>
                <c:pt idx="14">
                  <c:v>54652</c:v>
                </c:pt>
                <c:pt idx="15">
                  <c:v>64929</c:v>
                </c:pt>
                <c:pt idx="16">
                  <c:v>74181</c:v>
                </c:pt>
                <c:pt idx="17">
                  <c:v>83133</c:v>
                </c:pt>
                <c:pt idx="18">
                  <c:v>89585</c:v>
                </c:pt>
              </c:numCache>
            </c:numRef>
          </c:yVal>
          <c:smooth val="0"/>
          <c:extLst>
            <c:ext xmlns:c16="http://schemas.microsoft.com/office/drawing/2014/chart" uri="{C3380CC4-5D6E-409C-BE32-E72D297353CC}">
              <c16:uniqueId val="{00000000-E5AB-47A5-9A45-8EEE3C0AA458}"/>
            </c:ext>
          </c:extLst>
        </c:ser>
        <c:ser>
          <c:idx val="1"/>
          <c:order val="1"/>
          <c:tx>
            <c:strRef>
              <c:f>'4.15'!$A$68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'4.15'!$B$75:$T$75</c:f>
              <c:numCache>
                <c:formatCode>General</c:formatCode>
                <c:ptCount val="19"/>
                <c:pt idx="0">
                  <c:v>2009</c:v>
                </c:pt>
                <c:pt idx="1">
                  <c:v>2010</c:v>
                </c:pt>
                <c:pt idx="2">
                  <c:v>2011</c:v>
                </c:pt>
                <c:pt idx="3">
                  <c:v>2012</c:v>
                </c:pt>
                <c:pt idx="4">
                  <c:v>2013</c:v>
                </c:pt>
                <c:pt idx="5">
                  <c:v>2014</c:v>
                </c:pt>
                <c:pt idx="6">
                  <c:v>2015</c:v>
                </c:pt>
                <c:pt idx="7">
                  <c:v>2016</c:v>
                </c:pt>
                <c:pt idx="8">
                  <c:v>2017</c:v>
                </c:pt>
                <c:pt idx="9">
                  <c:v>2018</c:v>
                </c:pt>
                <c:pt idx="10">
                  <c:v>#N/A</c:v>
                </c:pt>
                <c:pt idx="11">
                  <c:v>#N/A</c:v>
                </c:pt>
                <c:pt idx="12">
                  <c:v>#N/A</c:v>
                </c:pt>
                <c:pt idx="13">
                  <c:v>#N/A</c:v>
                </c:pt>
                <c:pt idx="14">
                  <c:v>#N/A</c:v>
                </c:pt>
                <c:pt idx="15">
                  <c:v>#N/A</c:v>
                </c:pt>
                <c:pt idx="16">
                  <c:v>#N/A</c:v>
                </c:pt>
                <c:pt idx="17">
                  <c:v>#N/A</c:v>
                </c:pt>
                <c:pt idx="18">
                  <c:v>#N/A</c:v>
                </c:pt>
              </c:numCache>
            </c:numRef>
          </c:xVal>
          <c:yVal>
            <c:numRef>
              <c:f>'4.15'!$B$76:$T$76</c:f>
              <c:numCache>
                <c:formatCode>_(* #,##0_);_(* \(#,##0\);_(* "-"_);_(@_)</c:formatCode>
                <c:ptCount val="19"/>
                <c:pt idx="0">
                  <c:v>31005</c:v>
                </c:pt>
                <c:pt idx="1">
                  <c:v>36762</c:v>
                </c:pt>
                <c:pt idx="2">
                  <c:v>42004</c:v>
                </c:pt>
                <c:pt idx="3">
                  <c:v>46498</c:v>
                </c:pt>
                <c:pt idx="4">
                  <c:v>50170</c:v>
                </c:pt>
                <c:pt idx="5">
                  <c:v>54652</c:v>
                </c:pt>
                <c:pt idx="6">
                  <c:v>64929</c:v>
                </c:pt>
                <c:pt idx="7">
                  <c:v>74181</c:v>
                </c:pt>
                <c:pt idx="8">
                  <c:v>83133</c:v>
                </c:pt>
                <c:pt idx="9">
                  <c:v>89585</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E5AB-47A5-9A45-8EEE3C0AA458}"/>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130396</xdr:rowOff>
    </xdr:from>
    <xdr:to>
      <xdr:col>17</xdr:col>
      <xdr:colOff>81643</xdr:colOff>
      <xdr:row>60</xdr:row>
      <xdr:rowOff>109104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20</xdr:col>
      <xdr:colOff>1119</xdr:colOff>
      <xdr:row>24</xdr:row>
      <xdr:rowOff>11206</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Amounts reflected in the purchased gas expense category of cost have remained relatively flat since 2007.  The model</a:t>
          </a:r>
          <a:r>
            <a:rPr lang="en-US" sz="1200" baseline="0">
              <a:solidFill>
                <a:schemeClr val="dk1"/>
              </a:solidFill>
              <a:effectLst/>
              <a:latin typeface="+mn-lt"/>
              <a:ea typeface="+mn-ea"/>
              <a:cs typeface="+mn-cs"/>
            </a:rPr>
            <a:t> uses </a:t>
          </a:r>
          <a:r>
            <a:rPr lang="en-US" sz="1200">
              <a:solidFill>
                <a:schemeClr val="dk1"/>
              </a:solidFill>
              <a:effectLst/>
              <a:latin typeface="+mn-lt"/>
              <a:ea typeface="+mn-ea"/>
              <a:cs typeface="+mn-cs"/>
            </a:rPr>
            <a:t>escalation period of 2007 to 2016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130396</xdr:rowOff>
    </xdr:from>
    <xdr:to>
      <xdr:col>18</xdr:col>
      <xdr:colOff>476250</xdr:colOff>
      <xdr:row>59</xdr:row>
      <xdr:rowOff>109104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20</xdr:col>
      <xdr:colOff>1119</xdr:colOff>
      <xdr:row>24</xdr:row>
      <xdr:rowOff>34636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5863" y="3018634"/>
          <a:ext cx="10392029" cy="15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underground storage operating expense category of cost was relatively flat over the period 2000 through 2009.   Model</a:t>
          </a:r>
          <a:r>
            <a:rPr lang="en-US" sz="1200" baseline="0">
              <a:solidFill>
                <a:schemeClr val="dk1"/>
              </a:solidFill>
              <a:effectLst/>
              <a:latin typeface="+mn-lt"/>
              <a:ea typeface="+mn-ea"/>
              <a:cs typeface="+mn-cs"/>
            </a:rPr>
            <a:t> assumes </a:t>
          </a:r>
          <a:r>
            <a:rPr lang="en-US" sz="1200">
              <a:solidFill>
                <a:schemeClr val="dk1"/>
              </a:solidFill>
              <a:effectLst/>
              <a:latin typeface="+mn-lt"/>
              <a:ea typeface="+mn-ea"/>
              <a:cs typeface="+mn-cs"/>
            </a:rPr>
            <a:t>category of cost will remain relatively flat in future periods,</a:t>
          </a:r>
          <a:r>
            <a:rPr lang="en-US" sz="1200" baseline="0">
              <a:solidFill>
                <a:schemeClr val="dk1"/>
              </a:solidFill>
              <a:effectLst/>
              <a:latin typeface="+mn-lt"/>
              <a:ea typeface="+mn-ea"/>
              <a:cs typeface="+mn-cs"/>
            </a:rPr>
            <a:t> based on the historical experience over 2000 through 2010</a:t>
          </a:r>
          <a:r>
            <a:rPr lang="en-US" sz="1200">
              <a:solidFill>
                <a:schemeClr val="dk1"/>
              </a:solidFill>
              <a:effectLst/>
              <a:latin typeface="+mn-lt"/>
              <a:ea typeface="+mn-ea"/>
              <a:cs typeface="+mn-cs"/>
            </a:rPr>
            <a:t>  </a:t>
          </a:r>
          <a:endParaRPr lang="en-US"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19</xdr:col>
      <xdr:colOff>1119</xdr:colOff>
      <xdr:row>23</xdr:row>
      <xdr:rowOff>11206</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Beginning in 2009, however, the cost data begins to show a slightly different pattern, indicating a slight upward trend.  While the pattern of this category of cost is not very well defined in the recent period, my model uses the linear trend over the period 2009 through 2016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19</xdr:col>
      <xdr:colOff>1119</xdr:colOff>
      <xdr:row>23</xdr:row>
      <xdr:rowOff>11206</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Trend</a:t>
          </a:r>
          <a:r>
            <a:rPr lang="en-US" sz="1200" baseline="0">
              <a:solidFill>
                <a:schemeClr val="dk1"/>
              </a:solidFill>
              <a:effectLst/>
              <a:latin typeface="+mn-lt"/>
              <a:ea typeface="+mn-ea"/>
              <a:cs typeface="+mn-cs"/>
            </a:rPr>
            <a:t> line calculated over the entire available period. </a:t>
          </a:r>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19</xdr:col>
      <xdr:colOff>1119</xdr:colOff>
      <xdr:row>23</xdr:row>
      <xdr:rowOff>11206</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Trend</a:t>
          </a:r>
          <a:r>
            <a:rPr lang="en-US" sz="1100" baseline="0">
              <a:solidFill>
                <a:schemeClr val="dk1"/>
              </a:solidFill>
              <a:effectLst/>
              <a:latin typeface="+mn-lt"/>
              <a:ea typeface="+mn-ea"/>
              <a:cs typeface="+mn-cs"/>
            </a:rPr>
            <a:t> line calculated over the entire available period. </a:t>
          </a:r>
          <a:endParaRPr lang="en-US"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19</xdr:col>
      <xdr:colOff>1119</xdr:colOff>
      <xdr:row>23</xdr:row>
      <xdr:rowOff>11206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Trend</a:t>
          </a:r>
          <a:r>
            <a:rPr lang="en-US" sz="1100" baseline="0">
              <a:solidFill>
                <a:schemeClr val="dk1"/>
              </a:solidFill>
              <a:effectLst/>
              <a:latin typeface="+mn-lt"/>
              <a:ea typeface="+mn-ea"/>
              <a:cs typeface="+mn-cs"/>
            </a:rPr>
            <a:t> line calculated over the entire available period. </a:t>
          </a:r>
          <a:endParaRPr lang="en-US"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Trend</a:t>
          </a:r>
          <a:r>
            <a:rPr lang="en-US" sz="1100" baseline="0">
              <a:solidFill>
                <a:schemeClr val="dk1"/>
              </a:solidFill>
              <a:effectLst/>
              <a:latin typeface="+mn-lt"/>
              <a:ea typeface="+mn-ea"/>
              <a:cs typeface="+mn-cs"/>
            </a:rPr>
            <a:t> line calculated over the entire available period. </a:t>
          </a:r>
          <a:endParaRPr lang="en-US"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Trend</a:t>
          </a:r>
          <a:r>
            <a:rPr lang="en-US" sz="1100" baseline="0">
              <a:solidFill>
                <a:schemeClr val="dk1"/>
              </a:solidFill>
              <a:effectLst/>
              <a:latin typeface="+mn-lt"/>
              <a:ea typeface="+mn-ea"/>
              <a:cs typeface="+mn-cs"/>
            </a:rPr>
            <a:t> line calculated over the entire available period. </a:t>
          </a:r>
          <a:endParaRPr lang="en-US" sz="1200">
            <a:effectLst/>
          </a:endParaRPr>
        </a:p>
        <a:p>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From the period 2006 through 2015, this category of cost has relatively flat.  The model uses an escalation period 2006 through 2018.</a:t>
          </a:r>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trend</a:t>
          </a:r>
          <a:r>
            <a:rPr lang="en-US" sz="1200" baseline="0">
              <a:solidFill>
                <a:schemeClr val="dk1"/>
              </a:solidFill>
              <a:effectLst/>
              <a:latin typeface="+mn-lt"/>
              <a:ea typeface="+mn-ea"/>
              <a:cs typeface="+mn-cs"/>
            </a:rPr>
            <a:t> line is calculated based on the most recent four years. </a:t>
          </a:r>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74542</xdr:rowOff>
    </xdr:from>
    <xdr:to>
      <xdr:col>19</xdr:col>
      <xdr:colOff>1119</xdr:colOff>
      <xdr:row>25</xdr:row>
      <xdr:rowOff>103908</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3965863" y="2741542"/>
          <a:ext cx="10392029" cy="163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Trend</a:t>
          </a:r>
          <a:r>
            <a:rPr lang="en-US" sz="1100" baseline="0">
              <a:solidFill>
                <a:schemeClr val="dk1"/>
              </a:solidFill>
              <a:effectLst/>
              <a:latin typeface="+mn-lt"/>
              <a:ea typeface="+mn-ea"/>
              <a:cs typeface="+mn-cs"/>
            </a:rPr>
            <a:t> line calculated over the entire available period. </a:t>
          </a:r>
          <a:endParaRPr lang="en-US"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category of plant related to underground storage net plant remained relatively flat over the period 2000 through 2008.  Then, in 2009, this category of plant experienced a sharp increase.  Subsequent to 2012, this category of plant has experienced a flat pattern.  The</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model uses the period 2012 through 2018 as the escalation period for this category of plant.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Similar to distribution related expenses, the model used the entire historical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Trend</a:t>
          </a:r>
          <a:r>
            <a:rPr lang="en-US" sz="1100" baseline="0">
              <a:solidFill>
                <a:schemeClr val="dk1"/>
              </a:solidFill>
              <a:effectLst/>
              <a:latin typeface="+mn-lt"/>
              <a:ea typeface="+mn-ea"/>
              <a:cs typeface="+mn-cs"/>
            </a:rPr>
            <a:t> line calculated over the entire available period. </a:t>
          </a:r>
          <a:endParaRPr lang="en-US"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19</xdr:col>
      <xdr:colOff>1119</xdr:colOff>
      <xdr:row>23</xdr:row>
      <xdr:rowOff>11206</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3977986" y="26653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model uses the period 2009 through 2018 to establish the escalation rate for this category of cost.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10"/>
  <sheetViews>
    <sheetView tabSelected="1" zoomScaleNormal="100" zoomScaleSheetLayoutView="115" workbookViewId="0">
      <selection activeCell="E9" sqref="E9"/>
    </sheetView>
  </sheetViews>
  <sheetFormatPr defaultRowHeight="12.75"/>
  <cols>
    <col min="1" max="1" width="1.5703125" customWidth="1"/>
    <col min="2" max="2" width="48" customWidth="1"/>
    <col min="3" max="3" width="13.28515625" customWidth="1"/>
    <col min="4" max="4" width="13.5703125" customWidth="1"/>
    <col min="5" max="5" width="12" customWidth="1"/>
    <col min="6" max="6" width="13.42578125" customWidth="1"/>
  </cols>
  <sheetData>
    <row r="1" spans="2:7" ht="13.5" thickBot="1">
      <c r="C1" s="324"/>
      <c r="D1" s="324"/>
      <c r="E1" s="324"/>
      <c r="F1" s="325"/>
    </row>
    <row r="2" spans="2:7" ht="32.25" customHeight="1">
      <c r="B2" s="326" t="s">
        <v>274</v>
      </c>
      <c r="C2" s="327" t="s">
        <v>130</v>
      </c>
      <c r="D2" s="327" t="s">
        <v>131</v>
      </c>
      <c r="E2" s="328" t="s">
        <v>275</v>
      </c>
      <c r="F2" s="325"/>
    </row>
    <row r="3" spans="2:7" ht="47.25">
      <c r="B3" s="329" t="s">
        <v>276</v>
      </c>
      <c r="C3" s="330" t="s">
        <v>292</v>
      </c>
      <c r="D3" s="330" t="s">
        <v>277</v>
      </c>
      <c r="E3" s="331" t="s">
        <v>278</v>
      </c>
    </row>
    <row r="4" spans="2:7" ht="18.75">
      <c r="B4" s="332" t="s">
        <v>279</v>
      </c>
      <c r="C4" s="333">
        <f ca="1">+Lead!E22-0.003</f>
        <v>2.1446176377372957E-2</v>
      </c>
      <c r="D4" s="333">
        <v>0.39527900672865707</v>
      </c>
      <c r="E4" s="334">
        <f ca="1">C4*D4</f>
        <v>8.4772232965755704E-3</v>
      </c>
    </row>
    <row r="5" spans="2:7" ht="15.75">
      <c r="B5" s="332" t="s">
        <v>47</v>
      </c>
      <c r="C5" s="333">
        <f ca="1">+Lead!E13</f>
        <v>3.7746797410148955E-2</v>
      </c>
      <c r="D5" s="333">
        <v>0.22376603180284788</v>
      </c>
      <c r="E5" s="334">
        <f ca="1">C5*D5</f>
        <v>8.4464510697350465E-3</v>
      </c>
    </row>
    <row r="6" spans="2:7" ht="15.75">
      <c r="B6" s="332" t="s">
        <v>280</v>
      </c>
      <c r="C6" s="333">
        <f ca="1">+Lead!E27</f>
        <v>2.8124375726440227E-2</v>
      </c>
      <c r="D6" s="333">
        <v>7.9700741036391257E-2</v>
      </c>
      <c r="E6" s="334">
        <f ca="1">C6*D6</f>
        <v>2.2415335865831809E-3</v>
      </c>
    </row>
    <row r="7" spans="2:7" ht="15.75">
      <c r="B7" s="335" t="s">
        <v>281</v>
      </c>
      <c r="C7" s="333">
        <f ca="1">+Lead!E34</f>
        <v>2.2038667990637646E-2</v>
      </c>
      <c r="D7" s="336">
        <v>0.30125422043210381</v>
      </c>
      <c r="E7" s="334">
        <f ca="1">C7*D7</f>
        <v>6.6392417448815043E-3</v>
      </c>
    </row>
    <row r="8" spans="2:7" ht="15.75">
      <c r="B8" s="335" t="s">
        <v>282</v>
      </c>
      <c r="C8" s="337"/>
      <c r="D8" s="338">
        <f>SUM(D4:D7)</f>
        <v>1</v>
      </c>
      <c r="E8" s="339">
        <v>-1.3439700268445284E-2</v>
      </c>
    </row>
    <row r="9" spans="2:7" ht="16.5" thickBot="1">
      <c r="B9" s="340" t="s">
        <v>283</v>
      </c>
      <c r="C9" s="341"/>
      <c r="D9" s="341"/>
      <c r="E9" s="342">
        <f ca="1">SUM(E4:E8)</f>
        <v>1.2364749429330019E-2</v>
      </c>
    </row>
    <row r="10" spans="2:7" ht="18.75" customHeight="1" thickBot="1">
      <c r="B10" s="344" t="s">
        <v>284</v>
      </c>
      <c r="C10" s="345"/>
      <c r="D10" s="345"/>
      <c r="E10" s="346"/>
      <c r="F10" s="343"/>
      <c r="G10" s="90"/>
    </row>
  </sheetData>
  <mergeCells count="1">
    <mergeCell ref="B10:E10"/>
  </mergeCells>
  <pageMargins left="0.7" right="0.7" top="1.25" bottom="0.75" header="0.3" footer="0.3"/>
  <pageSetup scale="95"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70" zoomScaleNormal="70" zoomScaleSheetLayoutView="55" workbookViewId="0"/>
  </sheetViews>
  <sheetFormatPr defaultRowHeight="12.75"/>
  <cols>
    <col min="1" max="1" width="35.85546875" style="281" customWidth="1"/>
    <col min="2" max="5" width="22.5703125" style="281" customWidth="1"/>
    <col min="6" max="6" width="3.5703125" style="281" customWidth="1"/>
    <col min="7" max="20" width="11.28515625" style="281" customWidth="1"/>
    <col min="21" max="23" width="9.140625" style="288"/>
    <col min="24" max="16384" width="9.140625" style="281"/>
  </cols>
  <sheetData>
    <row r="1" spans="1:23" s="277" customFormat="1" ht="15.75">
      <c r="A1" s="276" t="s">
        <v>291</v>
      </c>
      <c r="U1" s="278"/>
      <c r="V1" s="278"/>
      <c r="W1" s="278"/>
    </row>
    <row r="2" spans="1:23" s="277" customFormat="1" ht="15.75">
      <c r="A2" s="277" t="s">
        <v>260</v>
      </c>
      <c r="U2" s="278"/>
      <c r="V2" s="278"/>
      <c r="W2" s="278"/>
    </row>
    <row r="3" spans="1:23" s="277" customFormat="1" ht="15.75">
      <c r="A3" s="279"/>
      <c r="C3" s="280"/>
      <c r="D3" s="280"/>
      <c r="E3" s="280"/>
      <c r="F3" s="280"/>
      <c r="G3" s="280"/>
      <c r="H3" s="280"/>
      <c r="I3" s="280"/>
      <c r="U3" s="278"/>
      <c r="V3" s="278"/>
      <c r="W3" s="278"/>
    </row>
    <row r="5" spans="1:23" ht="15.75">
      <c r="B5" s="282" t="s">
        <v>261</v>
      </c>
      <c r="C5" s="282" t="s">
        <v>262</v>
      </c>
      <c r="E5" s="283" t="s">
        <v>85</v>
      </c>
      <c r="F5" s="284"/>
      <c r="G5" s="284"/>
      <c r="I5" s="284"/>
      <c r="J5" s="285"/>
      <c r="K5" s="285"/>
      <c r="L5" s="285"/>
      <c r="M5" s="285"/>
      <c r="N5" s="286"/>
      <c r="O5" s="286"/>
      <c r="P5" s="287"/>
      <c r="Q5" s="287"/>
      <c r="R5" s="287"/>
      <c r="S5" s="287"/>
      <c r="T5" s="286"/>
    </row>
    <row r="6" spans="1:23" ht="15.75">
      <c r="A6" s="277"/>
      <c r="B6" s="283" t="s">
        <v>263</v>
      </c>
      <c r="C6" s="283" t="s">
        <v>264</v>
      </c>
      <c r="D6" s="283" t="s">
        <v>294</v>
      </c>
      <c r="E6" s="283" t="s">
        <v>293</v>
      </c>
      <c r="F6" s="289"/>
      <c r="G6" s="289"/>
      <c r="I6" s="289"/>
      <c r="J6" s="289"/>
      <c r="K6" s="290"/>
      <c r="L6" s="290"/>
      <c r="M6" s="290"/>
      <c r="N6" s="290"/>
      <c r="O6" s="290"/>
      <c r="P6" s="290"/>
      <c r="Q6" s="290"/>
      <c r="R6" s="290"/>
      <c r="S6" s="290"/>
      <c r="T6" s="290"/>
    </row>
    <row r="7" spans="1:23" ht="8.25" customHeight="1">
      <c r="A7" s="277"/>
      <c r="B7" s="291" t="s">
        <v>206</v>
      </c>
      <c r="C7" s="291" t="s">
        <v>206</v>
      </c>
      <c r="D7" s="291" t="s">
        <v>206</v>
      </c>
      <c r="E7" s="291" t="s">
        <v>206</v>
      </c>
      <c r="F7" s="284"/>
      <c r="G7" s="284"/>
      <c r="H7" s="284"/>
      <c r="I7" s="284"/>
      <c r="J7" s="285"/>
      <c r="K7" s="285"/>
      <c r="L7" s="285"/>
      <c r="M7" s="285"/>
      <c r="N7" s="286"/>
      <c r="O7" s="286"/>
      <c r="P7" s="287"/>
      <c r="Q7" s="287"/>
      <c r="R7" s="287"/>
      <c r="S7" s="287"/>
      <c r="T7" s="286"/>
    </row>
    <row r="8" spans="1:23" ht="15.75">
      <c r="A8" s="292"/>
      <c r="B8" s="293"/>
      <c r="C8" s="294"/>
      <c r="D8" s="295"/>
      <c r="E8" s="296"/>
      <c r="F8" s="289"/>
      <c r="G8" s="289"/>
      <c r="H8" s="289"/>
      <c r="I8" s="289"/>
      <c r="J8" s="289"/>
      <c r="K8" s="290"/>
      <c r="L8" s="290"/>
      <c r="M8" s="290"/>
      <c r="N8" s="290"/>
      <c r="O8" s="290"/>
      <c r="P8" s="290"/>
      <c r="Q8" s="290"/>
      <c r="R8" s="290"/>
      <c r="S8" s="290"/>
      <c r="T8" s="290"/>
    </row>
    <row r="9" spans="1:23" ht="15.75">
      <c r="A9" s="280" t="s">
        <v>265</v>
      </c>
      <c r="B9" s="293"/>
      <c r="C9" s="294"/>
      <c r="D9" s="295"/>
      <c r="E9" s="296"/>
      <c r="F9" s="289"/>
      <c r="G9" s="289"/>
      <c r="H9" s="289"/>
      <c r="I9" s="289"/>
      <c r="J9" s="289"/>
      <c r="K9" s="290"/>
      <c r="L9" s="290"/>
      <c r="M9" s="290"/>
      <c r="N9" s="290"/>
      <c r="O9" s="290"/>
      <c r="P9" s="290"/>
      <c r="Q9" s="290"/>
      <c r="R9" s="290"/>
      <c r="S9" s="290"/>
      <c r="T9" s="290"/>
    </row>
    <row r="10" spans="1:23" ht="15.75">
      <c r="A10" s="292" t="s">
        <v>273</v>
      </c>
      <c r="B10" s="297">
        <f ca="1">+'4.03 UG.Dep'!B22</f>
        <v>3.8074525155864875E-2</v>
      </c>
      <c r="C10" s="298">
        <f>+'4.03 UG.Dep'!T14</f>
        <v>627</v>
      </c>
      <c r="D10" s="299">
        <f>+C10/SUM($C$10:$C$12)</f>
        <v>3.1007368577221701E-2</v>
      </c>
      <c r="E10" s="300">
        <f ca="1">+B10*D10</f>
        <v>1.1805908349106016E-3</v>
      </c>
      <c r="F10" s="289"/>
      <c r="G10" s="289"/>
      <c r="H10" s="289"/>
      <c r="I10" s="289"/>
      <c r="J10" s="289"/>
      <c r="K10" s="290"/>
      <c r="L10" s="290"/>
      <c r="M10" s="290"/>
      <c r="N10" s="290"/>
      <c r="O10" s="290"/>
      <c r="P10" s="290"/>
      <c r="Q10" s="290"/>
      <c r="R10" s="290"/>
      <c r="S10" s="290"/>
      <c r="T10" s="290"/>
    </row>
    <row r="11" spans="1:23" ht="15.75">
      <c r="A11" s="292" t="s">
        <v>19</v>
      </c>
      <c r="B11" s="297">
        <f ca="1">+'4.06 D.Dep'!B22</f>
        <v>3.2869580434877713E-2</v>
      </c>
      <c r="C11" s="298">
        <f>+'4.06 D.Dep'!T14</f>
        <v>11629</v>
      </c>
      <c r="D11" s="299">
        <f>+C11/SUM($C$10:$C$12)</f>
        <v>0.57509519806142129</v>
      </c>
      <c r="E11" s="300">
        <f ca="1">+B11*D11</f>
        <v>1.8903137870391815E-2</v>
      </c>
      <c r="F11" s="289"/>
      <c r="G11" s="289"/>
      <c r="H11" s="289"/>
      <c r="I11" s="289"/>
      <c r="J11" s="289"/>
      <c r="K11" s="290"/>
      <c r="L11" s="290"/>
      <c r="M11" s="290"/>
      <c r="N11" s="290"/>
      <c r="O11" s="290"/>
      <c r="P11" s="290"/>
      <c r="Q11" s="290"/>
      <c r="R11" s="290"/>
      <c r="S11" s="290"/>
      <c r="T11" s="290"/>
    </row>
    <row r="12" spans="1:23" ht="15.75">
      <c r="A12" s="292" t="s">
        <v>266</v>
      </c>
      <c r="B12" s="301">
        <f ca="1">+'4.11 A.Dep'!B23</f>
        <v>4.4841796896509953E-2</v>
      </c>
      <c r="C12" s="298">
        <f>+'4.11 A.Dep'!T15</f>
        <v>7965</v>
      </c>
      <c r="D12" s="299">
        <f>+C12/SUM($C$10:$C$12)</f>
        <v>0.39389743336135702</v>
      </c>
      <c r="E12" s="302">
        <f ca="1">+B12*D12</f>
        <v>1.7663068704846536E-2</v>
      </c>
      <c r="F12" s="289"/>
      <c r="G12" s="289"/>
      <c r="H12" s="289"/>
      <c r="I12" s="289"/>
      <c r="J12" s="289"/>
      <c r="K12" s="290"/>
      <c r="L12" s="290"/>
      <c r="M12" s="290"/>
      <c r="N12" s="290"/>
      <c r="O12" s="290"/>
      <c r="P12" s="290"/>
      <c r="Q12" s="290"/>
      <c r="R12" s="290"/>
      <c r="S12" s="290"/>
      <c r="T12" s="290"/>
    </row>
    <row r="13" spans="1:23" ht="15.75">
      <c r="A13" s="292"/>
      <c r="B13" s="294"/>
      <c r="C13" s="294"/>
      <c r="D13" s="303" t="s">
        <v>132</v>
      </c>
      <c r="E13" s="304">
        <f ca="1">+SUM(E10:E12)</f>
        <v>3.7746797410148955E-2</v>
      </c>
      <c r="F13" s="289"/>
      <c r="G13" s="289"/>
      <c r="H13" s="289"/>
      <c r="I13" s="289"/>
      <c r="J13" s="289"/>
      <c r="K13" s="290"/>
      <c r="L13" s="290"/>
      <c r="M13" s="290"/>
      <c r="N13" s="290"/>
      <c r="O13" s="290"/>
      <c r="P13" s="290"/>
      <c r="Q13" s="290"/>
      <c r="R13" s="290"/>
      <c r="S13" s="290"/>
      <c r="T13" s="290"/>
    </row>
    <row r="14" spans="1:23" s="288" customFormat="1">
      <c r="A14" s="284"/>
      <c r="B14" s="284"/>
      <c r="C14" s="284"/>
      <c r="D14" s="284"/>
      <c r="E14" s="284"/>
      <c r="F14" s="284"/>
      <c r="G14" s="284"/>
      <c r="H14" s="284"/>
      <c r="I14" s="284"/>
      <c r="J14" s="285"/>
      <c r="K14" s="285"/>
      <c r="L14" s="285"/>
      <c r="M14" s="285"/>
      <c r="N14" s="286"/>
      <c r="O14" s="286"/>
      <c r="P14" s="287"/>
      <c r="Q14" s="287"/>
      <c r="R14" s="287"/>
      <c r="S14" s="287"/>
      <c r="T14" s="286"/>
    </row>
    <row r="15" spans="1:23" s="288" customFormat="1" ht="15.75">
      <c r="A15" s="280" t="s">
        <v>267</v>
      </c>
      <c r="B15" s="293"/>
      <c r="C15" s="294"/>
      <c r="D15" s="295"/>
      <c r="E15" s="296"/>
      <c r="F15" s="289"/>
      <c r="G15" s="289"/>
      <c r="H15" s="289"/>
      <c r="I15" s="289"/>
      <c r="J15" s="289"/>
      <c r="K15" s="290"/>
      <c r="L15" s="290"/>
      <c r="M15" s="290"/>
      <c r="N15" s="290"/>
      <c r="O15" s="290"/>
      <c r="P15" s="290"/>
      <c r="Q15" s="290"/>
      <c r="R15" s="290"/>
      <c r="S15" s="290"/>
      <c r="T15" s="290"/>
    </row>
    <row r="16" spans="1:23" s="288" customFormat="1" ht="19.5" customHeight="1">
      <c r="A16" s="292" t="s">
        <v>285</v>
      </c>
      <c r="B16" s="297">
        <f ca="1">+'4.01'!B23</f>
        <v>1.5240234218336412E-2</v>
      </c>
      <c r="C16" s="298">
        <f>+'4.01'!T15</f>
        <v>959</v>
      </c>
      <c r="D16" s="299">
        <f t="shared" ref="D16" si="0">+C16/SUM($C$16:$C$21)</f>
        <v>2.5890928725701944E-2</v>
      </c>
      <c r="E16" s="300">
        <f t="shared" ref="E16:E21" ca="1" si="1">+B16*D16</f>
        <v>3.945838179099519E-4</v>
      </c>
      <c r="F16" s="284"/>
      <c r="G16" s="284"/>
      <c r="H16" s="284"/>
      <c r="I16" s="284"/>
      <c r="J16" s="285"/>
      <c r="K16" s="285"/>
      <c r="L16" s="285"/>
      <c r="M16" s="285"/>
      <c r="N16" s="286"/>
      <c r="O16" s="286"/>
      <c r="P16" s="287"/>
      <c r="Q16" s="287"/>
      <c r="R16" s="287"/>
      <c r="S16" s="287"/>
      <c r="T16" s="286"/>
    </row>
    <row r="17" spans="1:23" s="288" customFormat="1" ht="19.5" customHeight="1">
      <c r="A17" s="292" t="s">
        <v>16</v>
      </c>
      <c r="B17" s="297">
        <f ca="1">+'4.02'!B22</f>
        <v>7.2988369333016855E-3</v>
      </c>
      <c r="C17" s="298">
        <f>+'4.02'!T14</f>
        <v>1532</v>
      </c>
      <c r="D17" s="299">
        <f>+C17/SUM($C$16:$C$21)</f>
        <v>4.1360691144708424E-2</v>
      </c>
      <c r="E17" s="300">
        <f t="shared" ca="1" si="1"/>
        <v>3.018849401138818E-4</v>
      </c>
      <c r="F17" s="289"/>
      <c r="G17" s="289"/>
      <c r="H17" s="289"/>
      <c r="I17" s="289"/>
      <c r="J17" s="289"/>
      <c r="K17" s="290"/>
      <c r="L17" s="290"/>
      <c r="M17" s="290"/>
      <c r="N17" s="290"/>
      <c r="O17" s="290"/>
      <c r="P17" s="290"/>
      <c r="Q17" s="290"/>
      <c r="R17" s="290"/>
      <c r="S17" s="290"/>
      <c r="T17" s="290"/>
    </row>
    <row r="18" spans="1:23" s="288" customFormat="1" ht="19.5" customHeight="1">
      <c r="A18" s="292" t="s">
        <v>19</v>
      </c>
      <c r="B18" s="301">
        <f ca="1">+'4.05'!B22</f>
        <v>4.0016620198530119E-2</v>
      </c>
      <c r="C18" s="298">
        <f>+'4.05'!T14</f>
        <v>12308</v>
      </c>
      <c r="D18" s="299">
        <f>+C18/SUM($C$16:$C$21)</f>
        <v>0.33228941684665225</v>
      </c>
      <c r="E18" s="300">
        <f t="shared" ca="1" si="1"/>
        <v>1.3297099389943539E-2</v>
      </c>
      <c r="F18" s="284"/>
      <c r="G18" s="284"/>
      <c r="H18" s="284"/>
      <c r="I18" s="284"/>
      <c r="J18" s="285"/>
      <c r="K18" s="285"/>
      <c r="L18" s="285"/>
      <c r="M18" s="285"/>
      <c r="N18" s="286"/>
      <c r="O18" s="286"/>
      <c r="P18" s="287"/>
      <c r="Q18" s="287"/>
      <c r="R18" s="287"/>
      <c r="S18" s="287"/>
      <c r="T18" s="286"/>
    </row>
    <row r="19" spans="1:23" s="288" customFormat="1" ht="19.5" customHeight="1">
      <c r="A19" s="292" t="s">
        <v>21</v>
      </c>
      <c r="B19" s="301">
        <f ca="1">+'4.08'!B23</f>
        <v>2.7727296077779632E-2</v>
      </c>
      <c r="C19" s="298">
        <f>+'4.08'!T15</f>
        <v>6564</v>
      </c>
      <c r="D19" s="299">
        <f>+C19/SUM($C$16:$C$21)</f>
        <v>0.17721382289416845</v>
      </c>
      <c r="E19" s="300">
        <f t="shared" ca="1" si="1"/>
        <v>4.9136601364618117E-3</v>
      </c>
      <c r="F19" s="284"/>
      <c r="G19" s="305"/>
      <c r="H19" s="305"/>
      <c r="I19" s="305"/>
      <c r="J19" s="281"/>
      <c r="K19" s="281"/>
      <c r="L19" s="281"/>
      <c r="M19" s="281"/>
      <c r="N19" s="281"/>
      <c r="O19" s="281"/>
      <c r="P19" s="281"/>
      <c r="Q19" s="281"/>
      <c r="R19" s="281"/>
      <c r="S19" s="281"/>
      <c r="T19" s="281"/>
    </row>
    <row r="20" spans="1:23" s="288" customFormat="1" ht="19.5" customHeight="1">
      <c r="A20" s="292" t="s">
        <v>286</v>
      </c>
      <c r="B20" s="301">
        <f ca="1">+'4.09'!B23</f>
        <v>1.0440452404738119E-2</v>
      </c>
      <c r="C20" s="298">
        <f>+'4.09'!T15</f>
        <v>1232</v>
      </c>
      <c r="D20" s="299">
        <f>+C20/SUM($C$16:$C$21)</f>
        <v>3.3261339092872572E-2</v>
      </c>
      <c r="E20" s="300">
        <f t="shared" ca="1" si="1"/>
        <v>3.4726342771699143E-4</v>
      </c>
      <c r="F20" s="284"/>
      <c r="G20" s="305"/>
      <c r="H20" s="305"/>
      <c r="I20" s="305"/>
      <c r="J20" s="281"/>
      <c r="K20" s="281"/>
      <c r="L20" s="281"/>
      <c r="M20" s="281"/>
      <c r="N20" s="281"/>
      <c r="O20" s="281"/>
      <c r="P20" s="281"/>
      <c r="Q20" s="281"/>
      <c r="R20" s="281"/>
      <c r="S20" s="281"/>
      <c r="T20" s="281"/>
    </row>
    <row r="21" spans="1:23" s="288" customFormat="1" ht="19.5" customHeight="1">
      <c r="A21" s="292" t="s">
        <v>268</v>
      </c>
      <c r="B21" s="301">
        <f ca="1">+'4.10'!B23</f>
        <v>1.3312564901349948E-2</v>
      </c>
      <c r="C21" s="298">
        <f>+'4.10'!T15</f>
        <v>14445</v>
      </c>
      <c r="D21" s="299">
        <f>+C21/SUM($C$16:$C$21)</f>
        <v>0.38998380129589633</v>
      </c>
      <c r="E21" s="302">
        <f t="shared" ca="1" si="1"/>
        <v>5.1916846652267819E-3</v>
      </c>
      <c r="F21" s="306"/>
      <c r="G21" s="306"/>
      <c r="H21" s="306"/>
      <c r="I21" s="306"/>
      <c r="J21" s="281"/>
      <c r="K21" s="281"/>
      <c r="L21" s="281"/>
      <c r="M21" s="281"/>
      <c r="N21" s="281"/>
      <c r="O21" s="281"/>
      <c r="P21" s="281"/>
      <c r="Q21" s="281"/>
      <c r="R21" s="281"/>
      <c r="S21" s="281"/>
      <c r="T21" s="281"/>
    </row>
    <row r="22" spans="1:23" s="288" customFormat="1" ht="19.5" customHeight="1">
      <c r="C22" s="307"/>
      <c r="D22" s="303" t="s">
        <v>132</v>
      </c>
      <c r="E22" s="304">
        <f ca="1">+SUM(E16:E21)</f>
        <v>2.4446176377372956E-2</v>
      </c>
      <c r="F22" s="307"/>
      <c r="G22" s="307"/>
      <c r="H22" s="307"/>
      <c r="I22" s="307"/>
      <c r="J22" s="281"/>
      <c r="K22" s="281"/>
      <c r="L22" s="308"/>
      <c r="M22" s="281"/>
      <c r="N22" s="281"/>
      <c r="O22" s="281"/>
      <c r="P22" s="281"/>
      <c r="Q22" s="281"/>
      <c r="R22" s="281"/>
      <c r="S22" s="281"/>
      <c r="T22" s="281"/>
    </row>
    <row r="23" spans="1:23" ht="15.75">
      <c r="A23" s="280"/>
      <c r="B23" s="293"/>
      <c r="C23" s="294"/>
      <c r="D23" s="295"/>
      <c r="E23" s="296"/>
    </row>
    <row r="24" spans="1:23" ht="15.75">
      <c r="A24" s="280" t="s">
        <v>269</v>
      </c>
      <c r="B24" s="293"/>
      <c r="C24" s="294"/>
      <c r="D24" s="295"/>
      <c r="E24" s="296"/>
    </row>
    <row r="25" spans="1:23" s="288" customFormat="1" ht="15.75">
      <c r="A25" s="292" t="s">
        <v>287</v>
      </c>
      <c r="B25" s="297">
        <f ca="1">+'4.04'!B22</f>
        <v>1.5343045112781948E-2</v>
      </c>
      <c r="C25" s="298">
        <f>+'4.04'!T14</f>
        <v>224</v>
      </c>
      <c r="D25" s="299">
        <f>+C25/SUM($C$25:$C$26)</f>
        <v>3.4541249036237474E-2</v>
      </c>
      <c r="E25" s="300">
        <f ca="1">+B25*D25</f>
        <v>5.2996794221482754E-4</v>
      </c>
      <c r="F25" s="281"/>
      <c r="G25" s="281"/>
      <c r="H25" s="281"/>
      <c r="I25" s="281"/>
      <c r="J25" s="281"/>
      <c r="K25" s="281"/>
      <c r="L25" s="281"/>
      <c r="M25" s="281"/>
      <c r="N25" s="281"/>
      <c r="O25" s="281"/>
      <c r="P25" s="281"/>
      <c r="Q25" s="281"/>
      <c r="R25" s="281"/>
      <c r="S25" s="281"/>
      <c r="T25" s="281"/>
      <c r="U25" s="309"/>
      <c r="V25" s="309"/>
    </row>
    <row r="26" spans="1:23" s="288" customFormat="1" ht="15.75">
      <c r="A26" s="292" t="s">
        <v>19</v>
      </c>
      <c r="B26" s="297">
        <f ca="1">+'4.07'!B23</f>
        <v>2.8581653806213341E-2</v>
      </c>
      <c r="C26" s="298">
        <f>+'4.07'!T15</f>
        <v>6261</v>
      </c>
      <c r="D26" s="299">
        <f>+C26/SUM($C$25:$C$26)</f>
        <v>0.96545875096376255</v>
      </c>
      <c r="E26" s="302">
        <f ca="1">+B26*D26</f>
        <v>2.7594407784225401E-2</v>
      </c>
      <c r="F26" s="281"/>
      <c r="G26" s="281"/>
      <c r="H26" s="281"/>
      <c r="I26" s="281"/>
      <c r="J26" s="281"/>
      <c r="K26" s="281"/>
      <c r="L26" s="281"/>
      <c r="M26" s="281"/>
      <c r="N26" s="281"/>
      <c r="O26" s="281"/>
      <c r="P26" s="281"/>
      <c r="Q26" s="281"/>
      <c r="R26" s="281"/>
      <c r="S26" s="281"/>
      <c r="T26" s="281"/>
      <c r="U26" s="310"/>
      <c r="V26" s="310"/>
    </row>
    <row r="27" spans="1:23" s="288" customFormat="1" ht="15.75">
      <c r="A27" s="281"/>
      <c r="B27" s="281"/>
      <c r="C27" s="281"/>
      <c r="D27" s="303" t="s">
        <v>132</v>
      </c>
      <c r="E27" s="304">
        <f ca="1">+SUM(E25:E26)</f>
        <v>2.8124375726440227E-2</v>
      </c>
      <c r="F27" s="281"/>
      <c r="G27" s="281"/>
      <c r="H27" s="281"/>
      <c r="I27" s="281"/>
      <c r="J27" s="281"/>
      <c r="K27" s="281"/>
      <c r="L27" s="281"/>
      <c r="M27" s="281"/>
      <c r="N27" s="281"/>
      <c r="O27" s="281"/>
      <c r="P27" s="281"/>
      <c r="Q27" s="281"/>
      <c r="R27" s="281"/>
      <c r="S27" s="281"/>
      <c r="T27" s="281"/>
      <c r="U27" s="310"/>
      <c r="V27" s="310"/>
    </row>
    <row r="28" spans="1:23" s="288" customFormat="1">
      <c r="A28" s="281"/>
      <c r="B28" s="281"/>
      <c r="C28" s="281"/>
      <c r="D28" s="281"/>
      <c r="E28" s="281"/>
      <c r="F28" s="281"/>
      <c r="G28" s="281"/>
      <c r="H28" s="281"/>
      <c r="I28" s="281"/>
      <c r="J28" s="281"/>
      <c r="K28" s="281"/>
      <c r="L28" s="281"/>
      <c r="M28" s="281"/>
      <c r="N28" s="281"/>
      <c r="O28" s="281"/>
      <c r="P28" s="281"/>
      <c r="Q28" s="281"/>
      <c r="R28" s="281"/>
      <c r="S28" s="281"/>
      <c r="T28" s="281"/>
      <c r="U28" s="310"/>
      <c r="V28" s="310"/>
    </row>
    <row r="29" spans="1:23" ht="15.75">
      <c r="A29" s="280" t="s">
        <v>270</v>
      </c>
      <c r="B29" s="301"/>
    </row>
    <row r="30" spans="1:23" ht="15.75">
      <c r="A30" s="292" t="s">
        <v>16</v>
      </c>
      <c r="B30" s="301">
        <f ca="1">+'4.12'!B23</f>
        <v>1.6406269252569061E-2</v>
      </c>
      <c r="C30" s="298">
        <f>+'4.12'!T15</f>
        <v>17391</v>
      </c>
      <c r="D30" s="299">
        <f>+C30/SUM($C$30:$C$33)</f>
        <v>5.432463585219801E-2</v>
      </c>
      <c r="E30" s="300">
        <f t="shared" ref="E30:E33" ca="1" si="2">+B30*D30</f>
        <v>8.9126460283892701E-4</v>
      </c>
      <c r="U30" s="311"/>
      <c r="V30" s="311"/>
      <c r="W30" s="311"/>
    </row>
    <row r="31" spans="1:23" ht="15.75">
      <c r="A31" s="292" t="s">
        <v>288</v>
      </c>
      <c r="B31" s="301">
        <f ca="1">+'4.13'!B23</f>
        <v>3.087209518390762E-2</v>
      </c>
      <c r="C31" s="298">
        <f>+'4.13'!T15</f>
        <v>310626</v>
      </c>
      <c r="D31" s="299">
        <f>+C31/SUM($C$30:$C$33)</f>
        <v>0.97030902974094979</v>
      </c>
      <c r="E31" s="300">
        <f t="shared" ca="1" si="2"/>
        <v>2.9955472723967654E-2</v>
      </c>
      <c r="U31" s="310"/>
      <c r="V31" s="310"/>
      <c r="W31" s="310"/>
    </row>
    <row r="32" spans="1:23" ht="15.75">
      <c r="A32" s="292" t="s">
        <v>271</v>
      </c>
      <c r="B32" s="301">
        <f ca="1">+'4.14'!B23</f>
        <v>4.5044915622021182E-2</v>
      </c>
      <c r="C32" s="298">
        <f>+'4.14'!T15</f>
        <v>81699</v>
      </c>
      <c r="D32" s="299">
        <f>+C32/SUM($C$30:$C$33)</f>
        <v>0.2552049004938603</v>
      </c>
      <c r="E32" s="300">
        <f t="shared" ca="1" si="2"/>
        <v>1.1495683209072249E-2</v>
      </c>
      <c r="U32" s="310"/>
      <c r="V32" s="310"/>
      <c r="W32" s="310"/>
    </row>
    <row r="33" spans="1:23" ht="15.75">
      <c r="A33" s="292" t="s">
        <v>272</v>
      </c>
      <c r="B33" s="301">
        <f ca="1">+'4.15'!B22</f>
        <v>7.2555233644701747E-2</v>
      </c>
      <c r="C33" s="298">
        <f>-'4.15'!T14</f>
        <v>-89585</v>
      </c>
      <c r="D33" s="299">
        <f>+C33/SUM($C$30:$C$33)</f>
        <v>-0.27983856608700813</v>
      </c>
      <c r="E33" s="302">
        <f t="shared" ca="1" si="2"/>
        <v>-2.0303752545241187E-2</v>
      </c>
      <c r="U33" s="310"/>
      <c r="V33" s="310"/>
      <c r="W33" s="310"/>
    </row>
    <row r="34" spans="1:23" ht="15.75">
      <c r="D34" s="303" t="s">
        <v>132</v>
      </c>
      <c r="E34" s="304">
        <f ca="1">+SUM(E30:E33)</f>
        <v>2.2038667990637646E-2</v>
      </c>
      <c r="U34" s="310"/>
      <c r="V34" s="310"/>
      <c r="W34" s="310"/>
    </row>
    <row r="35" spans="1:23">
      <c r="U35" s="310"/>
      <c r="V35" s="310"/>
      <c r="W35" s="310"/>
    </row>
    <row r="36" spans="1:23">
      <c r="U36" s="310"/>
      <c r="V36" s="310"/>
      <c r="W36" s="310"/>
    </row>
    <row r="37" spans="1:23">
      <c r="U37" s="310"/>
      <c r="V37" s="310"/>
      <c r="W37" s="310"/>
    </row>
    <row r="38" spans="1:23">
      <c r="U38" s="310"/>
      <c r="V38" s="310"/>
      <c r="W38" s="310"/>
    </row>
    <row r="39" spans="1:23">
      <c r="U39" s="310"/>
      <c r="V39" s="310"/>
      <c r="W39" s="310"/>
    </row>
    <row r="40" spans="1:23">
      <c r="U40" s="310"/>
      <c r="V40" s="310"/>
      <c r="W40" s="310"/>
    </row>
    <row r="41" spans="1:23">
      <c r="U41" s="310"/>
      <c r="V41" s="310"/>
      <c r="W41" s="310"/>
    </row>
    <row r="43" spans="1:23">
      <c r="U43" s="311"/>
      <c r="V43" s="311"/>
      <c r="W43" s="311"/>
    </row>
    <row r="44" spans="1:23">
      <c r="U44" s="310"/>
      <c r="V44" s="310"/>
      <c r="W44" s="310"/>
    </row>
    <row r="45" spans="1:23">
      <c r="U45" s="310"/>
      <c r="V45" s="310"/>
      <c r="W45" s="310"/>
    </row>
    <row r="46" spans="1:23">
      <c r="U46" s="310"/>
      <c r="V46" s="310"/>
      <c r="W46" s="310"/>
    </row>
    <row r="52" spans="1:23">
      <c r="U52" s="311"/>
      <c r="V52" s="311"/>
      <c r="W52" s="311"/>
    </row>
    <row r="53" spans="1:23">
      <c r="A53" s="312" t="s">
        <v>210</v>
      </c>
      <c r="U53" s="310"/>
      <c r="V53" s="310"/>
      <c r="W53" s="310"/>
    </row>
    <row r="54" spans="1:23">
      <c r="A54" s="312" t="s">
        <v>211</v>
      </c>
      <c r="B54" s="312" t="str">
        <f t="shared" ref="B54:T54" si="3">+B6</f>
        <v xml:space="preserve">Rate </v>
      </c>
      <c r="C54" s="312" t="str">
        <f t="shared" si="3"/>
        <v xml:space="preserve">Amount </v>
      </c>
      <c r="D54" s="312" t="str">
        <f t="shared" si="3"/>
        <v xml:space="preserve">Weighting </v>
      </c>
      <c r="E54" s="312" t="str">
        <f t="shared" si="3"/>
        <v xml:space="preserve"> Rate</v>
      </c>
      <c r="F54" s="312">
        <f t="shared" si="3"/>
        <v>0</v>
      </c>
      <c r="G54" s="312">
        <f t="shared" si="3"/>
        <v>0</v>
      </c>
      <c r="H54" s="312">
        <f t="shared" si="3"/>
        <v>0</v>
      </c>
      <c r="I54" s="312">
        <f t="shared" si="3"/>
        <v>0</v>
      </c>
      <c r="J54" s="312">
        <f t="shared" si="3"/>
        <v>0</v>
      </c>
      <c r="K54" s="312">
        <f t="shared" si="3"/>
        <v>0</v>
      </c>
      <c r="L54" s="312">
        <f t="shared" si="3"/>
        <v>0</v>
      </c>
      <c r="M54" s="312">
        <f t="shared" si="3"/>
        <v>0</v>
      </c>
      <c r="N54" s="312">
        <f t="shared" si="3"/>
        <v>0</v>
      </c>
      <c r="O54" s="312">
        <f t="shared" si="3"/>
        <v>0</v>
      </c>
      <c r="P54" s="312">
        <f t="shared" si="3"/>
        <v>0</v>
      </c>
      <c r="Q54" s="312">
        <f t="shared" si="3"/>
        <v>0</v>
      </c>
      <c r="R54" s="312">
        <f t="shared" si="3"/>
        <v>0</v>
      </c>
      <c r="S54" s="312">
        <f t="shared" si="3"/>
        <v>0</v>
      </c>
      <c r="T54" s="312">
        <f t="shared" si="3"/>
        <v>0</v>
      </c>
    </row>
    <row r="55" spans="1:23">
      <c r="A55" s="313" t="s">
        <v>212</v>
      </c>
      <c r="B55" s="313">
        <v>0</v>
      </c>
      <c r="C55" s="313">
        <v>0</v>
      </c>
      <c r="D55" s="313">
        <v>0</v>
      </c>
      <c r="E55" s="313">
        <v>0</v>
      </c>
      <c r="F55" s="313">
        <v>0</v>
      </c>
      <c r="G55" s="313">
        <v>0</v>
      </c>
      <c r="H55" s="313">
        <v>1</v>
      </c>
      <c r="I55" s="313">
        <v>1</v>
      </c>
      <c r="J55" s="313">
        <v>1</v>
      </c>
      <c r="K55" s="313">
        <v>1</v>
      </c>
      <c r="L55" s="313">
        <v>1</v>
      </c>
      <c r="M55" s="313">
        <v>1</v>
      </c>
      <c r="N55" s="313">
        <v>1</v>
      </c>
      <c r="O55" s="313">
        <v>1</v>
      </c>
      <c r="P55" s="313">
        <v>1</v>
      </c>
      <c r="Q55" s="313">
        <v>1</v>
      </c>
      <c r="R55" s="313">
        <v>1</v>
      </c>
      <c r="S55" s="313">
        <v>1</v>
      </c>
      <c r="T55" s="313">
        <v>1</v>
      </c>
    </row>
    <row r="56" spans="1:23">
      <c r="A56" s="314"/>
      <c r="B56" s="314"/>
      <c r="C56" s="314"/>
      <c r="D56" s="314"/>
      <c r="E56" s="314"/>
      <c r="F56" s="314"/>
      <c r="G56" s="314"/>
      <c r="H56" s="314"/>
      <c r="I56" s="314"/>
      <c r="J56" s="314"/>
      <c r="K56" s="314"/>
      <c r="L56" s="314"/>
      <c r="M56" s="314"/>
      <c r="N56" s="314"/>
      <c r="O56" s="314"/>
      <c r="P56" s="314"/>
      <c r="Q56" s="314"/>
      <c r="R56" s="314"/>
      <c r="S56" s="314"/>
      <c r="T56" s="314"/>
      <c r="U56" s="314"/>
      <c r="V56" s="314"/>
      <c r="W56" s="314"/>
    </row>
    <row r="57" spans="1:23">
      <c r="A57" s="314"/>
      <c r="B57" s="314"/>
      <c r="C57" s="314"/>
      <c r="D57" s="314"/>
      <c r="E57" s="314"/>
      <c r="F57" s="314"/>
      <c r="G57" s="314"/>
      <c r="H57" s="314"/>
      <c r="I57" s="314"/>
      <c r="J57" s="314"/>
      <c r="K57" s="314"/>
      <c r="L57" s="314"/>
      <c r="M57" s="314"/>
      <c r="N57" s="314"/>
      <c r="O57" s="314"/>
      <c r="P57" s="314"/>
      <c r="Q57" s="314"/>
      <c r="R57" s="314"/>
      <c r="S57" s="314"/>
      <c r="T57" s="314"/>
      <c r="U57" s="314"/>
      <c r="V57" s="314"/>
      <c r="W57" s="314"/>
    </row>
    <row r="58" spans="1:23">
      <c r="A58" s="315" t="s">
        <v>213</v>
      </c>
      <c r="B58" s="316">
        <f>+SUM($B55:B$55)</f>
        <v>0</v>
      </c>
      <c r="C58" s="316">
        <f>+SUM($B55:C$55)</f>
        <v>0</v>
      </c>
      <c r="D58" s="316">
        <f>+SUM($B55:D$55)</f>
        <v>0</v>
      </c>
      <c r="E58" s="316">
        <f>+SUM($B55:E$55)</f>
        <v>0</v>
      </c>
      <c r="F58" s="316">
        <f>+SUM($B55:F$55)</f>
        <v>0</v>
      </c>
      <c r="G58" s="316">
        <f>+SUM($B55:G$55)</f>
        <v>0</v>
      </c>
      <c r="H58" s="316">
        <f>+SUM($B55:H$55)</f>
        <v>1</v>
      </c>
      <c r="I58" s="316">
        <f>+SUM($B55:I$55)</f>
        <v>2</v>
      </c>
      <c r="J58" s="316">
        <f>+SUM($B55:J$55)</f>
        <v>3</v>
      </c>
      <c r="K58" s="316">
        <f>+SUM($B55:K$55)</f>
        <v>4</v>
      </c>
      <c r="L58" s="316">
        <f>+SUM($B55:L$55)</f>
        <v>5</v>
      </c>
      <c r="M58" s="316">
        <f>+SUM($B55:M$55)</f>
        <v>6</v>
      </c>
      <c r="N58" s="316">
        <f>+SUM($B55:N$55)</f>
        <v>7</v>
      </c>
      <c r="O58" s="316">
        <f>+SUM($B55:O$55)</f>
        <v>8</v>
      </c>
      <c r="P58" s="316">
        <f>+SUM($B55:P$55)</f>
        <v>9</v>
      </c>
      <c r="Q58" s="316">
        <f>+SUM($B55:Q$55)</f>
        <v>10</v>
      </c>
      <c r="R58" s="316">
        <f>+SUM($B55:R$55)</f>
        <v>11</v>
      </c>
      <c r="S58" s="316">
        <f>+SUM($B55:S$55)</f>
        <v>12</v>
      </c>
      <c r="T58" s="316">
        <f>+SUM($B55:T$55)</f>
        <v>13</v>
      </c>
      <c r="U58" s="314"/>
      <c r="V58" s="314"/>
      <c r="W58" s="314"/>
    </row>
    <row r="59" spans="1:23">
      <c r="A59" s="315" t="s">
        <v>214</v>
      </c>
      <c r="B59" s="317">
        <v>1</v>
      </c>
      <c r="C59" s="317">
        <f t="shared" ref="C59:K59" si="4">+B59+1</f>
        <v>2</v>
      </c>
      <c r="D59" s="317">
        <f t="shared" si="4"/>
        <v>3</v>
      </c>
      <c r="E59" s="317">
        <f t="shared" si="4"/>
        <v>4</v>
      </c>
      <c r="F59" s="317">
        <f t="shared" si="4"/>
        <v>5</v>
      </c>
      <c r="G59" s="317">
        <f t="shared" si="4"/>
        <v>6</v>
      </c>
      <c r="H59" s="317">
        <f t="shared" si="4"/>
        <v>7</v>
      </c>
      <c r="I59" s="317">
        <f t="shared" si="4"/>
        <v>8</v>
      </c>
      <c r="J59" s="317">
        <f t="shared" si="4"/>
        <v>9</v>
      </c>
      <c r="K59" s="317">
        <f t="shared" si="4"/>
        <v>10</v>
      </c>
      <c r="L59" s="317">
        <f>+K59+1</f>
        <v>11</v>
      </c>
      <c r="M59" s="317">
        <f t="shared" ref="M59:S59" si="5">+L59+1</f>
        <v>12</v>
      </c>
      <c r="N59" s="317">
        <f t="shared" si="5"/>
        <v>13</v>
      </c>
      <c r="O59" s="317">
        <f t="shared" si="5"/>
        <v>14</v>
      </c>
      <c r="P59" s="317">
        <f t="shared" si="5"/>
        <v>15</v>
      </c>
      <c r="Q59" s="317">
        <f t="shared" si="5"/>
        <v>16</v>
      </c>
      <c r="R59" s="317">
        <f t="shared" si="5"/>
        <v>17</v>
      </c>
      <c r="S59" s="317">
        <f t="shared" si="5"/>
        <v>18</v>
      </c>
      <c r="T59" s="317">
        <f>+Q59+1</f>
        <v>17</v>
      </c>
    </row>
    <row r="60" spans="1:23">
      <c r="A60" s="315" t="s">
        <v>215</v>
      </c>
      <c r="B60" s="317">
        <f t="shared" ref="B60:S60" ca="1" si="6">+OFFSET($A$54,0,MATCH(B$59,$B$58:$T$58,0))</f>
        <v>0</v>
      </c>
      <c r="C60" s="317">
        <f t="shared" ca="1" si="6"/>
        <v>0</v>
      </c>
      <c r="D60" s="317">
        <f t="shared" ca="1" si="6"/>
        <v>0</v>
      </c>
      <c r="E60" s="317">
        <f t="shared" ca="1" si="6"/>
        <v>0</v>
      </c>
      <c r="F60" s="317">
        <f t="shared" ca="1" si="6"/>
        <v>0</v>
      </c>
      <c r="G60" s="317">
        <f t="shared" ca="1" si="6"/>
        <v>0</v>
      </c>
      <c r="H60" s="317">
        <f t="shared" ca="1" si="6"/>
        <v>0</v>
      </c>
      <c r="I60" s="317">
        <f t="shared" ca="1" si="6"/>
        <v>0</v>
      </c>
      <c r="J60" s="317">
        <f t="shared" ca="1" si="6"/>
        <v>0</v>
      </c>
      <c r="K60" s="317">
        <f t="shared" ca="1" si="6"/>
        <v>0</v>
      </c>
      <c r="L60" s="317">
        <f t="shared" ca="1" si="6"/>
        <v>0</v>
      </c>
      <c r="M60" s="317">
        <f t="shared" ca="1" si="6"/>
        <v>0</v>
      </c>
      <c r="N60" s="317">
        <f t="shared" ca="1" si="6"/>
        <v>0</v>
      </c>
      <c r="O60" s="317" t="e">
        <f t="shared" ca="1" si="6"/>
        <v>#N/A</v>
      </c>
      <c r="P60" s="317" t="e">
        <f t="shared" ca="1" si="6"/>
        <v>#N/A</v>
      </c>
      <c r="Q60" s="317" t="e">
        <f t="shared" ca="1" si="6"/>
        <v>#N/A</v>
      </c>
      <c r="R60" s="317" t="e">
        <f t="shared" ca="1" si="6"/>
        <v>#N/A</v>
      </c>
      <c r="S60" s="317" t="e">
        <f t="shared" ca="1" si="6"/>
        <v>#N/A</v>
      </c>
      <c r="T60" s="317" t="e">
        <f ca="1">+OFFSET($A$54,0,MATCH(T$59,$B$58:$T$58,0))</f>
        <v>#N/A</v>
      </c>
    </row>
    <row r="61" spans="1:23">
      <c r="A61" s="315" t="s">
        <v>216</v>
      </c>
      <c r="B61" s="315" t="e">
        <f ca="1">+INDEX(#REF!,1,MATCH(B$60,6:6,0))</f>
        <v>#REF!</v>
      </c>
      <c r="C61" s="315" t="e">
        <f ca="1">+INDEX(#REF!,1,MATCH(C$60,6:6,0))</f>
        <v>#REF!</v>
      </c>
      <c r="D61" s="315" t="e">
        <f ca="1">+INDEX(#REF!,1,MATCH(D$60,6:6,0))</f>
        <v>#REF!</v>
      </c>
      <c r="E61" s="315" t="e">
        <f ca="1">+INDEX(#REF!,1,MATCH(E$60,6:6,0))</f>
        <v>#REF!</v>
      </c>
      <c r="F61" s="315" t="e">
        <f ca="1">+INDEX(#REF!,1,MATCH(F$60,6:6,0))</f>
        <v>#REF!</v>
      </c>
      <c r="G61" s="315" t="e">
        <f ca="1">+INDEX(#REF!,1,MATCH(G$60,6:6,0))</f>
        <v>#REF!</v>
      </c>
      <c r="H61" s="315" t="e">
        <f ca="1">+INDEX(#REF!,1,MATCH(H$60,6:6,0))</f>
        <v>#REF!</v>
      </c>
      <c r="I61" s="315" t="e">
        <f ca="1">+INDEX(#REF!,1,MATCH(I$60,6:6,0))</f>
        <v>#REF!</v>
      </c>
      <c r="J61" s="315" t="e">
        <f ca="1">+INDEX(#REF!,1,MATCH(J$60,6:6,0))</f>
        <v>#REF!</v>
      </c>
      <c r="K61" s="315" t="e">
        <f ca="1">+INDEX(#REF!,1,MATCH(K$60,6:6,0))</f>
        <v>#REF!</v>
      </c>
      <c r="L61" s="315" t="e">
        <f ca="1">+INDEX(#REF!,1,MATCH(L$60,6:6,0))</f>
        <v>#REF!</v>
      </c>
      <c r="M61" s="315" t="e">
        <f ca="1">+INDEX(#REF!,1,MATCH(M$60,6:6,0))</f>
        <v>#REF!</v>
      </c>
      <c r="N61" s="315" t="e">
        <f ca="1">+INDEX(#REF!,1,MATCH(N$60,6:6,0))</f>
        <v>#REF!</v>
      </c>
      <c r="O61" s="315" t="e">
        <f ca="1">+INDEX(#REF!,1,MATCH(O$60,6:6,0))</f>
        <v>#REF!</v>
      </c>
      <c r="P61" s="315" t="e">
        <f ca="1">+INDEX(#REF!,1,MATCH(P$60,6:6,0))</f>
        <v>#REF!</v>
      </c>
      <c r="Q61" s="315" t="e">
        <f ca="1">+INDEX(#REF!,1,MATCH(Q$60,6:6,0))</f>
        <v>#REF!</v>
      </c>
      <c r="R61" s="315" t="e">
        <f ca="1">+INDEX(#REF!,1,MATCH(R$60,6:6,0))</f>
        <v>#REF!</v>
      </c>
      <c r="S61" s="315" t="e">
        <f ca="1">+INDEX(#REF!,1,MATCH(S$60,6:6,0))</f>
        <v>#REF!</v>
      </c>
      <c r="T61" s="315" t="e">
        <f ca="1">+INDEX(#REF!,1,MATCH(T$60,6:6,0))</f>
        <v>#REF!</v>
      </c>
    </row>
    <row r="64" spans="1:23">
      <c r="A64" s="318"/>
      <c r="B64" s="319" t="s">
        <v>217</v>
      </c>
      <c r="C64" s="320"/>
    </row>
    <row r="65" spans="1:4">
      <c r="A65" s="318" t="s">
        <v>198</v>
      </c>
      <c r="B65" s="321" t="e">
        <f t="array" aca="1" ref="B65:C69" ca="1">+LINEST(
OFFSET($B61,0,0,1,SUM($B55:$T55)),
OFFSET($B60,0,0,1,SUM($B55:$T55)),
,
1)</f>
        <v>#VALUE!</v>
      </c>
      <c r="C65" s="321" t="e">
        <f ca="1"/>
        <v>#VALUE!</v>
      </c>
      <c r="D65" s="281" t="s">
        <v>218</v>
      </c>
    </row>
    <row r="66" spans="1:4">
      <c r="A66" s="318" t="s">
        <v>219</v>
      </c>
      <c r="B66" s="321" t="e">
        <f ca="1"/>
        <v>#VALUE!</v>
      </c>
      <c r="C66" s="321" t="e">
        <f ca="1"/>
        <v>#VALUE!</v>
      </c>
      <c r="D66" s="281" t="s">
        <v>220</v>
      </c>
    </row>
    <row r="67" spans="1:4">
      <c r="A67" s="318" t="s">
        <v>221</v>
      </c>
      <c r="B67" s="321" t="e">
        <f ca="1"/>
        <v>#VALUE!</v>
      </c>
      <c r="C67" s="321" t="e">
        <f ca="1"/>
        <v>#VALUE!</v>
      </c>
      <c r="D67" s="281" t="s">
        <v>222</v>
      </c>
    </row>
    <row r="68" spans="1:4">
      <c r="A68" s="322" t="s">
        <v>223</v>
      </c>
      <c r="B68" s="321" t="e">
        <f ca="1"/>
        <v>#VALUE!</v>
      </c>
      <c r="C68" s="321" t="e">
        <f ca="1"/>
        <v>#VALUE!</v>
      </c>
      <c r="D68" s="281" t="s">
        <v>224</v>
      </c>
    </row>
    <row r="69" spans="1:4">
      <c r="A69" s="322" t="s">
        <v>225</v>
      </c>
      <c r="B69" s="321" t="e">
        <f ca="1"/>
        <v>#VALUE!</v>
      </c>
      <c r="C69" s="321" t="e">
        <f ca="1"/>
        <v>#VALUE!</v>
      </c>
      <c r="D69" s="281" t="s">
        <v>226</v>
      </c>
    </row>
    <row r="70" spans="1:4">
      <c r="A70" s="318"/>
    </row>
    <row r="71" spans="1:4">
      <c r="A71" s="318"/>
    </row>
    <row r="72" spans="1:4">
      <c r="A72" s="318" t="s">
        <v>227</v>
      </c>
      <c r="B72" s="281" t="e">
        <f ca="1">+B65/B66</f>
        <v>#VALUE!</v>
      </c>
    </row>
    <row r="73" spans="1:4">
      <c r="A73" s="322" t="s">
        <v>228</v>
      </c>
      <c r="B73" s="323" t="e">
        <f ca="1">+TDIST(B72,C68,2)</f>
        <v>#VALUE!</v>
      </c>
    </row>
  </sheetData>
  <printOptions horizontalCentered="1"/>
  <pageMargins left="0.25" right="0.25" top="0.75" bottom="0.75" header="0.3" footer="0.3"/>
  <pageSetup scale="80" fitToWidth="0"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13</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
        <v>13</v>
      </c>
      <c r="B11" s="170">
        <f>+'Cost Trends'!F20</f>
        <v>-1915</v>
      </c>
      <c r="C11" s="170">
        <f>+'Cost Trends'!G20</f>
        <v>988</v>
      </c>
      <c r="D11" s="170">
        <f>+'Cost Trends'!H20</f>
        <v>1177</v>
      </c>
      <c r="E11" s="170">
        <f>+'Cost Trends'!I20</f>
        <v>1186</v>
      </c>
      <c r="F11" s="170">
        <f>+'Cost Trends'!J20</f>
        <v>369</v>
      </c>
      <c r="G11" s="170">
        <f>+'Cost Trends'!K20</f>
        <v>651</v>
      </c>
      <c r="H11" s="170">
        <f>+'Cost Trends'!L20</f>
        <v>653</v>
      </c>
      <c r="I11" s="170">
        <f>+'Cost Trends'!M20</f>
        <v>792</v>
      </c>
      <c r="J11" s="170">
        <f>+'Cost Trends'!N20</f>
        <v>-9103</v>
      </c>
      <c r="K11" s="170">
        <f>+'Cost Trends'!O20</f>
        <v>803</v>
      </c>
      <c r="L11" s="170">
        <f>+'Cost Trends'!P20</f>
        <v>800</v>
      </c>
      <c r="M11" s="170">
        <f>+'Cost Trends'!Q20</f>
        <v>14</v>
      </c>
      <c r="N11" s="170">
        <f>+'Cost Trends'!R20</f>
        <v>130</v>
      </c>
      <c r="O11" s="170">
        <f>+'Cost Trends'!S20</f>
        <v>891</v>
      </c>
      <c r="P11" s="170">
        <f>+'Cost Trends'!T20</f>
        <v>779</v>
      </c>
      <c r="Q11" s="170">
        <f>+'Cost Trends'!U20</f>
        <v>840</v>
      </c>
      <c r="R11" s="170">
        <f>+'Cost Trends'!V20</f>
        <v>994</v>
      </c>
      <c r="S11" s="170">
        <f>+'Cost Trends'!W20</f>
        <v>944</v>
      </c>
      <c r="T11" s="170">
        <f>+'Cost Trends'!X20</f>
        <v>959</v>
      </c>
    </row>
    <row r="12" spans="1:23">
      <c r="A12" s="189" t="s">
        <v>207</v>
      </c>
      <c r="B12" s="170">
        <f>+'Riders and Gas Cost Revenue'!H19</f>
        <v>2078</v>
      </c>
      <c r="C12" s="170">
        <f>+'Riders and Gas Cost Revenue'!J19</f>
        <v>-756</v>
      </c>
      <c r="D12" s="170">
        <f>+'Riders and Gas Cost Revenue'!L19</f>
        <v>-916</v>
      </c>
      <c r="E12" s="170">
        <f>+'Riders and Gas Cost Revenue'!N19</f>
        <v>-901</v>
      </c>
      <c r="F12" s="170">
        <v>0</v>
      </c>
      <c r="G12" s="170">
        <v>0</v>
      </c>
      <c r="H12" s="170">
        <v>0</v>
      </c>
      <c r="I12" s="170">
        <v>0</v>
      </c>
      <c r="J12" s="170">
        <f>+'Riders and Gas Cost Revenue'!Z19</f>
        <v>9886</v>
      </c>
      <c r="K12" s="170">
        <v>0</v>
      </c>
      <c r="L12" s="170">
        <v>0</v>
      </c>
      <c r="M12" s="170">
        <f>+'Riders and Gas Cost Revenue'!AI19</f>
        <v>967</v>
      </c>
      <c r="N12" s="170">
        <f>+'Riders and Gas Cost Revenue'!AL19</f>
        <v>798</v>
      </c>
      <c r="O12" s="170"/>
      <c r="P12" s="170"/>
      <c r="Q12" s="170"/>
      <c r="R12" s="170"/>
      <c r="S12" s="170"/>
      <c r="T12" s="170"/>
    </row>
    <row r="13" spans="1:23" ht="8.25" customHeight="1">
      <c r="B13" s="188"/>
      <c r="C13" s="188"/>
      <c r="D13" s="188"/>
      <c r="E13" s="188"/>
      <c r="F13" s="188"/>
      <c r="G13" s="188"/>
      <c r="H13" s="188"/>
      <c r="I13" s="188"/>
      <c r="J13" s="188"/>
      <c r="K13" s="188"/>
      <c r="L13" s="188"/>
      <c r="M13" s="188"/>
      <c r="N13" s="188"/>
      <c r="O13" s="188"/>
      <c r="P13" s="188"/>
      <c r="Q13" s="188"/>
      <c r="R13" s="188"/>
      <c r="S13" s="188"/>
      <c r="T13" s="188"/>
    </row>
    <row r="14" spans="1:23" ht="8.25" customHeight="1">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ht="26.25" customHeight="1">
      <c r="A15" s="190" t="str">
        <f>+"Total "&amp;B4</f>
        <v>Total Purchased Gas Expense</v>
      </c>
      <c r="B15" s="191">
        <f t="shared" ref="B15:P15" si="1">+SUM(B10:B14)</f>
        <v>163</v>
      </c>
      <c r="C15" s="191">
        <f t="shared" si="1"/>
        <v>232</v>
      </c>
      <c r="D15" s="191">
        <f t="shared" si="1"/>
        <v>261</v>
      </c>
      <c r="E15" s="191">
        <f t="shared" si="1"/>
        <v>285</v>
      </c>
      <c r="F15" s="191">
        <f t="shared" si="1"/>
        <v>369</v>
      </c>
      <c r="G15" s="191">
        <f t="shared" si="1"/>
        <v>651</v>
      </c>
      <c r="H15" s="191">
        <f t="shared" si="1"/>
        <v>653</v>
      </c>
      <c r="I15" s="191">
        <f t="shared" si="1"/>
        <v>792</v>
      </c>
      <c r="J15" s="191">
        <f t="shared" si="1"/>
        <v>783</v>
      </c>
      <c r="K15" s="191">
        <f t="shared" si="1"/>
        <v>803</v>
      </c>
      <c r="L15" s="191">
        <f t="shared" si="1"/>
        <v>800</v>
      </c>
      <c r="M15" s="191">
        <f t="shared" si="1"/>
        <v>981</v>
      </c>
      <c r="N15" s="191">
        <f t="shared" si="1"/>
        <v>928</v>
      </c>
      <c r="O15" s="191">
        <f t="shared" si="1"/>
        <v>891</v>
      </c>
      <c r="P15" s="191">
        <f t="shared" si="1"/>
        <v>779</v>
      </c>
      <c r="Q15" s="191">
        <f t="shared" ref="Q15" si="2">+SUM(Q10:Q14)</f>
        <v>840</v>
      </c>
      <c r="R15" s="191">
        <f t="shared" ref="R15:T15" si="3">+SUM(R10:R14)</f>
        <v>994</v>
      </c>
      <c r="S15" s="191">
        <f t="shared" si="3"/>
        <v>944</v>
      </c>
      <c r="T15" s="191">
        <f t="shared" si="3"/>
        <v>959</v>
      </c>
    </row>
    <row r="16" spans="1:23">
      <c r="P16" s="192"/>
      <c r="T16" s="192"/>
    </row>
    <row r="17" spans="1:22">
      <c r="P17" s="192"/>
      <c r="T17" s="192"/>
    </row>
    <row r="18" spans="1:22">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ht="19.5" customHeight="1">
      <c r="A19" s="180"/>
      <c r="B19" s="197"/>
      <c r="C19" s="197"/>
      <c r="D19" s="197"/>
      <c r="E19" s="197"/>
      <c r="F19" s="197"/>
      <c r="G19" s="197"/>
      <c r="H19" s="197"/>
      <c r="I19" s="197"/>
    </row>
    <row r="20" spans="1:22" ht="19.5" customHeight="1">
      <c r="A20" s="179" t="s">
        <v>251</v>
      </c>
      <c r="B20" s="198">
        <f ca="1">+LINEST(
OFFSET($B$77,0,0,1,SUM($B$71:$T$71)),
OFFSET($B$76,0,0,1,SUM($B$71:$T$71)),
,
1)</f>
        <v>14.615384615384619</v>
      </c>
      <c r="C20" s="197"/>
      <c r="D20" s="197"/>
      <c r="E20" s="197"/>
      <c r="F20" s="197"/>
      <c r="G20" s="197"/>
      <c r="H20" s="197"/>
      <c r="I20" s="197"/>
    </row>
    <row r="21" spans="1:22" ht="19.5" customHeight="1">
      <c r="A21" s="180" t="s">
        <v>252</v>
      </c>
      <c r="B21" s="197">
        <f ca="1">RSQ(
OFFSET($B$77,0,0,1,SUM($B$71:$T$71)),
OFFSET($B$76,0,0,1,SUM($B$71:$T$71))
)</f>
        <v>0.39732766875419628</v>
      </c>
      <c r="C21" s="198"/>
      <c r="D21" s="198"/>
      <c r="E21" s="198"/>
      <c r="F21" s="198"/>
      <c r="G21" s="198"/>
      <c r="H21" s="198"/>
      <c r="I21" s="198"/>
    </row>
    <row r="22" spans="1:22" ht="19.5" customHeight="1">
      <c r="A22" s="179" t="s">
        <v>209</v>
      </c>
      <c r="B22" s="199">
        <f ca="1">+B20/T15</f>
        <v>1.5240234218336412E-2</v>
      </c>
      <c r="C22" s="197"/>
      <c r="D22" s="197"/>
      <c r="E22" s="197"/>
      <c r="F22" s="197"/>
      <c r="G22" s="197"/>
      <c r="H22" s="197"/>
      <c r="I22" s="197"/>
    </row>
    <row r="23" spans="1:22" ht="19.5" customHeight="1">
      <c r="A23" s="192" t="s">
        <v>289</v>
      </c>
      <c r="B23" s="217">
        <f ca="1">+B22</f>
        <v>1.5240234218336412E-2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c r="C71" s="206"/>
      <c r="D71" s="206"/>
      <c r="E71" s="206"/>
      <c r="F71" s="206"/>
      <c r="G71" s="206"/>
      <c r="H71" s="206"/>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0</v>
      </c>
      <c r="C74" s="208">
        <f>+SUM($B71:C$71)</f>
        <v>0</v>
      </c>
      <c r="D74" s="208">
        <f>+SUM($B71:D$71)</f>
        <v>0</v>
      </c>
      <c r="E74" s="208">
        <f>+SUM($B71:E$71)</f>
        <v>0</v>
      </c>
      <c r="F74" s="208">
        <f>+SUM($B71:F$71)</f>
        <v>0</v>
      </c>
      <c r="G74" s="208">
        <f>+SUM($B71:G$71)</f>
        <v>0</v>
      </c>
      <c r="H74" s="208">
        <f>+SUM($B71:H$71)</f>
        <v>0</v>
      </c>
      <c r="I74" s="208">
        <f>+SUM($B71:I$71)</f>
        <v>1</v>
      </c>
      <c r="J74" s="208">
        <f>+SUM($B71:J$71)</f>
        <v>2</v>
      </c>
      <c r="K74" s="208">
        <f>+SUM($B71:K$71)</f>
        <v>3</v>
      </c>
      <c r="L74" s="208">
        <f>+SUM($B71:L$71)</f>
        <v>4</v>
      </c>
      <c r="M74" s="208">
        <f>+SUM($B71:M$71)</f>
        <v>5</v>
      </c>
      <c r="N74" s="208">
        <f>+SUM($B71:N$71)</f>
        <v>6</v>
      </c>
      <c r="O74" s="208">
        <f>+SUM($B71:O$71)</f>
        <v>7</v>
      </c>
      <c r="P74" s="208">
        <f>+SUM($B71:P$71)</f>
        <v>8</v>
      </c>
      <c r="Q74" s="208">
        <f>+SUM($B71:Q$71)</f>
        <v>9</v>
      </c>
      <c r="R74" s="208">
        <f>+SUM($B71:R$71)</f>
        <v>10</v>
      </c>
      <c r="S74" s="208">
        <f>+SUM($B71:S$71)</f>
        <v>11</v>
      </c>
      <c r="T74" s="208">
        <f>+SUM($B71:T$71)</f>
        <v>12</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2007</v>
      </c>
      <c r="C76" s="209">
        <f t="shared" ca="1" si="12"/>
        <v>2008</v>
      </c>
      <c r="D76" s="209">
        <f t="shared" ca="1" si="12"/>
        <v>2009</v>
      </c>
      <c r="E76" s="209">
        <f t="shared" ca="1" si="12"/>
        <v>2010</v>
      </c>
      <c r="F76" s="209">
        <f t="shared" ca="1" si="12"/>
        <v>2011</v>
      </c>
      <c r="G76" s="209">
        <f t="shared" ca="1" si="12"/>
        <v>2012</v>
      </c>
      <c r="H76" s="209">
        <f t="shared" ca="1" si="12"/>
        <v>2013</v>
      </c>
      <c r="I76" s="209">
        <f t="shared" ca="1" si="12"/>
        <v>2014</v>
      </c>
      <c r="J76" s="209">
        <f t="shared" ca="1" si="12"/>
        <v>2015</v>
      </c>
      <c r="K76" s="209">
        <f t="shared" ca="1" si="12"/>
        <v>2016</v>
      </c>
      <c r="L76" s="209">
        <f t="shared" ca="1" si="12"/>
        <v>2017</v>
      </c>
      <c r="M76" s="209">
        <f t="shared" ca="1" si="12"/>
        <v>2018</v>
      </c>
      <c r="N76" s="209" t="e">
        <f t="shared" ca="1" si="12"/>
        <v>#N/A</v>
      </c>
      <c r="O76" s="209" t="e">
        <f t="shared" ca="1" si="12"/>
        <v>#N/A</v>
      </c>
      <c r="P76" s="209" t="e">
        <f t="shared" ca="1" si="12"/>
        <v>#N/A</v>
      </c>
      <c r="Q76" s="209" t="e">
        <f t="shared" ref="Q76:T76" ca="1" si="13">+OFFSET($A$70,0,MATCH(Q$75,$B$74:$T$74,0))</f>
        <v>#N/A</v>
      </c>
      <c r="R76" s="209" t="e">
        <f t="shared" ca="1" si="13"/>
        <v>#N/A</v>
      </c>
      <c r="S76" s="209" t="e">
        <f t="shared" ca="1" si="13"/>
        <v>#N/A</v>
      </c>
      <c r="T76" s="209" t="e">
        <f t="shared" ca="1" si="13"/>
        <v>#N/A</v>
      </c>
    </row>
    <row r="77" spans="1:23">
      <c r="A77" s="207" t="s">
        <v>216</v>
      </c>
      <c r="B77" s="207">
        <f t="shared" ref="B77:P77" ca="1" si="14">+INDEX(15:15,1,MATCH(B$76,9:9,0))</f>
        <v>792</v>
      </c>
      <c r="C77" s="207">
        <f t="shared" ca="1" si="14"/>
        <v>783</v>
      </c>
      <c r="D77" s="207">
        <f t="shared" ca="1" si="14"/>
        <v>803</v>
      </c>
      <c r="E77" s="207">
        <f t="shared" ca="1" si="14"/>
        <v>800</v>
      </c>
      <c r="F77" s="207">
        <f t="shared" ca="1" si="14"/>
        <v>981</v>
      </c>
      <c r="G77" s="207">
        <f t="shared" ca="1" si="14"/>
        <v>928</v>
      </c>
      <c r="H77" s="207">
        <f t="shared" ca="1" si="14"/>
        <v>891</v>
      </c>
      <c r="I77" s="207">
        <f t="shared" ca="1" si="14"/>
        <v>779</v>
      </c>
      <c r="J77" s="207">
        <f t="shared" ca="1" si="14"/>
        <v>840</v>
      </c>
      <c r="K77" s="207">
        <f t="shared" ca="1" si="14"/>
        <v>994</v>
      </c>
      <c r="L77" s="207">
        <f t="shared" ca="1" si="14"/>
        <v>944</v>
      </c>
      <c r="M77" s="207">
        <f t="shared" ca="1" si="14"/>
        <v>959</v>
      </c>
      <c r="N77" s="207" t="e">
        <f t="shared" ca="1" si="14"/>
        <v>#N/A</v>
      </c>
      <c r="O77" s="207" t="e">
        <f t="shared" ca="1" si="14"/>
        <v>#N/A</v>
      </c>
      <c r="P77" s="207" t="e">
        <f t="shared" ca="1" si="14"/>
        <v>#N/A</v>
      </c>
      <c r="Q77" s="207" t="e">
        <f t="shared" ref="Q77:T77" ca="1" si="15">+INDEX(15:15,1,MATCH(Q$76,9:9,0))</f>
        <v>#N/A</v>
      </c>
      <c r="R77" s="207" t="e">
        <f t="shared" ca="1" si="15"/>
        <v>#N/A</v>
      </c>
      <c r="S77" s="207" t="e">
        <f t="shared" ca="1" si="15"/>
        <v>#N/A</v>
      </c>
      <c r="T77" s="207" t="e">
        <f t="shared" ca="1" si="15"/>
        <v>#N/A</v>
      </c>
    </row>
    <row r="80" spans="1:23">
      <c r="A80" s="210"/>
      <c r="B80" s="211" t="s">
        <v>217</v>
      </c>
      <c r="C80" s="212"/>
    </row>
    <row r="81" spans="1:4">
      <c r="A81" s="210" t="s">
        <v>198</v>
      </c>
      <c r="B81" s="213">
        <f t="array" aca="1" ref="B81:C85" ca="1">+LINEST(
OFFSET($B77,0,0,1,SUM($B71:$T71)),
OFFSET($B76,0,0,1,SUM($B71:$T71)),
,
1)</f>
        <v>14.615384615384619</v>
      </c>
      <c r="C81" s="213">
        <f ca="1"/>
        <v>-28538.961538461546</v>
      </c>
      <c r="D81" s="179" t="s">
        <v>218</v>
      </c>
    </row>
    <row r="82" spans="1:4">
      <c r="A82" s="210" t="s">
        <v>219</v>
      </c>
      <c r="B82" s="213">
        <f ca="1"/>
        <v>5.6921517650161384</v>
      </c>
      <c r="C82" s="213">
        <f ca="1"/>
        <v>11455.472279623005</v>
      </c>
      <c r="D82" s="179" t="s">
        <v>220</v>
      </c>
    </row>
    <row r="83" spans="1:4">
      <c r="A83" s="210" t="s">
        <v>221</v>
      </c>
      <c r="B83" s="213">
        <f ca="1"/>
        <v>0.39732766875419612</v>
      </c>
      <c r="C83" s="213">
        <f ca="1"/>
        <v>68.068234995367817</v>
      </c>
      <c r="D83" s="179" t="s">
        <v>222</v>
      </c>
    </row>
    <row r="84" spans="1:4">
      <c r="A84" s="214" t="s">
        <v>223</v>
      </c>
      <c r="B84" s="213">
        <f ca="1"/>
        <v>6.5927643954197626</v>
      </c>
      <c r="C84" s="213">
        <f ca="1"/>
        <v>10</v>
      </c>
      <c r="D84" s="179" t="s">
        <v>224</v>
      </c>
    </row>
    <row r="85" spans="1:4">
      <c r="A85" s="214" t="s">
        <v>225</v>
      </c>
      <c r="B85" s="213">
        <f ca="1"/>
        <v>30546.153846153844</v>
      </c>
      <c r="C85" s="213">
        <f ca="1"/>
        <v>46332.846153846156</v>
      </c>
      <c r="D85" s="179" t="s">
        <v>226</v>
      </c>
    </row>
    <row r="86" spans="1:4">
      <c r="A86" s="210"/>
    </row>
    <row r="87" spans="1:4">
      <c r="A87" s="210"/>
    </row>
    <row r="88" spans="1:4">
      <c r="A88" s="210" t="s">
        <v>227</v>
      </c>
      <c r="B88" s="179">
        <f ca="1">+B81/B82</f>
        <v>2.5676379019284954</v>
      </c>
    </row>
    <row r="89" spans="1:4">
      <c r="A89" s="214" t="s">
        <v>228</v>
      </c>
      <c r="B89" s="215">
        <f ca="1">+TDIST(B88,C84,2)</f>
        <v>2.8003899343267618E-2</v>
      </c>
    </row>
  </sheetData>
  <conditionalFormatting sqref="B15:H15 J15:T15">
    <cfRule type="expression" dxfId="29" priority="2">
      <formula>B$71=1</formula>
    </cfRule>
  </conditionalFormatting>
  <conditionalFormatting sqref="B15:I15">
    <cfRule type="expression" dxfId="28"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229</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tr">
        <f>+B4</f>
        <v>Underground Storage Operating Expense</v>
      </c>
      <c r="B11" s="170">
        <f>+'Cost Trends'!F25</f>
        <v>312</v>
      </c>
      <c r="C11" s="170">
        <f>+'Cost Trends'!G25</f>
        <v>322</v>
      </c>
      <c r="D11" s="170">
        <f>+'Cost Trends'!H25</f>
        <v>357</v>
      </c>
      <c r="E11" s="170">
        <f>+'Cost Trends'!I25</f>
        <v>342</v>
      </c>
      <c r="F11" s="170">
        <f>+'Cost Trends'!J25</f>
        <v>381</v>
      </c>
      <c r="G11" s="170">
        <f>+'Cost Trends'!K25</f>
        <v>450</v>
      </c>
      <c r="H11" s="170">
        <f>+'Cost Trends'!L25</f>
        <v>492</v>
      </c>
      <c r="I11" s="170">
        <f>+'Cost Trends'!M25</f>
        <v>451</v>
      </c>
      <c r="J11" s="170">
        <f>+'Cost Trends'!N25</f>
        <v>436</v>
      </c>
      <c r="K11" s="170">
        <f>+'Cost Trends'!O25</f>
        <v>403</v>
      </c>
      <c r="L11" s="170">
        <f>+'Cost Trends'!P25</f>
        <v>380</v>
      </c>
      <c r="M11" s="170">
        <f>+'Cost Trends'!Q25</f>
        <v>585</v>
      </c>
      <c r="N11" s="170">
        <f>+'Cost Trends'!R25</f>
        <v>712</v>
      </c>
      <c r="O11" s="170">
        <f>+'Cost Trends'!S25</f>
        <v>820</v>
      </c>
      <c r="P11" s="170">
        <f>+'Cost Trends'!T25</f>
        <v>893</v>
      </c>
      <c r="Q11" s="170">
        <f>+'Cost Trends'!U25</f>
        <v>857</v>
      </c>
      <c r="R11" s="170">
        <f>+'Cost Trends'!V25</f>
        <v>974</v>
      </c>
      <c r="S11" s="170">
        <f>+'Cost Trends'!W25</f>
        <v>1032</v>
      </c>
      <c r="T11" s="170">
        <f>+'Cost Trends'!X25</f>
        <v>1532</v>
      </c>
    </row>
    <row r="12" spans="1:23" ht="8.25" customHeight="1">
      <c r="B12" s="188"/>
      <c r="C12" s="188"/>
      <c r="D12" s="188"/>
      <c r="E12" s="188"/>
      <c r="F12" s="188"/>
      <c r="G12" s="188"/>
      <c r="H12" s="188"/>
      <c r="I12" s="188"/>
      <c r="J12" s="188"/>
      <c r="K12" s="188"/>
      <c r="L12" s="188"/>
      <c r="M12" s="188"/>
      <c r="N12" s="188"/>
      <c r="O12" s="188"/>
      <c r="P12" s="188"/>
      <c r="Q12" s="188"/>
      <c r="R12" s="188"/>
      <c r="S12" s="188"/>
      <c r="T12" s="188"/>
    </row>
    <row r="13" spans="1:23" ht="8.25" customHeight="1">
      <c r="B13" s="188" t="s">
        <v>206</v>
      </c>
      <c r="C13" s="188" t="s">
        <v>206</v>
      </c>
      <c r="D13" s="188" t="s">
        <v>206</v>
      </c>
      <c r="E13" s="188" t="s">
        <v>206</v>
      </c>
      <c r="F13" s="188" t="s">
        <v>206</v>
      </c>
      <c r="G13" s="188" t="s">
        <v>206</v>
      </c>
      <c r="H13" s="188" t="s">
        <v>206</v>
      </c>
      <c r="I13" s="188" t="s">
        <v>206</v>
      </c>
      <c r="J13" s="188" t="s">
        <v>206</v>
      </c>
      <c r="K13" s="188" t="s">
        <v>206</v>
      </c>
      <c r="L13" s="188" t="s">
        <v>206</v>
      </c>
      <c r="M13" s="188" t="s">
        <v>206</v>
      </c>
      <c r="N13" s="188" t="s">
        <v>206</v>
      </c>
      <c r="O13" s="188" t="s">
        <v>206</v>
      </c>
      <c r="P13" s="188" t="s">
        <v>206</v>
      </c>
      <c r="Q13" s="188" t="s">
        <v>206</v>
      </c>
      <c r="R13" s="188" t="s">
        <v>206</v>
      </c>
      <c r="S13" s="188" t="s">
        <v>206</v>
      </c>
      <c r="T13" s="188" t="s">
        <v>206</v>
      </c>
    </row>
    <row r="14" spans="1:23" ht="26.25" customHeight="1">
      <c r="A14" s="190" t="str">
        <f>+"Total "&amp;B4</f>
        <v>Total Underground Storage Operating Expense</v>
      </c>
      <c r="B14" s="191">
        <f t="shared" ref="B14:P14" si="1">+SUM(B10:B13)</f>
        <v>312</v>
      </c>
      <c r="C14" s="191">
        <f t="shared" si="1"/>
        <v>322</v>
      </c>
      <c r="D14" s="191">
        <f t="shared" si="1"/>
        <v>357</v>
      </c>
      <c r="E14" s="191">
        <f t="shared" si="1"/>
        <v>342</v>
      </c>
      <c r="F14" s="191">
        <f t="shared" si="1"/>
        <v>381</v>
      </c>
      <c r="G14" s="191">
        <f t="shared" si="1"/>
        <v>450</v>
      </c>
      <c r="H14" s="191">
        <f t="shared" si="1"/>
        <v>492</v>
      </c>
      <c r="I14" s="191">
        <f t="shared" si="1"/>
        <v>451</v>
      </c>
      <c r="J14" s="191">
        <f t="shared" si="1"/>
        <v>436</v>
      </c>
      <c r="K14" s="191">
        <f t="shared" si="1"/>
        <v>403</v>
      </c>
      <c r="L14" s="191">
        <f t="shared" si="1"/>
        <v>380</v>
      </c>
      <c r="M14" s="191">
        <f t="shared" si="1"/>
        <v>585</v>
      </c>
      <c r="N14" s="191">
        <f t="shared" si="1"/>
        <v>712</v>
      </c>
      <c r="O14" s="191">
        <f t="shared" si="1"/>
        <v>820</v>
      </c>
      <c r="P14" s="191">
        <f t="shared" si="1"/>
        <v>893</v>
      </c>
      <c r="Q14" s="191">
        <f t="shared" ref="Q14" si="2">+SUM(Q10:Q13)</f>
        <v>857</v>
      </c>
      <c r="R14" s="191">
        <f t="shared" ref="R14:T14" si="3">+SUM(R10:R13)</f>
        <v>974</v>
      </c>
      <c r="S14" s="191">
        <f t="shared" si="3"/>
        <v>1032</v>
      </c>
      <c r="T14" s="191">
        <f t="shared" si="3"/>
        <v>1532</v>
      </c>
    </row>
    <row r="15" spans="1:23">
      <c r="P15" s="192"/>
      <c r="T15" s="192"/>
    </row>
    <row r="16" spans="1:23">
      <c r="P16" s="192"/>
      <c r="T16" s="192"/>
    </row>
    <row r="17" spans="1:22">
      <c r="A17" s="193" t="s">
        <v>208</v>
      </c>
      <c r="B17" s="194"/>
      <c r="C17" s="195"/>
      <c r="D17" s="193" t="s">
        <v>253</v>
      </c>
      <c r="E17" s="193"/>
      <c r="F17" s="194"/>
      <c r="G17" s="194"/>
      <c r="H17" s="194"/>
      <c r="I17" s="194"/>
      <c r="J17" s="194"/>
      <c r="K17" s="194"/>
      <c r="L17" s="194"/>
      <c r="M17" s="194"/>
      <c r="N17" s="194"/>
      <c r="O17" s="194"/>
      <c r="P17" s="196"/>
      <c r="Q17" s="194"/>
      <c r="R17" s="275"/>
      <c r="S17" s="275"/>
      <c r="T17" s="196"/>
    </row>
    <row r="18" spans="1:22" ht="19.5" customHeight="1">
      <c r="A18" s="180"/>
      <c r="B18" s="197"/>
      <c r="C18" s="197"/>
      <c r="D18" s="197"/>
      <c r="E18" s="197"/>
      <c r="F18" s="197"/>
      <c r="G18" s="197"/>
      <c r="H18" s="197"/>
      <c r="I18" s="197"/>
    </row>
    <row r="19" spans="1:22" ht="19.5" customHeight="1">
      <c r="A19" s="179" t="s">
        <v>251</v>
      </c>
      <c r="B19" s="198">
        <f ca="1">+LINEST(
OFFSET($B$77,0,0,1,SUM($B$71:$T$71)),
OFFSET($B$76,0,0,1,SUM($B$71:$T$71)),
,
1)</f>
        <v>11.181818181818182</v>
      </c>
      <c r="C19" s="197"/>
      <c r="D19" s="197"/>
      <c r="E19" s="197"/>
      <c r="F19" s="197"/>
      <c r="G19" s="197"/>
      <c r="H19" s="197"/>
      <c r="I19" s="197"/>
    </row>
    <row r="20" spans="1:22" ht="19.5" customHeight="1">
      <c r="A20" s="180" t="s">
        <v>252</v>
      </c>
      <c r="B20" s="197">
        <f ca="1">RSQ(
OFFSET($B$77,0,0,1,SUM($B$71:$T$71)),
OFFSET($B$76,0,0,1,SUM($B$71:$T$71))
)</f>
        <v>0.40245693186775755</v>
      </c>
      <c r="C20" s="198"/>
      <c r="D20" s="198"/>
      <c r="E20" s="198"/>
      <c r="F20" s="198"/>
      <c r="G20" s="198"/>
      <c r="H20" s="198"/>
      <c r="I20" s="198"/>
    </row>
    <row r="21" spans="1:22" ht="19.5" customHeight="1">
      <c r="A21" s="179" t="s">
        <v>209</v>
      </c>
      <c r="B21" s="199">
        <f ca="1">+B19/T14</f>
        <v>7.2988369333016855E-3</v>
      </c>
      <c r="C21" s="197"/>
      <c r="D21" s="197"/>
      <c r="E21" s="197"/>
      <c r="F21" s="197"/>
      <c r="G21" s="197"/>
      <c r="H21" s="197"/>
      <c r="I21" s="197"/>
    </row>
    <row r="22" spans="1:22" ht="19.5" customHeight="1">
      <c r="A22" s="192" t="s">
        <v>289</v>
      </c>
      <c r="B22" s="217">
        <f ca="1">+B21</f>
        <v>7.2988369333016855E-3</v>
      </c>
      <c r="C22" s="199"/>
      <c r="D22" s="199"/>
      <c r="E22" s="199"/>
      <c r="F22" s="199"/>
      <c r="G22" s="199"/>
      <c r="H22" s="199"/>
      <c r="I22" s="199"/>
    </row>
    <row r="23" spans="1:22" ht="19.5" customHeight="1">
      <c r="C23" s="200"/>
      <c r="D23" s="200"/>
      <c r="E23" s="200"/>
      <c r="F23" s="200"/>
      <c r="G23" s="200"/>
      <c r="H23" s="200"/>
      <c r="I23" s="200"/>
      <c r="L23" s="201"/>
    </row>
    <row r="25" spans="1:22">
      <c r="U25" s="202"/>
      <c r="V25" s="202"/>
    </row>
    <row r="26" spans="1:22">
      <c r="U26" s="203"/>
      <c r="V26" s="203"/>
    </row>
    <row r="27" spans="1:22">
      <c r="U27" s="203"/>
      <c r="V27" s="203"/>
    </row>
    <row r="28" spans="1:22">
      <c r="U28" s="203"/>
      <c r="V28" s="203"/>
    </row>
    <row r="29" spans="1:22">
      <c r="U29" s="203"/>
      <c r="V29" s="203"/>
    </row>
    <row r="30" spans="1:22">
      <c r="U30" s="203"/>
      <c r="V30" s="203"/>
    </row>
    <row r="33" spans="21:23">
      <c r="U33" s="204"/>
      <c r="V33" s="204"/>
      <c r="W33" s="204"/>
    </row>
    <row r="34" spans="21:23">
      <c r="U34" s="203"/>
      <c r="V34" s="203"/>
      <c r="W34" s="203"/>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8" spans="21:23">
      <c r="U58" s="204"/>
      <c r="V58" s="204"/>
      <c r="W58" s="204"/>
    </row>
    <row r="59" spans="21:23">
      <c r="U59" s="203"/>
      <c r="V59" s="203"/>
      <c r="W59" s="203"/>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v>1</v>
      </c>
      <c r="C71" s="206">
        <v>1</v>
      </c>
      <c r="D71" s="206">
        <v>1</v>
      </c>
      <c r="E71" s="206">
        <v>1</v>
      </c>
      <c r="F71" s="206">
        <v>1</v>
      </c>
      <c r="G71" s="206">
        <v>1</v>
      </c>
      <c r="H71" s="206">
        <v>1</v>
      </c>
      <c r="I71" s="206">
        <v>1</v>
      </c>
      <c r="J71" s="206">
        <v>1</v>
      </c>
      <c r="K71" s="206">
        <v>1</v>
      </c>
      <c r="L71" s="206">
        <v>1</v>
      </c>
      <c r="M71" s="206">
        <v>0</v>
      </c>
      <c r="N71" s="206">
        <v>0</v>
      </c>
      <c r="O71" s="206">
        <v>0</v>
      </c>
      <c r="P71" s="206">
        <v>0</v>
      </c>
      <c r="Q71" s="206">
        <v>0</v>
      </c>
      <c r="R71" s="206">
        <v>0</v>
      </c>
      <c r="S71" s="206">
        <v>0</v>
      </c>
      <c r="T71" s="206">
        <v>0</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1</v>
      </c>
      <c r="C74" s="208">
        <f>+SUM($B71:C$71)</f>
        <v>2</v>
      </c>
      <c r="D74" s="208">
        <f>+SUM($B71:D$71)</f>
        <v>3</v>
      </c>
      <c r="E74" s="208">
        <f>+SUM($B71:E$71)</f>
        <v>4</v>
      </c>
      <c r="F74" s="208">
        <f>+SUM($B71:F$71)</f>
        <v>5</v>
      </c>
      <c r="G74" s="208">
        <f>+SUM($B71:G$71)</f>
        <v>6</v>
      </c>
      <c r="H74" s="208">
        <f>+SUM($B71:H$71)</f>
        <v>7</v>
      </c>
      <c r="I74" s="208">
        <f>+SUM($B71:I$71)</f>
        <v>8</v>
      </c>
      <c r="J74" s="208">
        <f>+SUM($B71:J$71)</f>
        <v>9</v>
      </c>
      <c r="K74" s="208">
        <f>+SUM($B71:K$71)</f>
        <v>10</v>
      </c>
      <c r="L74" s="208">
        <f>+SUM($B71:L$71)</f>
        <v>11</v>
      </c>
      <c r="M74" s="208">
        <f>+SUM($B71:M$71)</f>
        <v>11</v>
      </c>
      <c r="N74" s="208">
        <f>+SUM($B71:N$71)</f>
        <v>11</v>
      </c>
      <c r="O74" s="208">
        <f>+SUM($B71:O$71)</f>
        <v>11</v>
      </c>
      <c r="P74" s="208">
        <f>+SUM($B71:P$71)</f>
        <v>11</v>
      </c>
      <c r="Q74" s="208">
        <f>+SUM($B71:Q$71)</f>
        <v>11</v>
      </c>
      <c r="R74" s="208">
        <f>+SUM($B71:R$71)</f>
        <v>11</v>
      </c>
      <c r="S74" s="208">
        <f>+SUM($B71:S$71)</f>
        <v>11</v>
      </c>
      <c r="T74" s="208">
        <f>+SUM($B71:T$71)</f>
        <v>11</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2000</v>
      </c>
      <c r="C76" s="209">
        <f t="shared" ca="1" si="12"/>
        <v>2001</v>
      </c>
      <c r="D76" s="209">
        <f t="shared" ca="1" si="12"/>
        <v>2002</v>
      </c>
      <c r="E76" s="209">
        <f t="shared" ca="1" si="12"/>
        <v>2003</v>
      </c>
      <c r="F76" s="209">
        <f t="shared" ca="1" si="12"/>
        <v>2004</v>
      </c>
      <c r="G76" s="209">
        <f t="shared" ca="1" si="12"/>
        <v>2005</v>
      </c>
      <c r="H76" s="209">
        <f t="shared" ca="1" si="12"/>
        <v>2006</v>
      </c>
      <c r="I76" s="209">
        <f t="shared" ca="1" si="12"/>
        <v>2007</v>
      </c>
      <c r="J76" s="209">
        <f t="shared" ca="1" si="12"/>
        <v>2008</v>
      </c>
      <c r="K76" s="209">
        <f t="shared" ca="1" si="12"/>
        <v>2009</v>
      </c>
      <c r="L76" s="209">
        <f t="shared" ca="1" si="12"/>
        <v>2010</v>
      </c>
      <c r="M76" s="209" t="e">
        <f t="shared" ca="1" si="12"/>
        <v>#N/A</v>
      </c>
      <c r="N76" s="209" t="e">
        <f t="shared" ca="1" si="12"/>
        <v>#N/A</v>
      </c>
      <c r="O76" s="209" t="e">
        <f t="shared" ca="1" si="12"/>
        <v>#N/A</v>
      </c>
      <c r="P76" s="209" t="e">
        <f t="shared" ca="1" si="12"/>
        <v>#N/A</v>
      </c>
      <c r="Q76" s="209" t="e">
        <f t="shared" ref="Q76:T76" ca="1" si="13">+OFFSET($A$70,0,MATCH(Q$75,$B$74:$T$74,0))</f>
        <v>#N/A</v>
      </c>
      <c r="R76" s="209" t="e">
        <f t="shared" ca="1" si="13"/>
        <v>#N/A</v>
      </c>
      <c r="S76" s="209" t="e">
        <f t="shared" ca="1" si="13"/>
        <v>#N/A</v>
      </c>
      <c r="T76" s="209" t="e">
        <f t="shared" ca="1" si="13"/>
        <v>#N/A</v>
      </c>
    </row>
    <row r="77" spans="1:23">
      <c r="A77" s="207" t="s">
        <v>216</v>
      </c>
      <c r="B77" s="207">
        <f t="shared" ref="B77:P77" ca="1" si="14">+INDEX(14:14,1,MATCH(B$76,9:9,0))</f>
        <v>312</v>
      </c>
      <c r="C77" s="207">
        <f t="shared" ca="1" si="14"/>
        <v>322</v>
      </c>
      <c r="D77" s="207">
        <f t="shared" ca="1" si="14"/>
        <v>357</v>
      </c>
      <c r="E77" s="207">
        <f t="shared" ca="1" si="14"/>
        <v>342</v>
      </c>
      <c r="F77" s="207">
        <f t="shared" ca="1" si="14"/>
        <v>381</v>
      </c>
      <c r="G77" s="207">
        <f t="shared" ca="1" si="14"/>
        <v>450</v>
      </c>
      <c r="H77" s="207">
        <f t="shared" ca="1" si="14"/>
        <v>492</v>
      </c>
      <c r="I77" s="207">
        <f t="shared" ca="1" si="14"/>
        <v>451</v>
      </c>
      <c r="J77" s="207">
        <f t="shared" ca="1" si="14"/>
        <v>436</v>
      </c>
      <c r="K77" s="207">
        <f t="shared" ca="1" si="14"/>
        <v>403</v>
      </c>
      <c r="L77" s="207">
        <f t="shared" ca="1" si="14"/>
        <v>380</v>
      </c>
      <c r="M77" s="207" t="e">
        <f t="shared" ca="1" si="14"/>
        <v>#N/A</v>
      </c>
      <c r="N77" s="207" t="e">
        <f t="shared" ca="1" si="14"/>
        <v>#N/A</v>
      </c>
      <c r="O77" s="207" t="e">
        <f t="shared" ca="1" si="14"/>
        <v>#N/A</v>
      </c>
      <c r="P77" s="207" t="e">
        <f t="shared" ca="1" si="14"/>
        <v>#N/A</v>
      </c>
      <c r="Q77" s="207" t="e">
        <f t="shared" ref="Q77:T77" ca="1" si="15">+INDEX(14:14,1,MATCH(Q$76,9:9,0))</f>
        <v>#N/A</v>
      </c>
      <c r="R77" s="207" t="e">
        <f t="shared" ca="1" si="15"/>
        <v>#N/A</v>
      </c>
      <c r="S77" s="207" t="e">
        <f t="shared" ca="1" si="15"/>
        <v>#N/A</v>
      </c>
      <c r="T77" s="207" t="e">
        <f t="shared" ca="1" si="15"/>
        <v>#N/A</v>
      </c>
    </row>
    <row r="80" spans="1:23">
      <c r="A80" s="210"/>
      <c r="B80" s="211" t="s">
        <v>217</v>
      </c>
      <c r="C80" s="212"/>
    </row>
    <row r="81" spans="1:4">
      <c r="A81" s="210" t="s">
        <v>198</v>
      </c>
      <c r="B81" s="213">
        <f t="array" aca="1" ref="B81:C85" ca="1">+LINEST(
OFFSET($B77,0,0,1,SUM($B71:$T71)),
OFFSET($B76,0,0,1,SUM($B71:$T71)),
,
1)</f>
        <v>11.181818181818182</v>
      </c>
      <c r="C81" s="213">
        <f ca="1"/>
        <v>-22026.272727272728</v>
      </c>
      <c r="D81" s="179" t="s">
        <v>218</v>
      </c>
    </row>
    <row r="82" spans="1:4">
      <c r="A82" s="210" t="s">
        <v>219</v>
      </c>
      <c r="B82" s="213">
        <f ca="1"/>
        <v>4.5416751964941264</v>
      </c>
      <c r="C82" s="213">
        <f ca="1"/>
        <v>9106.0700948369868</v>
      </c>
      <c r="D82" s="179" t="s">
        <v>220</v>
      </c>
    </row>
    <row r="83" spans="1:4">
      <c r="A83" s="210" t="s">
        <v>221</v>
      </c>
      <c r="B83" s="213">
        <f ca="1"/>
        <v>0.40245693186775772</v>
      </c>
      <c r="C83" s="213">
        <f ca="1"/>
        <v>47.633491315979505</v>
      </c>
      <c r="D83" s="179" t="s">
        <v>222</v>
      </c>
    </row>
    <row r="84" spans="1:4">
      <c r="A84" s="214" t="s">
        <v>223</v>
      </c>
      <c r="B84" s="213">
        <f ca="1"/>
        <v>6.0616758523056111</v>
      </c>
      <c r="C84" s="213">
        <f ca="1"/>
        <v>9</v>
      </c>
      <c r="D84" s="179" t="s">
        <v>224</v>
      </c>
    </row>
    <row r="85" spans="1:4">
      <c r="A85" s="214" t="s">
        <v>225</v>
      </c>
      <c r="B85" s="213">
        <f ca="1"/>
        <v>13753.636363636368</v>
      </c>
      <c r="C85" s="213">
        <f ca="1"/>
        <v>20420.545454545456</v>
      </c>
      <c r="D85" s="179" t="s">
        <v>226</v>
      </c>
    </row>
    <row r="86" spans="1:4">
      <c r="A86" s="210"/>
    </row>
    <row r="87" spans="1:4">
      <c r="A87" s="210"/>
    </row>
    <row r="88" spans="1:4">
      <c r="A88" s="210" t="s">
        <v>227</v>
      </c>
      <c r="B88" s="179">
        <f ca="1">+B81/B82</f>
        <v>2.4620470857206627</v>
      </c>
    </row>
    <row r="89" spans="1:4">
      <c r="A89" s="214" t="s">
        <v>228</v>
      </c>
      <c r="B89" s="215">
        <f ca="1">+TDIST(B88,C84,2)</f>
        <v>3.6037417038129155E-2</v>
      </c>
    </row>
  </sheetData>
  <conditionalFormatting sqref="B14:H14 J14:T14">
    <cfRule type="expression" dxfId="27" priority="2">
      <formula>B$71=1</formula>
    </cfRule>
  </conditionalFormatting>
  <conditionalFormatting sqref="B14:I14">
    <cfRule type="expression" dxfId="26"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230</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tr">
        <f>+B4</f>
        <v>Underground Storage Depreciation and Amortization</v>
      </c>
      <c r="B11" s="170">
        <f>+'Cost Trends'!F26</f>
        <v>314</v>
      </c>
      <c r="C11" s="170">
        <f>+'Cost Trends'!G26</f>
        <v>314</v>
      </c>
      <c r="D11" s="170">
        <f>+'Cost Trends'!H26</f>
        <v>297</v>
      </c>
      <c r="E11" s="170">
        <f>+'Cost Trends'!I26</f>
        <v>309</v>
      </c>
      <c r="F11" s="170">
        <f>+'Cost Trends'!J26</f>
        <v>309</v>
      </c>
      <c r="G11" s="170">
        <f>+'Cost Trends'!K26</f>
        <v>310</v>
      </c>
      <c r="H11" s="170">
        <f>+'Cost Trends'!L26</f>
        <v>312</v>
      </c>
      <c r="I11" s="170">
        <f>+'Cost Trends'!M26</f>
        <v>310</v>
      </c>
      <c r="J11" s="170">
        <f>+'Cost Trends'!N26</f>
        <v>276</v>
      </c>
      <c r="K11" s="170">
        <f>+'Cost Trends'!O26</f>
        <v>393</v>
      </c>
      <c r="L11" s="170">
        <f>+'Cost Trends'!P26</f>
        <v>348</v>
      </c>
      <c r="M11" s="170">
        <f>+'Cost Trends'!Q26</f>
        <v>395</v>
      </c>
      <c r="N11" s="170">
        <f>+'Cost Trends'!R26</f>
        <v>438</v>
      </c>
      <c r="O11" s="170">
        <f>+'Cost Trends'!S26</f>
        <v>380</v>
      </c>
      <c r="P11" s="170">
        <f>+'Cost Trends'!T26</f>
        <v>402</v>
      </c>
      <c r="Q11" s="170">
        <f>+'Cost Trends'!U26</f>
        <v>439</v>
      </c>
      <c r="R11" s="170">
        <f>+'Cost Trends'!V26</f>
        <v>492</v>
      </c>
      <c r="S11" s="170">
        <f>+'Cost Trends'!W26</f>
        <v>537</v>
      </c>
      <c r="T11" s="170">
        <f>+'Cost Trends'!X26</f>
        <v>627</v>
      </c>
    </row>
    <row r="12" spans="1:23" ht="8.25" customHeight="1">
      <c r="B12" s="188"/>
      <c r="C12" s="188"/>
      <c r="D12" s="188"/>
      <c r="E12" s="188"/>
      <c r="F12" s="188"/>
      <c r="G12" s="188"/>
      <c r="H12" s="188"/>
      <c r="I12" s="188"/>
      <c r="J12" s="188"/>
      <c r="K12" s="188"/>
      <c r="L12" s="188"/>
      <c r="M12" s="188"/>
      <c r="N12" s="188"/>
      <c r="O12" s="188"/>
      <c r="P12" s="188"/>
      <c r="Q12" s="188"/>
      <c r="R12" s="188"/>
      <c r="S12" s="188"/>
      <c r="T12" s="188"/>
    </row>
    <row r="13" spans="1:23" ht="8.25" customHeight="1">
      <c r="B13" s="188" t="s">
        <v>206</v>
      </c>
      <c r="C13" s="188" t="s">
        <v>206</v>
      </c>
      <c r="D13" s="188" t="s">
        <v>206</v>
      </c>
      <c r="E13" s="188" t="s">
        <v>206</v>
      </c>
      <c r="F13" s="188" t="s">
        <v>206</v>
      </c>
      <c r="G13" s="188" t="s">
        <v>206</v>
      </c>
      <c r="H13" s="188" t="s">
        <v>206</v>
      </c>
      <c r="I13" s="188" t="s">
        <v>206</v>
      </c>
      <c r="J13" s="188" t="s">
        <v>206</v>
      </c>
      <c r="K13" s="188" t="s">
        <v>206</v>
      </c>
      <c r="L13" s="188" t="s">
        <v>206</v>
      </c>
      <c r="M13" s="188" t="s">
        <v>206</v>
      </c>
      <c r="N13" s="188" t="s">
        <v>206</v>
      </c>
      <c r="O13" s="188" t="s">
        <v>206</v>
      </c>
      <c r="P13" s="188" t="s">
        <v>206</v>
      </c>
      <c r="Q13" s="188" t="s">
        <v>206</v>
      </c>
      <c r="R13" s="188" t="s">
        <v>206</v>
      </c>
      <c r="S13" s="188" t="s">
        <v>206</v>
      </c>
      <c r="T13" s="188" t="s">
        <v>206</v>
      </c>
    </row>
    <row r="14" spans="1:23" ht="26.25" customHeight="1">
      <c r="A14" s="190" t="str">
        <f>+"Total "&amp;B4</f>
        <v>Total Underground Storage Depreciation and Amortization</v>
      </c>
      <c r="B14" s="191">
        <f t="shared" ref="B14:P14" si="1">+SUM(B10:B13)</f>
        <v>314</v>
      </c>
      <c r="C14" s="191">
        <f t="shared" si="1"/>
        <v>314</v>
      </c>
      <c r="D14" s="191">
        <f t="shared" si="1"/>
        <v>297</v>
      </c>
      <c r="E14" s="191">
        <f t="shared" si="1"/>
        <v>309</v>
      </c>
      <c r="F14" s="191">
        <f t="shared" si="1"/>
        <v>309</v>
      </c>
      <c r="G14" s="191">
        <f t="shared" si="1"/>
        <v>310</v>
      </c>
      <c r="H14" s="191">
        <f t="shared" si="1"/>
        <v>312</v>
      </c>
      <c r="I14" s="191">
        <f t="shared" si="1"/>
        <v>310</v>
      </c>
      <c r="J14" s="191">
        <f t="shared" si="1"/>
        <v>276</v>
      </c>
      <c r="K14" s="191">
        <f t="shared" si="1"/>
        <v>393</v>
      </c>
      <c r="L14" s="191">
        <f t="shared" si="1"/>
        <v>348</v>
      </c>
      <c r="M14" s="191">
        <f t="shared" si="1"/>
        <v>395</v>
      </c>
      <c r="N14" s="191">
        <f t="shared" si="1"/>
        <v>438</v>
      </c>
      <c r="O14" s="191">
        <f t="shared" si="1"/>
        <v>380</v>
      </c>
      <c r="P14" s="191">
        <f t="shared" si="1"/>
        <v>402</v>
      </c>
      <c r="Q14" s="191">
        <f t="shared" ref="Q14" si="2">+SUM(Q10:Q13)</f>
        <v>439</v>
      </c>
      <c r="R14" s="191">
        <f t="shared" ref="R14:T14" si="3">+SUM(R10:R13)</f>
        <v>492</v>
      </c>
      <c r="S14" s="191">
        <f t="shared" si="3"/>
        <v>537</v>
      </c>
      <c r="T14" s="191">
        <f t="shared" si="3"/>
        <v>627</v>
      </c>
    </row>
    <row r="15" spans="1:23">
      <c r="P15" s="192"/>
      <c r="T15" s="192"/>
    </row>
    <row r="16" spans="1:23">
      <c r="P16" s="192"/>
      <c r="T16" s="192"/>
    </row>
    <row r="17" spans="1:22">
      <c r="A17" s="193" t="s">
        <v>208</v>
      </c>
      <c r="B17" s="194"/>
      <c r="C17" s="195"/>
      <c r="D17" s="193" t="s">
        <v>253</v>
      </c>
      <c r="E17" s="193"/>
      <c r="F17" s="194"/>
      <c r="G17" s="194"/>
      <c r="H17" s="194"/>
      <c r="I17" s="194"/>
      <c r="J17" s="194"/>
      <c r="K17" s="194"/>
      <c r="L17" s="194"/>
      <c r="M17" s="194"/>
      <c r="N17" s="194"/>
      <c r="O17" s="194"/>
      <c r="P17" s="196"/>
      <c r="Q17" s="194"/>
      <c r="R17" s="275"/>
      <c r="S17" s="275"/>
      <c r="T17" s="196"/>
    </row>
    <row r="18" spans="1:22" ht="19.5" customHeight="1">
      <c r="A18" s="180"/>
      <c r="B18" s="197"/>
      <c r="C18" s="197"/>
      <c r="D18" s="197"/>
      <c r="E18" s="197"/>
      <c r="F18" s="197"/>
      <c r="G18" s="197"/>
      <c r="H18" s="197"/>
      <c r="I18" s="197"/>
    </row>
    <row r="19" spans="1:22" ht="19.5" customHeight="1">
      <c r="A19" s="179" t="s">
        <v>251</v>
      </c>
      <c r="B19" s="198">
        <f ca="1">+LINEST(
OFFSET($B$77,0,0,1,SUM($B$71:$T$71)),
OFFSET($B$76,0,0,1,SUM($B$71:$T$71)),
,
1)</f>
        <v>23.872727272727278</v>
      </c>
      <c r="C19" s="197"/>
      <c r="D19" s="197"/>
      <c r="E19" s="197"/>
      <c r="F19" s="197"/>
      <c r="G19" s="197"/>
      <c r="H19" s="197"/>
      <c r="I19" s="197"/>
    </row>
    <row r="20" spans="1:22" ht="19.5" customHeight="1">
      <c r="A20" s="180" t="s">
        <v>252</v>
      </c>
      <c r="B20" s="197">
        <f ca="1">RSQ(
OFFSET($B$77,0,0,1,SUM($B$71:$T$71)),
OFFSET($B$76,0,0,1,SUM($B$71:$T$71))
)</f>
        <v>0.72817310444558259</v>
      </c>
      <c r="C20" s="198"/>
      <c r="D20" s="198"/>
      <c r="E20" s="198"/>
      <c r="F20" s="198"/>
      <c r="G20" s="198"/>
      <c r="H20" s="198"/>
      <c r="I20" s="198"/>
    </row>
    <row r="21" spans="1:22" ht="19.5" customHeight="1">
      <c r="A21" s="179" t="s">
        <v>209</v>
      </c>
      <c r="B21" s="199">
        <f ca="1">+B19/T14</f>
        <v>3.8074525155864875E-2</v>
      </c>
      <c r="C21" s="197"/>
      <c r="D21" s="197"/>
      <c r="E21" s="197"/>
      <c r="F21" s="197"/>
      <c r="G21" s="197"/>
      <c r="H21" s="197"/>
      <c r="I21" s="197"/>
    </row>
    <row r="22" spans="1:22" ht="19.5" customHeight="1">
      <c r="A22" s="192" t="s">
        <v>289</v>
      </c>
      <c r="B22" s="217">
        <f ca="1">+B21</f>
        <v>3.8074525155864875E-2</v>
      </c>
      <c r="C22" s="199"/>
      <c r="D22" s="199"/>
      <c r="E22" s="199"/>
      <c r="F22" s="199"/>
      <c r="G22" s="199"/>
      <c r="H22" s="199"/>
      <c r="I22" s="199"/>
    </row>
    <row r="23" spans="1:22" ht="19.5" customHeight="1">
      <c r="C23" s="200"/>
      <c r="D23" s="200"/>
      <c r="E23" s="200"/>
      <c r="F23" s="200"/>
      <c r="G23" s="200"/>
      <c r="H23" s="200"/>
      <c r="I23" s="200"/>
      <c r="L23" s="201"/>
    </row>
    <row r="25" spans="1:22">
      <c r="U25" s="202"/>
      <c r="V25" s="202"/>
    </row>
    <row r="26" spans="1:22">
      <c r="U26" s="203"/>
      <c r="V26" s="203"/>
    </row>
    <row r="27" spans="1:22">
      <c r="U27" s="203"/>
      <c r="V27" s="203"/>
    </row>
    <row r="28" spans="1:22">
      <c r="U28" s="203"/>
      <c r="V28" s="203"/>
    </row>
    <row r="29" spans="1:22">
      <c r="U29" s="203"/>
      <c r="V29" s="203"/>
    </row>
    <row r="30" spans="1:22">
      <c r="U30" s="203"/>
      <c r="V30" s="203"/>
    </row>
    <row r="33" spans="21:23">
      <c r="U33" s="204"/>
      <c r="V33" s="204"/>
      <c r="W33" s="204"/>
    </row>
    <row r="34" spans="21:23">
      <c r="U34" s="203"/>
      <c r="V34" s="203"/>
      <c r="W34" s="203"/>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8" spans="21:23">
      <c r="U58" s="204"/>
      <c r="V58" s="204"/>
      <c r="W58" s="204"/>
    </row>
    <row r="59" spans="21:23">
      <c r="U59" s="203"/>
      <c r="V59" s="203"/>
      <c r="W59" s="203"/>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L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+L70+1</f>
        <v>2011</v>
      </c>
      <c r="N70" s="205">
        <f t="shared" ref="N70:T70" si="5">+M70+1</f>
        <v>2012</v>
      </c>
      <c r="O70" s="205">
        <f t="shared" si="5"/>
        <v>2013</v>
      </c>
      <c r="P70" s="205">
        <f t="shared" si="5"/>
        <v>2014</v>
      </c>
      <c r="Q70" s="205">
        <f t="shared" si="5"/>
        <v>2015</v>
      </c>
      <c r="R70" s="205">
        <f t="shared" si="5"/>
        <v>2016</v>
      </c>
      <c r="S70" s="205">
        <f t="shared" si="5"/>
        <v>2017</v>
      </c>
      <c r="T70" s="205">
        <f t="shared" si="5"/>
        <v>2018</v>
      </c>
    </row>
    <row r="71" spans="1:23">
      <c r="A71" s="206" t="s">
        <v>212</v>
      </c>
      <c r="B71" s="206"/>
      <c r="C71" s="206"/>
      <c r="D71" s="206"/>
      <c r="E71" s="206"/>
      <c r="F71" s="206"/>
      <c r="G71" s="206"/>
      <c r="H71" s="206"/>
      <c r="I71" s="206"/>
      <c r="J71" s="206"/>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0</v>
      </c>
      <c r="C74" s="208">
        <f>+SUM($B71:C$71)</f>
        <v>0</v>
      </c>
      <c r="D74" s="208">
        <f>+SUM($B71:D$71)</f>
        <v>0</v>
      </c>
      <c r="E74" s="208">
        <f>+SUM($B71:E$71)</f>
        <v>0</v>
      </c>
      <c r="F74" s="208">
        <f>+SUM($B71:F$71)</f>
        <v>0</v>
      </c>
      <c r="G74" s="208">
        <f>+SUM($B71:G$71)</f>
        <v>0</v>
      </c>
      <c r="H74" s="208">
        <f>+SUM($B71:H$71)</f>
        <v>0</v>
      </c>
      <c r="I74" s="208">
        <f>+SUM($B71:I$71)</f>
        <v>0</v>
      </c>
      <c r="J74" s="208">
        <f>+SUM($B71:J$71)</f>
        <v>0</v>
      </c>
      <c r="K74" s="208">
        <f>+SUM($B71:K$71)</f>
        <v>1</v>
      </c>
      <c r="L74" s="208">
        <f>+SUM($B71:L$71)</f>
        <v>2</v>
      </c>
      <c r="M74" s="208">
        <f>+SUM($B71:M$71)</f>
        <v>3</v>
      </c>
      <c r="N74" s="208">
        <f>+SUM($B71:N$71)</f>
        <v>4</v>
      </c>
      <c r="O74" s="208">
        <f>+SUM($B71:O$71)</f>
        <v>5</v>
      </c>
      <c r="P74" s="208">
        <f>+SUM($B71:P$71)</f>
        <v>6</v>
      </c>
      <c r="Q74" s="208">
        <f>+SUM($B71:Q$71)</f>
        <v>7</v>
      </c>
      <c r="R74" s="208">
        <f>+SUM($B71:R$71)</f>
        <v>8</v>
      </c>
      <c r="S74" s="208">
        <f>+SUM($B71:S$71)</f>
        <v>9</v>
      </c>
      <c r="T74" s="208">
        <f>+SUM($B71:T$71)</f>
        <v>10</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N75" si="7">+L75+1</f>
        <v>12</v>
      </c>
      <c r="N75" s="209">
        <f t="shared" si="7"/>
        <v>13</v>
      </c>
      <c r="O75" s="209">
        <f t="shared" ref="O75" si="8">+N75+1</f>
        <v>14</v>
      </c>
      <c r="P75" s="209">
        <f t="shared" ref="P75" si="9">+O75+1</f>
        <v>15</v>
      </c>
      <c r="Q75" s="209">
        <f t="shared" ref="Q75" si="10">+P75+1</f>
        <v>16</v>
      </c>
      <c r="R75" s="209">
        <f t="shared" ref="R75" si="11">+Q75+1</f>
        <v>17</v>
      </c>
      <c r="S75" s="209">
        <f t="shared" ref="S75" si="12">+R75+1</f>
        <v>18</v>
      </c>
      <c r="T75" s="209">
        <f t="shared" ref="T75" si="13">+S75+1</f>
        <v>19</v>
      </c>
    </row>
    <row r="76" spans="1:23">
      <c r="A76" s="207" t="s">
        <v>215</v>
      </c>
      <c r="B76" s="209">
        <f t="shared" ref="B76:T76" ca="1" si="14">+OFFSET($A$70,0,MATCH(B$75,$B$74:$T$74,0))</f>
        <v>2009</v>
      </c>
      <c r="C76" s="209">
        <f t="shared" ca="1" si="14"/>
        <v>2010</v>
      </c>
      <c r="D76" s="209">
        <f t="shared" ca="1" si="14"/>
        <v>2011</v>
      </c>
      <c r="E76" s="209">
        <f t="shared" ca="1" si="14"/>
        <v>2012</v>
      </c>
      <c r="F76" s="209">
        <f t="shared" ca="1" si="14"/>
        <v>2013</v>
      </c>
      <c r="G76" s="209">
        <f t="shared" ca="1" si="14"/>
        <v>2014</v>
      </c>
      <c r="H76" s="209">
        <f t="shared" ca="1" si="14"/>
        <v>2015</v>
      </c>
      <c r="I76" s="209">
        <f t="shared" ca="1" si="14"/>
        <v>2016</v>
      </c>
      <c r="J76" s="209">
        <f t="shared" ca="1" si="14"/>
        <v>2017</v>
      </c>
      <c r="K76" s="209">
        <f t="shared" ca="1" si="14"/>
        <v>2018</v>
      </c>
      <c r="L76" s="209" t="e">
        <f t="shared" ca="1" si="14"/>
        <v>#N/A</v>
      </c>
      <c r="M76" s="209" t="e">
        <f t="shared" ca="1" si="14"/>
        <v>#N/A</v>
      </c>
      <c r="N76" s="209" t="e">
        <f t="shared" ca="1" si="14"/>
        <v>#N/A</v>
      </c>
      <c r="O76" s="209" t="e">
        <f t="shared" ca="1" si="14"/>
        <v>#N/A</v>
      </c>
      <c r="P76" s="209" t="e">
        <f t="shared" ca="1" si="14"/>
        <v>#N/A</v>
      </c>
      <c r="Q76" s="209" t="e">
        <f t="shared" ca="1" si="14"/>
        <v>#N/A</v>
      </c>
      <c r="R76" s="209" t="e">
        <f t="shared" ca="1" si="14"/>
        <v>#N/A</v>
      </c>
      <c r="S76" s="209" t="e">
        <f t="shared" ca="1" si="14"/>
        <v>#N/A</v>
      </c>
      <c r="T76" s="209" t="e">
        <f t="shared" ca="1" si="14"/>
        <v>#N/A</v>
      </c>
    </row>
    <row r="77" spans="1:23">
      <c r="A77" s="207" t="s">
        <v>216</v>
      </c>
      <c r="B77" s="207">
        <f t="shared" ref="B77:N77" ca="1" si="15">+INDEX(14:14,1,MATCH(B$76,9:9,0))</f>
        <v>393</v>
      </c>
      <c r="C77" s="207">
        <f t="shared" ca="1" si="15"/>
        <v>348</v>
      </c>
      <c r="D77" s="207">
        <f t="shared" ca="1" si="15"/>
        <v>395</v>
      </c>
      <c r="E77" s="207">
        <f t="shared" ca="1" si="15"/>
        <v>438</v>
      </c>
      <c r="F77" s="207">
        <f t="shared" ca="1" si="15"/>
        <v>380</v>
      </c>
      <c r="G77" s="207">
        <f t="shared" ca="1" si="15"/>
        <v>402</v>
      </c>
      <c r="H77" s="207">
        <f t="shared" ca="1" si="15"/>
        <v>439</v>
      </c>
      <c r="I77" s="207">
        <f t="shared" ca="1" si="15"/>
        <v>492</v>
      </c>
      <c r="J77" s="207">
        <f t="shared" ca="1" si="15"/>
        <v>537</v>
      </c>
      <c r="K77" s="207">
        <f t="shared" ca="1" si="15"/>
        <v>627</v>
      </c>
      <c r="L77" s="207" t="e">
        <f t="shared" ca="1" si="15"/>
        <v>#N/A</v>
      </c>
      <c r="M77" s="207" t="e">
        <f t="shared" ca="1" si="15"/>
        <v>#N/A</v>
      </c>
      <c r="N77" s="207" t="e">
        <f t="shared" ca="1" si="15"/>
        <v>#N/A</v>
      </c>
      <c r="O77" s="207" t="e">
        <f t="shared" ref="O77:T77" ca="1" si="16">+INDEX(14:14,1,MATCH(O$76,9:9,0))</f>
        <v>#N/A</v>
      </c>
      <c r="P77" s="207" t="e">
        <f t="shared" ca="1" si="16"/>
        <v>#N/A</v>
      </c>
      <c r="Q77" s="207" t="e">
        <f t="shared" ca="1" si="16"/>
        <v>#N/A</v>
      </c>
      <c r="R77" s="207" t="e">
        <f t="shared" ca="1" si="16"/>
        <v>#N/A</v>
      </c>
      <c r="S77" s="207" t="e">
        <f t="shared" ca="1" si="16"/>
        <v>#N/A</v>
      </c>
      <c r="T77" s="207" t="e">
        <f t="shared" ca="1" si="16"/>
        <v>#N/A</v>
      </c>
    </row>
    <row r="80" spans="1:23">
      <c r="A80" s="210"/>
      <c r="B80" s="211" t="s">
        <v>217</v>
      </c>
      <c r="C80" s="212"/>
    </row>
    <row r="81" spans="1:4">
      <c r="A81" s="210" t="s">
        <v>198</v>
      </c>
      <c r="B81" s="213">
        <f t="array" aca="1" ref="B81:C85" ca="1">+LINEST(
OFFSET($B77,0,0,1,SUM($B71:$T71)),
OFFSET($B76,0,0,1,SUM($B71:$T71)),
,
1)</f>
        <v>23.872727272727278</v>
      </c>
      <c r="C81" s="213">
        <f ca="1"/>
        <v>-47622.636363636375</v>
      </c>
      <c r="D81" s="179" t="s">
        <v>218</v>
      </c>
    </row>
    <row r="82" spans="1:4">
      <c r="A82" s="210" t="s">
        <v>219</v>
      </c>
      <c r="B82" s="213">
        <f ca="1"/>
        <v>5.1568670951377653</v>
      </c>
      <c r="C82" s="213">
        <f ca="1"/>
        <v>10383.362460780996</v>
      </c>
      <c r="D82" s="179" t="s">
        <v>220</v>
      </c>
    </row>
    <row r="83" spans="1:4">
      <c r="A83" s="210" t="s">
        <v>221</v>
      </c>
      <c r="B83" s="213">
        <f ca="1"/>
        <v>0.72817310444558225</v>
      </c>
      <c r="C83" s="213">
        <f ca="1"/>
        <v>46.83957145988267</v>
      </c>
      <c r="D83" s="179" t="s">
        <v>222</v>
      </c>
    </row>
    <row r="84" spans="1:4">
      <c r="A84" s="214" t="s">
        <v>223</v>
      </c>
      <c r="B84" s="213">
        <f ca="1"/>
        <v>21.430494667141794</v>
      </c>
      <c r="C84" s="213">
        <f ca="1"/>
        <v>8</v>
      </c>
      <c r="D84" s="179" t="s">
        <v>224</v>
      </c>
    </row>
    <row r="85" spans="1:4">
      <c r="A85" s="214" t="s">
        <v>225</v>
      </c>
      <c r="B85" s="213">
        <f ca="1"/>
        <v>47017.33636363635</v>
      </c>
      <c r="C85" s="213">
        <f ca="1"/>
        <v>17551.56363636364</v>
      </c>
      <c r="D85" s="179" t="s">
        <v>226</v>
      </c>
    </row>
    <row r="86" spans="1:4">
      <c r="A86" s="210"/>
    </row>
    <row r="87" spans="1:4">
      <c r="A87" s="210"/>
    </row>
    <row r="88" spans="1:4">
      <c r="A88" s="210" t="s">
        <v>227</v>
      </c>
      <c r="B88" s="179">
        <f ca="1">+B81/B82</f>
        <v>4.6293082277098163</v>
      </c>
    </row>
    <row r="89" spans="1:4">
      <c r="A89" s="214" t="s">
        <v>228</v>
      </c>
      <c r="B89" s="215">
        <f ca="1">+TDIST(B88,C84,2)</f>
        <v>1.6895720945016913E-3</v>
      </c>
    </row>
  </sheetData>
  <conditionalFormatting sqref="B14:H14 J14:T14">
    <cfRule type="expression" dxfId="25" priority="2">
      <formula>B$71=1</formula>
    </cfRule>
  </conditionalFormatting>
  <conditionalFormatting sqref="B14:I14">
    <cfRule type="expression" dxfId="24"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255</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
        <v>231</v>
      </c>
      <c r="B11" s="170">
        <f>+'Cost Trends'!F27</f>
        <v>111</v>
      </c>
      <c r="C11" s="170">
        <f>+'Cost Trends'!G27</f>
        <v>108</v>
      </c>
      <c r="D11" s="170">
        <f>+'Cost Trends'!H27</f>
        <v>120</v>
      </c>
      <c r="E11" s="170">
        <f>+'Cost Trends'!I27</f>
        <v>118</v>
      </c>
      <c r="F11" s="170">
        <f>+'Cost Trends'!J27</f>
        <v>120</v>
      </c>
      <c r="G11" s="170">
        <f>+'Cost Trends'!K27</f>
        <v>115</v>
      </c>
      <c r="H11" s="170">
        <f>+'Cost Trends'!L27</f>
        <v>122</v>
      </c>
      <c r="I11" s="170">
        <f>+'Cost Trends'!M27</f>
        <v>95</v>
      </c>
      <c r="J11" s="170">
        <f>+'Cost Trends'!N27</f>
        <v>113</v>
      </c>
      <c r="K11" s="170">
        <f>+'Cost Trends'!O27</f>
        <v>121</v>
      </c>
      <c r="L11" s="170">
        <f>+'Cost Trends'!P27</f>
        <v>116</v>
      </c>
      <c r="M11" s="170">
        <f>+'Cost Trends'!Q27</f>
        <v>19</v>
      </c>
      <c r="N11" s="170">
        <f>+'Cost Trends'!R27</f>
        <v>17</v>
      </c>
      <c r="O11" s="170">
        <f>+'Cost Trends'!S27</f>
        <v>158</v>
      </c>
      <c r="P11" s="170">
        <f>+'Cost Trends'!T27</f>
        <v>184</v>
      </c>
      <c r="Q11" s="170">
        <f>+'Cost Trends'!U27</f>
        <v>196</v>
      </c>
      <c r="R11" s="170">
        <f>+'Cost Trends'!V27</f>
        <v>210</v>
      </c>
      <c r="S11" s="170">
        <f>+'Cost Trends'!W27</f>
        <v>85</v>
      </c>
      <c r="T11" s="170">
        <f>+'Cost Trends'!X27</f>
        <v>224</v>
      </c>
    </row>
    <row r="12" spans="1:23" ht="8.25" customHeight="1">
      <c r="B12" s="188"/>
      <c r="C12" s="188"/>
      <c r="D12" s="188"/>
      <c r="E12" s="188"/>
      <c r="F12" s="188"/>
      <c r="G12" s="188"/>
      <c r="H12" s="188"/>
      <c r="I12" s="188"/>
      <c r="J12" s="188"/>
      <c r="K12" s="188"/>
      <c r="L12" s="188"/>
      <c r="M12" s="188"/>
      <c r="N12" s="188"/>
      <c r="O12" s="188"/>
      <c r="P12" s="188"/>
      <c r="Q12" s="188"/>
      <c r="R12" s="188"/>
      <c r="S12" s="188"/>
      <c r="T12" s="188"/>
    </row>
    <row r="13" spans="1:23" ht="8.25" customHeight="1">
      <c r="B13" s="188" t="s">
        <v>206</v>
      </c>
      <c r="C13" s="188" t="s">
        <v>206</v>
      </c>
      <c r="D13" s="188" t="s">
        <v>206</v>
      </c>
      <c r="E13" s="188" t="s">
        <v>206</v>
      </c>
      <c r="F13" s="188" t="s">
        <v>206</v>
      </c>
      <c r="G13" s="188" t="s">
        <v>206</v>
      </c>
      <c r="H13" s="188" t="s">
        <v>206</v>
      </c>
      <c r="I13" s="188" t="s">
        <v>206</v>
      </c>
      <c r="J13" s="188" t="s">
        <v>206</v>
      </c>
      <c r="K13" s="188" t="s">
        <v>206</v>
      </c>
      <c r="L13" s="188" t="s">
        <v>206</v>
      </c>
      <c r="M13" s="188" t="s">
        <v>206</v>
      </c>
      <c r="N13" s="188" t="s">
        <v>206</v>
      </c>
      <c r="O13" s="188" t="s">
        <v>206</v>
      </c>
      <c r="P13" s="188" t="s">
        <v>206</v>
      </c>
      <c r="Q13" s="188" t="s">
        <v>206</v>
      </c>
      <c r="R13" s="188" t="s">
        <v>206</v>
      </c>
      <c r="S13" s="188" t="s">
        <v>206</v>
      </c>
      <c r="T13" s="188" t="s">
        <v>206</v>
      </c>
    </row>
    <row r="14" spans="1:23" ht="26.25" customHeight="1">
      <c r="A14" s="190" t="str">
        <f>+"Total "&amp;B4</f>
        <v>Total Underground Storage Taxes Other Than Income Taxes</v>
      </c>
      <c r="B14" s="191">
        <f t="shared" ref="B14:P14" si="1">+SUM(B10:B13)</f>
        <v>111</v>
      </c>
      <c r="C14" s="191">
        <f t="shared" si="1"/>
        <v>108</v>
      </c>
      <c r="D14" s="191">
        <f t="shared" si="1"/>
        <v>120</v>
      </c>
      <c r="E14" s="191">
        <f t="shared" si="1"/>
        <v>118</v>
      </c>
      <c r="F14" s="191">
        <f t="shared" si="1"/>
        <v>120</v>
      </c>
      <c r="G14" s="191">
        <f t="shared" si="1"/>
        <v>115</v>
      </c>
      <c r="H14" s="191">
        <f t="shared" si="1"/>
        <v>122</v>
      </c>
      <c r="I14" s="191">
        <f t="shared" si="1"/>
        <v>95</v>
      </c>
      <c r="J14" s="191">
        <f t="shared" si="1"/>
        <v>113</v>
      </c>
      <c r="K14" s="191">
        <f t="shared" si="1"/>
        <v>121</v>
      </c>
      <c r="L14" s="191">
        <f t="shared" si="1"/>
        <v>116</v>
      </c>
      <c r="M14" s="191">
        <f t="shared" si="1"/>
        <v>19</v>
      </c>
      <c r="N14" s="191">
        <f t="shared" si="1"/>
        <v>17</v>
      </c>
      <c r="O14" s="191">
        <f t="shared" si="1"/>
        <v>158</v>
      </c>
      <c r="P14" s="191">
        <f t="shared" si="1"/>
        <v>184</v>
      </c>
      <c r="Q14" s="191">
        <f t="shared" ref="Q14" si="2">+SUM(Q10:Q13)</f>
        <v>196</v>
      </c>
      <c r="R14" s="191">
        <f t="shared" ref="R14:T14" si="3">+SUM(R10:R13)</f>
        <v>210</v>
      </c>
      <c r="S14" s="191">
        <f t="shared" si="3"/>
        <v>85</v>
      </c>
      <c r="T14" s="191">
        <f t="shared" si="3"/>
        <v>224</v>
      </c>
    </row>
    <row r="15" spans="1:23">
      <c r="P15" s="192"/>
    </row>
    <row r="16" spans="1:23">
      <c r="P16" s="192"/>
      <c r="T16" s="192"/>
    </row>
    <row r="17" spans="1:22">
      <c r="A17" s="193" t="s">
        <v>208</v>
      </c>
      <c r="B17" s="194"/>
      <c r="C17" s="195"/>
      <c r="D17" s="193" t="s">
        <v>253</v>
      </c>
      <c r="E17" s="193"/>
      <c r="F17" s="194"/>
      <c r="G17" s="194"/>
      <c r="H17" s="194"/>
      <c r="I17" s="194"/>
      <c r="J17" s="194"/>
      <c r="K17" s="194"/>
      <c r="L17" s="194"/>
      <c r="M17" s="194"/>
      <c r="N17" s="194"/>
      <c r="O17" s="194"/>
      <c r="P17" s="196"/>
      <c r="Q17" s="194"/>
      <c r="R17" s="275"/>
      <c r="S17" s="275"/>
      <c r="T17" s="196"/>
    </row>
    <row r="18" spans="1:22" ht="19.5" customHeight="1">
      <c r="A18" s="180"/>
      <c r="B18" s="197"/>
      <c r="C18" s="197"/>
      <c r="D18" s="197"/>
      <c r="E18" s="197"/>
      <c r="F18" s="197"/>
      <c r="G18" s="197"/>
      <c r="H18" s="197"/>
      <c r="I18" s="197"/>
    </row>
    <row r="19" spans="1:22" ht="19.5" customHeight="1">
      <c r="A19" s="179" t="s">
        <v>251</v>
      </c>
      <c r="B19" s="198">
        <f ca="1">+LINEST(
OFFSET($B$77,0,0,1,SUM($B$71:$T$71)),
OFFSET($B$76,0,0,1,SUM($B$71:$T$71)),
,
1)</f>
        <v>3.4368421052631564</v>
      </c>
      <c r="C19" s="197"/>
      <c r="D19" s="197"/>
      <c r="E19" s="197"/>
      <c r="F19" s="197"/>
      <c r="G19" s="197"/>
      <c r="H19" s="197"/>
      <c r="I19" s="197"/>
    </row>
    <row r="20" spans="1:22" ht="19.5" customHeight="1">
      <c r="A20" s="180" t="s">
        <v>252</v>
      </c>
      <c r="B20" s="197">
        <f ca="1">RSQ(
OFFSET($B$77,0,0,1,SUM($B$71:$T$71)),
OFFSET($B$76,0,0,1,SUM($B$71:$T$71))
)</f>
        <v>0.12716985446158741</v>
      </c>
      <c r="C20" s="198"/>
      <c r="D20" s="198"/>
      <c r="E20" s="198"/>
      <c r="F20" s="198"/>
      <c r="G20" s="198"/>
      <c r="H20" s="198"/>
      <c r="I20" s="198"/>
    </row>
    <row r="21" spans="1:22" ht="19.5" customHeight="1">
      <c r="A21" s="179" t="s">
        <v>209</v>
      </c>
      <c r="B21" s="199">
        <f ca="1">+B19/T14</f>
        <v>1.5343045112781948E-2</v>
      </c>
      <c r="C21" s="197"/>
      <c r="D21" s="197"/>
      <c r="E21" s="197"/>
      <c r="F21" s="197"/>
      <c r="G21" s="197"/>
      <c r="H21" s="197"/>
      <c r="I21" s="197"/>
    </row>
    <row r="22" spans="1:22" ht="19.5" customHeight="1">
      <c r="A22" s="192" t="s">
        <v>289</v>
      </c>
      <c r="B22" s="217">
        <f ca="1">+B21</f>
        <v>1.5343045112781948E-2</v>
      </c>
      <c r="C22" s="199"/>
      <c r="D22" s="199"/>
      <c r="E22" s="199"/>
      <c r="F22" s="199"/>
      <c r="G22" s="199"/>
      <c r="H22" s="199"/>
      <c r="I22" s="199"/>
    </row>
    <row r="23" spans="1:22" ht="19.5" customHeight="1">
      <c r="C23" s="200"/>
      <c r="D23" s="200"/>
      <c r="E23" s="200"/>
      <c r="F23" s="200"/>
      <c r="G23" s="200"/>
      <c r="H23" s="200"/>
      <c r="I23" s="200"/>
      <c r="L23" s="201"/>
    </row>
    <row r="25" spans="1:22">
      <c r="U25" s="202"/>
      <c r="V25" s="202"/>
    </row>
    <row r="26" spans="1:22">
      <c r="U26" s="203"/>
      <c r="V26" s="203"/>
    </row>
    <row r="27" spans="1:22">
      <c r="U27" s="203"/>
      <c r="V27" s="203"/>
    </row>
    <row r="28" spans="1:22">
      <c r="U28" s="203"/>
      <c r="V28" s="203"/>
    </row>
    <row r="29" spans="1:22">
      <c r="U29" s="203"/>
      <c r="V29" s="203"/>
    </row>
    <row r="30" spans="1:22">
      <c r="U30" s="203"/>
      <c r="V30" s="203"/>
    </row>
    <row r="33" spans="21:23">
      <c r="U33" s="204"/>
      <c r="V33" s="204"/>
      <c r="W33" s="204"/>
    </row>
    <row r="34" spans="21:23">
      <c r="U34" s="203"/>
      <c r="V34" s="203"/>
      <c r="W34" s="203"/>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8" spans="21:23">
      <c r="U58" s="204"/>
      <c r="V58" s="204"/>
      <c r="W58" s="204"/>
    </row>
    <row r="59" spans="21:23">
      <c r="U59" s="203"/>
      <c r="V59" s="203"/>
      <c r="W59" s="203"/>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v>1</v>
      </c>
      <c r="C71" s="206">
        <v>1</v>
      </c>
      <c r="D71" s="206">
        <v>1</v>
      </c>
      <c r="E71" s="206">
        <v>1</v>
      </c>
      <c r="F71" s="206">
        <v>1</v>
      </c>
      <c r="G71" s="206">
        <v>1</v>
      </c>
      <c r="H71" s="206">
        <v>1</v>
      </c>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1</v>
      </c>
      <c r="C74" s="208">
        <f>+SUM($B71:C$71)</f>
        <v>2</v>
      </c>
      <c r="D74" s="208">
        <f>+SUM($B71:D$71)</f>
        <v>3</v>
      </c>
      <c r="E74" s="208">
        <f>+SUM($B71:E$71)</f>
        <v>4</v>
      </c>
      <c r="F74" s="208">
        <f>+SUM($B71:F$71)</f>
        <v>5</v>
      </c>
      <c r="G74" s="208">
        <f>+SUM($B71:G$71)</f>
        <v>6</v>
      </c>
      <c r="H74" s="208">
        <f>+SUM($B71:H$71)</f>
        <v>7</v>
      </c>
      <c r="I74" s="208">
        <f>+SUM($B71:I$71)</f>
        <v>8</v>
      </c>
      <c r="J74" s="208">
        <f>+SUM($B71:J$71)</f>
        <v>9</v>
      </c>
      <c r="K74" s="208">
        <f>+SUM($B71:K$71)</f>
        <v>10</v>
      </c>
      <c r="L74" s="208">
        <f>+SUM($B71:L$71)</f>
        <v>11</v>
      </c>
      <c r="M74" s="208">
        <f>+SUM($B71:M$71)</f>
        <v>12</v>
      </c>
      <c r="N74" s="208">
        <f>+SUM($B71:N$71)</f>
        <v>13</v>
      </c>
      <c r="O74" s="208">
        <f>+SUM($B71:O$71)</f>
        <v>14</v>
      </c>
      <c r="P74" s="208">
        <f>+SUM($B71:P$71)</f>
        <v>15</v>
      </c>
      <c r="Q74" s="208">
        <f>+SUM($B71:Q$71)</f>
        <v>16</v>
      </c>
      <c r="R74" s="208">
        <f>+SUM($B71:R$71)</f>
        <v>17</v>
      </c>
      <c r="S74" s="208">
        <f>+SUM($B71:S$71)</f>
        <v>18</v>
      </c>
      <c r="T74" s="208">
        <f>+SUM($B71:T$71)</f>
        <v>19</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2000</v>
      </c>
      <c r="C76" s="209">
        <f t="shared" ca="1" si="12"/>
        <v>2001</v>
      </c>
      <c r="D76" s="209">
        <f t="shared" ca="1" si="12"/>
        <v>2002</v>
      </c>
      <c r="E76" s="209">
        <f t="shared" ca="1" si="12"/>
        <v>2003</v>
      </c>
      <c r="F76" s="209">
        <f t="shared" ca="1" si="12"/>
        <v>2004</v>
      </c>
      <c r="G76" s="209">
        <f t="shared" ca="1" si="12"/>
        <v>2005</v>
      </c>
      <c r="H76" s="209">
        <f t="shared" ca="1" si="12"/>
        <v>2006</v>
      </c>
      <c r="I76" s="209">
        <f t="shared" ca="1" si="12"/>
        <v>2007</v>
      </c>
      <c r="J76" s="209">
        <f t="shared" ca="1" si="12"/>
        <v>2008</v>
      </c>
      <c r="K76" s="209">
        <f t="shared" ca="1" si="12"/>
        <v>2009</v>
      </c>
      <c r="L76" s="209">
        <f t="shared" ca="1" si="12"/>
        <v>2010</v>
      </c>
      <c r="M76" s="209">
        <f t="shared" ca="1" si="12"/>
        <v>2011</v>
      </c>
      <c r="N76" s="209">
        <f t="shared" ca="1" si="12"/>
        <v>2012</v>
      </c>
      <c r="O76" s="209">
        <f t="shared" ca="1" si="12"/>
        <v>2013</v>
      </c>
      <c r="P76" s="209">
        <f t="shared" ca="1" si="12"/>
        <v>2014</v>
      </c>
      <c r="Q76" s="209">
        <f t="shared" ref="Q76:T76" ca="1" si="13">+OFFSET($A$70,0,MATCH(Q$75,$B$74:$T$74,0))</f>
        <v>2015</v>
      </c>
      <c r="R76" s="209">
        <f t="shared" ca="1" si="13"/>
        <v>2016</v>
      </c>
      <c r="S76" s="209">
        <f t="shared" ca="1" si="13"/>
        <v>2017</v>
      </c>
      <c r="T76" s="209">
        <f t="shared" ca="1" si="13"/>
        <v>2018</v>
      </c>
    </row>
    <row r="77" spans="1:23">
      <c r="A77" s="207" t="s">
        <v>216</v>
      </c>
      <c r="B77" s="207">
        <f t="shared" ref="B77:P77" ca="1" si="14">+INDEX(14:14,1,MATCH(B$76,9:9,0))</f>
        <v>111</v>
      </c>
      <c r="C77" s="207">
        <f t="shared" ca="1" si="14"/>
        <v>108</v>
      </c>
      <c r="D77" s="207">
        <f t="shared" ca="1" si="14"/>
        <v>120</v>
      </c>
      <c r="E77" s="207">
        <f t="shared" ca="1" si="14"/>
        <v>118</v>
      </c>
      <c r="F77" s="207">
        <f t="shared" ca="1" si="14"/>
        <v>120</v>
      </c>
      <c r="G77" s="207">
        <f t="shared" ca="1" si="14"/>
        <v>115</v>
      </c>
      <c r="H77" s="207">
        <f t="shared" ca="1" si="14"/>
        <v>122</v>
      </c>
      <c r="I77" s="207">
        <f t="shared" ca="1" si="14"/>
        <v>95</v>
      </c>
      <c r="J77" s="207">
        <f t="shared" ca="1" si="14"/>
        <v>113</v>
      </c>
      <c r="K77" s="207">
        <f t="shared" ca="1" si="14"/>
        <v>121</v>
      </c>
      <c r="L77" s="207">
        <f t="shared" ca="1" si="14"/>
        <v>116</v>
      </c>
      <c r="M77" s="207">
        <f t="shared" ca="1" si="14"/>
        <v>19</v>
      </c>
      <c r="N77" s="207">
        <f t="shared" ca="1" si="14"/>
        <v>17</v>
      </c>
      <c r="O77" s="207">
        <f t="shared" ca="1" si="14"/>
        <v>158</v>
      </c>
      <c r="P77" s="207">
        <f t="shared" ca="1" si="14"/>
        <v>184</v>
      </c>
      <c r="Q77" s="207">
        <f t="shared" ref="Q77:T77" ca="1" si="15">+INDEX(14:14,1,MATCH(Q$76,9:9,0))</f>
        <v>196</v>
      </c>
      <c r="R77" s="207">
        <f t="shared" ca="1" si="15"/>
        <v>210</v>
      </c>
      <c r="S77" s="207">
        <f t="shared" ca="1" si="15"/>
        <v>85</v>
      </c>
      <c r="T77" s="207">
        <f t="shared" ca="1" si="15"/>
        <v>224</v>
      </c>
    </row>
    <row r="80" spans="1:23">
      <c r="A80" s="210"/>
      <c r="B80" s="211" t="s">
        <v>217</v>
      </c>
      <c r="C80" s="212"/>
    </row>
    <row r="81" spans="1:4">
      <c r="A81" s="210" t="s">
        <v>198</v>
      </c>
      <c r="B81" s="213">
        <f t="array" aca="1" ref="B81:C85" ca="1">+LINEST(
OFFSET($B77,0,0,1,SUM($B71:$T71)),
OFFSET($B76,0,0,1,SUM($B71:$T71)),
,
1)</f>
        <v>3.4368421052631564</v>
      </c>
      <c r="C81" s="213">
        <f ca="1"/>
        <v>-6780.8263157894698</v>
      </c>
      <c r="D81" s="179" t="s">
        <v>218</v>
      </c>
    </row>
    <row r="82" spans="1:4">
      <c r="A82" s="210" t="s">
        <v>219</v>
      </c>
      <c r="B82" s="213">
        <f ca="1"/>
        <v>2.1837750569915206</v>
      </c>
      <c r="C82" s="213">
        <f ca="1"/>
        <v>4387.2203944063613</v>
      </c>
      <c r="D82" s="179" t="s">
        <v>220</v>
      </c>
    </row>
    <row r="83" spans="1:4">
      <c r="A83" s="210" t="s">
        <v>221</v>
      </c>
      <c r="B83" s="213">
        <f ca="1"/>
        <v>0.12716985446158718</v>
      </c>
      <c r="C83" s="213">
        <f ca="1"/>
        <v>52.136914894696659</v>
      </c>
      <c r="D83" s="179" t="s">
        <v>222</v>
      </c>
    </row>
    <row r="84" spans="1:4">
      <c r="A84" s="214" t="s">
        <v>223</v>
      </c>
      <c r="B84" s="213">
        <f ca="1"/>
        <v>2.4768708286460517</v>
      </c>
      <c r="C84" s="213">
        <f ca="1"/>
        <v>17</v>
      </c>
      <c r="D84" s="179" t="s">
        <v>224</v>
      </c>
    </row>
    <row r="85" spans="1:4">
      <c r="A85" s="214" t="s">
        <v>225</v>
      </c>
      <c r="B85" s="213">
        <f ca="1"/>
        <v>6732.7736842105151</v>
      </c>
      <c r="C85" s="213">
        <f ca="1"/>
        <v>46210.384210526325</v>
      </c>
      <c r="D85" s="179" t="s">
        <v>226</v>
      </c>
    </row>
    <row r="86" spans="1:4">
      <c r="A86" s="210"/>
    </row>
    <row r="87" spans="1:4">
      <c r="A87" s="210"/>
    </row>
    <row r="88" spans="1:4">
      <c r="A88" s="210" t="s">
        <v>227</v>
      </c>
      <c r="B88" s="179">
        <f ca="1">+B81/B82</f>
        <v>1.5738077483117352</v>
      </c>
    </row>
    <row r="89" spans="1:4">
      <c r="A89" s="214" t="s">
        <v>228</v>
      </c>
      <c r="B89" s="215">
        <f ca="1">+TDIST(B88,C84,2)</f>
        <v>0.13395738419581399</v>
      </c>
    </row>
  </sheetData>
  <conditionalFormatting sqref="B14:H14 J14:T14">
    <cfRule type="expression" dxfId="23" priority="2">
      <formula>B$71=1</formula>
    </cfRule>
  </conditionalFormatting>
  <conditionalFormatting sqref="B14:I14">
    <cfRule type="expression" dxfId="22"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232</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
        <v>232</v>
      </c>
      <c r="B11" s="170">
        <f>+'Cost Trends'!F31</f>
        <v>3956</v>
      </c>
      <c r="C11" s="170">
        <f>+'Cost Trends'!G31</f>
        <v>4655</v>
      </c>
      <c r="D11" s="170">
        <f>+'Cost Trends'!H31</f>
        <v>5482</v>
      </c>
      <c r="E11" s="170">
        <f>+'Cost Trends'!I31</f>
        <v>5762</v>
      </c>
      <c r="F11" s="170">
        <f>+'Cost Trends'!J31</f>
        <v>5958</v>
      </c>
      <c r="G11" s="170">
        <f>+'Cost Trends'!K31</f>
        <v>6084</v>
      </c>
      <c r="H11" s="170">
        <f>+'Cost Trends'!L31</f>
        <v>6359</v>
      </c>
      <c r="I11" s="170">
        <f>+'Cost Trends'!M31</f>
        <v>6467</v>
      </c>
      <c r="J11" s="170">
        <f>+'Cost Trends'!N31</f>
        <v>6123</v>
      </c>
      <c r="K11" s="170">
        <f>+'Cost Trends'!O31</f>
        <v>7700</v>
      </c>
      <c r="L11" s="170">
        <f>+'Cost Trends'!P31</f>
        <v>7696</v>
      </c>
      <c r="M11" s="170">
        <f>+'Cost Trends'!Q31</f>
        <v>8854</v>
      </c>
      <c r="N11" s="170">
        <f>+'Cost Trends'!R31</f>
        <v>9511</v>
      </c>
      <c r="O11" s="170">
        <f>+'Cost Trends'!S31</f>
        <v>10820</v>
      </c>
      <c r="P11" s="170">
        <f>+'Cost Trends'!T31</f>
        <v>10704</v>
      </c>
      <c r="Q11" s="170">
        <f>+'Cost Trends'!U31</f>
        <v>12315</v>
      </c>
      <c r="R11" s="170">
        <f>+'Cost Trends'!V31</f>
        <v>12050</v>
      </c>
      <c r="S11" s="170">
        <f>+'Cost Trends'!W31</f>
        <v>12380</v>
      </c>
      <c r="T11" s="170">
        <f>+'Cost Trends'!X31</f>
        <v>12308</v>
      </c>
    </row>
    <row r="12" spans="1:23" ht="8.25" customHeight="1">
      <c r="B12" s="188"/>
      <c r="C12" s="188"/>
      <c r="D12" s="188"/>
      <c r="E12" s="188"/>
      <c r="F12" s="188"/>
      <c r="G12" s="188"/>
      <c r="H12" s="188"/>
      <c r="I12" s="188"/>
      <c r="J12" s="188"/>
      <c r="K12" s="188"/>
      <c r="L12" s="188"/>
      <c r="M12" s="188"/>
      <c r="N12" s="188"/>
      <c r="O12" s="188"/>
      <c r="P12" s="188"/>
      <c r="Q12" s="188"/>
      <c r="R12" s="188"/>
      <c r="S12" s="188"/>
      <c r="T12" s="188"/>
    </row>
    <row r="13" spans="1:23" ht="8.25" customHeight="1">
      <c r="B13" s="188" t="s">
        <v>206</v>
      </c>
      <c r="C13" s="188" t="s">
        <v>206</v>
      </c>
      <c r="D13" s="188" t="s">
        <v>206</v>
      </c>
      <c r="E13" s="188" t="s">
        <v>206</v>
      </c>
      <c r="F13" s="188" t="s">
        <v>206</v>
      </c>
      <c r="G13" s="188" t="s">
        <v>206</v>
      </c>
      <c r="H13" s="188" t="s">
        <v>206</v>
      </c>
      <c r="I13" s="188" t="s">
        <v>206</v>
      </c>
      <c r="J13" s="188" t="s">
        <v>206</v>
      </c>
      <c r="K13" s="188" t="s">
        <v>206</v>
      </c>
      <c r="L13" s="188" t="s">
        <v>206</v>
      </c>
      <c r="M13" s="188" t="s">
        <v>206</v>
      </c>
      <c r="N13" s="188" t="s">
        <v>206</v>
      </c>
      <c r="O13" s="188" t="s">
        <v>206</v>
      </c>
      <c r="P13" s="188" t="s">
        <v>206</v>
      </c>
      <c r="Q13" s="188" t="s">
        <v>206</v>
      </c>
      <c r="R13" s="188" t="s">
        <v>206</v>
      </c>
      <c r="S13" s="188" t="s">
        <v>206</v>
      </c>
      <c r="T13" s="188" t="s">
        <v>206</v>
      </c>
    </row>
    <row r="14" spans="1:23" ht="26.25" customHeight="1">
      <c r="A14" s="190" t="str">
        <f>+"Total "&amp;B4</f>
        <v>Total Distribution Operating Expenses</v>
      </c>
      <c r="B14" s="191">
        <f t="shared" ref="B14:P14" si="1">+SUM(B10:B13)</f>
        <v>3956</v>
      </c>
      <c r="C14" s="191">
        <f t="shared" si="1"/>
        <v>4655</v>
      </c>
      <c r="D14" s="191">
        <f t="shared" si="1"/>
        <v>5482</v>
      </c>
      <c r="E14" s="191">
        <f t="shared" si="1"/>
        <v>5762</v>
      </c>
      <c r="F14" s="191">
        <f t="shared" si="1"/>
        <v>5958</v>
      </c>
      <c r="G14" s="191">
        <f t="shared" si="1"/>
        <v>6084</v>
      </c>
      <c r="H14" s="191">
        <f t="shared" si="1"/>
        <v>6359</v>
      </c>
      <c r="I14" s="191">
        <f t="shared" si="1"/>
        <v>6467</v>
      </c>
      <c r="J14" s="191">
        <f t="shared" si="1"/>
        <v>6123</v>
      </c>
      <c r="K14" s="191">
        <f t="shared" si="1"/>
        <v>7700</v>
      </c>
      <c r="L14" s="191">
        <f t="shared" si="1"/>
        <v>7696</v>
      </c>
      <c r="M14" s="191">
        <f t="shared" si="1"/>
        <v>8854</v>
      </c>
      <c r="N14" s="191">
        <f t="shared" si="1"/>
        <v>9511</v>
      </c>
      <c r="O14" s="191">
        <f t="shared" si="1"/>
        <v>10820</v>
      </c>
      <c r="P14" s="191">
        <f t="shared" si="1"/>
        <v>10704</v>
      </c>
      <c r="Q14" s="191">
        <f t="shared" ref="Q14" si="2">+SUM(Q10:Q13)</f>
        <v>12315</v>
      </c>
      <c r="R14" s="191">
        <f t="shared" ref="R14:T14" si="3">+SUM(R10:R13)</f>
        <v>12050</v>
      </c>
      <c r="S14" s="191">
        <f t="shared" si="3"/>
        <v>12380</v>
      </c>
      <c r="T14" s="191">
        <f t="shared" si="3"/>
        <v>12308</v>
      </c>
    </row>
    <row r="15" spans="1:23">
      <c r="P15" s="192"/>
      <c r="T15" s="192"/>
    </row>
    <row r="16" spans="1:23">
      <c r="P16" s="192"/>
      <c r="T16" s="192"/>
    </row>
    <row r="17" spans="1:22">
      <c r="A17" s="193" t="s">
        <v>208</v>
      </c>
      <c r="B17" s="194"/>
      <c r="C17" s="195"/>
      <c r="D17" s="193" t="s">
        <v>253</v>
      </c>
      <c r="E17" s="193"/>
      <c r="F17" s="194"/>
      <c r="G17" s="194"/>
      <c r="H17" s="194"/>
      <c r="I17" s="194"/>
      <c r="J17" s="194"/>
      <c r="K17" s="194"/>
      <c r="L17" s="194"/>
      <c r="M17" s="194"/>
      <c r="N17" s="194"/>
      <c r="O17" s="194"/>
      <c r="P17" s="196"/>
      <c r="Q17" s="194"/>
      <c r="R17" s="275"/>
      <c r="S17" s="275"/>
      <c r="T17" s="196"/>
    </row>
    <row r="18" spans="1:22" ht="19.5" customHeight="1">
      <c r="A18" s="180"/>
      <c r="B18" s="197"/>
      <c r="C18" s="197"/>
      <c r="D18" s="197"/>
      <c r="E18" s="197"/>
      <c r="F18" s="197"/>
      <c r="G18" s="197"/>
      <c r="H18" s="197"/>
      <c r="I18" s="197"/>
    </row>
    <row r="19" spans="1:22" ht="19.5" customHeight="1">
      <c r="A19" s="179" t="s">
        <v>251</v>
      </c>
      <c r="B19" s="198">
        <f ca="1">+LINEST(
OFFSET($B$77,0,0,1,SUM($B$71:$T$71)),
OFFSET($B$76,0,0,1,SUM($B$71:$T$71)),
,
1)</f>
        <v>492.5245614035087</v>
      </c>
      <c r="C19" s="197"/>
      <c r="D19" s="197"/>
      <c r="E19" s="197"/>
      <c r="F19" s="197"/>
      <c r="G19" s="197"/>
      <c r="H19" s="197"/>
      <c r="I19" s="197"/>
    </row>
    <row r="20" spans="1:22" ht="19.5" customHeight="1">
      <c r="A20" s="180" t="s">
        <v>252</v>
      </c>
      <c r="B20" s="197">
        <f ca="1">RSQ(
OFFSET($B$77,0,0,1,SUM($B$71:$T$71)),
OFFSET($B$76,0,0,1,SUM($B$71:$T$71))
)</f>
        <v>0.94713112172904301</v>
      </c>
      <c r="C20" s="198"/>
      <c r="D20" s="198"/>
      <c r="E20" s="198"/>
      <c r="F20" s="198"/>
      <c r="G20" s="198"/>
      <c r="H20" s="198"/>
      <c r="I20" s="198"/>
    </row>
    <row r="21" spans="1:22" ht="19.5" customHeight="1">
      <c r="A21" s="179" t="s">
        <v>209</v>
      </c>
      <c r="B21" s="199">
        <f ca="1">+B19/T14</f>
        <v>4.0016620198530119E-2</v>
      </c>
      <c r="C21" s="197"/>
      <c r="D21" s="197"/>
      <c r="E21" s="197"/>
      <c r="F21" s="197"/>
      <c r="G21" s="197"/>
      <c r="H21" s="197"/>
      <c r="I21" s="197"/>
    </row>
    <row r="22" spans="1:22" ht="19.5" customHeight="1">
      <c r="A22" s="192" t="s">
        <v>289</v>
      </c>
      <c r="B22" s="217">
        <f ca="1">+B21</f>
        <v>4.0016620198530119E-2</v>
      </c>
      <c r="C22" s="199"/>
      <c r="D22" s="199"/>
      <c r="E22" s="199"/>
      <c r="F22" s="199"/>
      <c r="G22" s="199"/>
      <c r="H22" s="199"/>
      <c r="I22" s="199"/>
    </row>
    <row r="23" spans="1:22" ht="19.5" customHeight="1">
      <c r="C23" s="200"/>
      <c r="D23" s="200"/>
      <c r="E23" s="200"/>
      <c r="F23" s="200"/>
      <c r="G23" s="200"/>
      <c r="H23" s="200"/>
      <c r="I23" s="200"/>
      <c r="L23" s="201"/>
    </row>
    <row r="25" spans="1:22">
      <c r="U25" s="202"/>
      <c r="V25" s="202"/>
    </row>
    <row r="26" spans="1:22">
      <c r="U26" s="203"/>
      <c r="V26" s="203"/>
    </row>
    <row r="27" spans="1:22">
      <c r="U27" s="203"/>
      <c r="V27" s="203"/>
    </row>
    <row r="28" spans="1:22">
      <c r="U28" s="203"/>
      <c r="V28" s="203"/>
    </row>
    <row r="29" spans="1:22">
      <c r="U29" s="203"/>
      <c r="V29" s="203"/>
    </row>
    <row r="30" spans="1:22">
      <c r="U30" s="203"/>
      <c r="V30" s="203"/>
    </row>
    <row r="33" spans="21:23">
      <c r="U33" s="204"/>
      <c r="V33" s="204"/>
      <c r="W33" s="204"/>
    </row>
    <row r="34" spans="21:23">
      <c r="U34" s="203"/>
      <c r="V34" s="203"/>
      <c r="W34" s="203"/>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8" spans="21:23">
      <c r="U58" s="204"/>
      <c r="V58" s="204"/>
      <c r="W58" s="204"/>
    </row>
    <row r="59" spans="21:23">
      <c r="U59" s="203"/>
      <c r="V59" s="203"/>
      <c r="W59" s="203"/>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v>1</v>
      </c>
      <c r="C71" s="206">
        <v>1</v>
      </c>
      <c r="D71" s="206">
        <v>1</v>
      </c>
      <c r="E71" s="206">
        <v>1</v>
      </c>
      <c r="F71" s="206">
        <v>1</v>
      </c>
      <c r="G71" s="206">
        <v>1</v>
      </c>
      <c r="H71" s="206">
        <v>1</v>
      </c>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1</v>
      </c>
      <c r="C74" s="208">
        <f>+SUM($B71:C$71)</f>
        <v>2</v>
      </c>
      <c r="D74" s="208">
        <f>+SUM($B71:D$71)</f>
        <v>3</v>
      </c>
      <c r="E74" s="208">
        <f>+SUM($B71:E$71)</f>
        <v>4</v>
      </c>
      <c r="F74" s="208">
        <f>+SUM($B71:F$71)</f>
        <v>5</v>
      </c>
      <c r="G74" s="208">
        <f>+SUM($B71:G$71)</f>
        <v>6</v>
      </c>
      <c r="H74" s="208">
        <f>+SUM($B71:H$71)</f>
        <v>7</v>
      </c>
      <c r="I74" s="208">
        <f>+SUM($B71:I$71)</f>
        <v>8</v>
      </c>
      <c r="J74" s="208">
        <f>+SUM($B71:J$71)</f>
        <v>9</v>
      </c>
      <c r="K74" s="208">
        <f>+SUM($B71:K$71)</f>
        <v>10</v>
      </c>
      <c r="L74" s="208">
        <f>+SUM($B71:L$71)</f>
        <v>11</v>
      </c>
      <c r="M74" s="208">
        <f>+SUM($B71:M$71)</f>
        <v>12</v>
      </c>
      <c r="N74" s="208">
        <f>+SUM($B71:N$71)</f>
        <v>13</v>
      </c>
      <c r="O74" s="208">
        <f>+SUM($B71:O$71)</f>
        <v>14</v>
      </c>
      <c r="P74" s="208">
        <f>+SUM($B71:P$71)</f>
        <v>15</v>
      </c>
      <c r="Q74" s="208">
        <f>+SUM($B71:Q$71)</f>
        <v>16</v>
      </c>
      <c r="R74" s="208">
        <f>+SUM($B71:R$71)</f>
        <v>17</v>
      </c>
      <c r="S74" s="208">
        <f>+SUM($B71:S$71)</f>
        <v>18</v>
      </c>
      <c r="T74" s="208">
        <f>+SUM($B71:T$71)</f>
        <v>19</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2000</v>
      </c>
      <c r="C76" s="209">
        <f t="shared" ca="1" si="12"/>
        <v>2001</v>
      </c>
      <c r="D76" s="209">
        <f t="shared" ca="1" si="12"/>
        <v>2002</v>
      </c>
      <c r="E76" s="209">
        <f t="shared" ca="1" si="12"/>
        <v>2003</v>
      </c>
      <c r="F76" s="209">
        <f t="shared" ca="1" si="12"/>
        <v>2004</v>
      </c>
      <c r="G76" s="209">
        <f t="shared" ca="1" si="12"/>
        <v>2005</v>
      </c>
      <c r="H76" s="209">
        <f t="shared" ca="1" si="12"/>
        <v>2006</v>
      </c>
      <c r="I76" s="209">
        <f t="shared" ca="1" si="12"/>
        <v>2007</v>
      </c>
      <c r="J76" s="209">
        <f t="shared" ca="1" si="12"/>
        <v>2008</v>
      </c>
      <c r="K76" s="209">
        <f t="shared" ca="1" si="12"/>
        <v>2009</v>
      </c>
      <c r="L76" s="209">
        <f t="shared" ca="1" si="12"/>
        <v>2010</v>
      </c>
      <c r="M76" s="209">
        <f t="shared" ca="1" si="12"/>
        <v>2011</v>
      </c>
      <c r="N76" s="209">
        <f t="shared" ca="1" si="12"/>
        <v>2012</v>
      </c>
      <c r="O76" s="209">
        <f t="shared" ca="1" si="12"/>
        <v>2013</v>
      </c>
      <c r="P76" s="209">
        <f t="shared" ca="1" si="12"/>
        <v>2014</v>
      </c>
      <c r="Q76" s="209">
        <f t="shared" ref="Q76:T76" ca="1" si="13">+OFFSET($A$70,0,MATCH(Q$75,$B$74:$T$74,0))</f>
        <v>2015</v>
      </c>
      <c r="R76" s="209">
        <f t="shared" ca="1" si="13"/>
        <v>2016</v>
      </c>
      <c r="S76" s="209">
        <f t="shared" ca="1" si="13"/>
        <v>2017</v>
      </c>
      <c r="T76" s="209">
        <f t="shared" ca="1" si="13"/>
        <v>2018</v>
      </c>
    </row>
    <row r="77" spans="1:23">
      <c r="A77" s="207" t="s">
        <v>216</v>
      </c>
      <c r="B77" s="207">
        <f t="shared" ref="B77:P77" ca="1" si="14">+INDEX(14:14,1,MATCH(B$76,9:9,0))</f>
        <v>3956</v>
      </c>
      <c r="C77" s="207">
        <f t="shared" ca="1" si="14"/>
        <v>4655</v>
      </c>
      <c r="D77" s="207">
        <f t="shared" ca="1" si="14"/>
        <v>5482</v>
      </c>
      <c r="E77" s="207">
        <f t="shared" ca="1" si="14"/>
        <v>5762</v>
      </c>
      <c r="F77" s="207">
        <f t="shared" ca="1" si="14"/>
        <v>5958</v>
      </c>
      <c r="G77" s="207">
        <f t="shared" ca="1" si="14"/>
        <v>6084</v>
      </c>
      <c r="H77" s="207">
        <f t="shared" ca="1" si="14"/>
        <v>6359</v>
      </c>
      <c r="I77" s="207">
        <f t="shared" ca="1" si="14"/>
        <v>6467</v>
      </c>
      <c r="J77" s="207">
        <f t="shared" ca="1" si="14"/>
        <v>6123</v>
      </c>
      <c r="K77" s="207">
        <f t="shared" ca="1" si="14"/>
        <v>7700</v>
      </c>
      <c r="L77" s="207">
        <f t="shared" ca="1" si="14"/>
        <v>7696</v>
      </c>
      <c r="M77" s="207">
        <f t="shared" ca="1" si="14"/>
        <v>8854</v>
      </c>
      <c r="N77" s="207">
        <f t="shared" ca="1" si="14"/>
        <v>9511</v>
      </c>
      <c r="O77" s="207">
        <f t="shared" ca="1" si="14"/>
        <v>10820</v>
      </c>
      <c r="P77" s="207">
        <f t="shared" ca="1" si="14"/>
        <v>10704</v>
      </c>
      <c r="Q77" s="207">
        <f t="shared" ref="Q77:T77" ca="1" si="15">+INDEX(14:14,1,MATCH(Q$76,9:9,0))</f>
        <v>12315</v>
      </c>
      <c r="R77" s="207">
        <f t="shared" ca="1" si="15"/>
        <v>12050</v>
      </c>
      <c r="S77" s="207">
        <f t="shared" ca="1" si="15"/>
        <v>12380</v>
      </c>
      <c r="T77" s="207">
        <f t="shared" ca="1" si="15"/>
        <v>12308</v>
      </c>
    </row>
    <row r="80" spans="1:23">
      <c r="A80" s="210"/>
      <c r="B80" s="211" t="s">
        <v>217</v>
      </c>
      <c r="C80" s="212"/>
    </row>
    <row r="81" spans="1:4">
      <c r="A81" s="210" t="s">
        <v>198</v>
      </c>
      <c r="B81" s="213">
        <f t="array" aca="1" ref="B81:C85" ca="1">+LINEST(
OFFSET($B77,0,0,1,SUM($B71:$T71)),
OFFSET($B76,0,0,1,SUM($B71:$T71)),
,
1)</f>
        <v>492.5245614035087</v>
      </c>
      <c r="C81" s="213">
        <f ca="1"/>
        <v>-981314.2649122806</v>
      </c>
      <c r="D81" s="179" t="s">
        <v>218</v>
      </c>
    </row>
    <row r="82" spans="1:4">
      <c r="A82" s="210" t="s">
        <v>219</v>
      </c>
      <c r="B82" s="213">
        <f ca="1"/>
        <v>28.222691372903565</v>
      </c>
      <c r="C82" s="213">
        <f ca="1"/>
        <v>56699.59768970828</v>
      </c>
      <c r="D82" s="179" t="s">
        <v>220</v>
      </c>
    </row>
    <row r="83" spans="1:4">
      <c r="A83" s="210" t="s">
        <v>221</v>
      </c>
      <c r="B83" s="213">
        <f ca="1"/>
        <v>0.9471311217290429</v>
      </c>
      <c r="C83" s="213">
        <f ca="1"/>
        <v>673.8075212909057</v>
      </c>
      <c r="D83" s="179" t="s">
        <v>222</v>
      </c>
    </row>
    <row r="84" spans="1:4">
      <c r="A84" s="214" t="s">
        <v>223</v>
      </c>
      <c r="B84" s="213">
        <f ca="1"/>
        <v>304.55023060776335</v>
      </c>
      <c r="C84" s="213">
        <f ca="1"/>
        <v>17</v>
      </c>
      <c r="D84" s="179" t="s">
        <v>224</v>
      </c>
    </row>
    <row r="85" spans="1:4">
      <c r="A85" s="214" t="s">
        <v>225</v>
      </c>
      <c r="B85" s="213">
        <f ca="1"/>
        <v>138270852.84385964</v>
      </c>
      <c r="C85" s="213">
        <f ca="1"/>
        <v>7718281.7877193037</v>
      </c>
      <c r="D85" s="179" t="s">
        <v>226</v>
      </c>
    </row>
    <row r="86" spans="1:4">
      <c r="A86" s="210"/>
    </row>
    <row r="87" spans="1:4">
      <c r="A87" s="210"/>
    </row>
    <row r="88" spans="1:4">
      <c r="A88" s="210" t="s">
        <v>227</v>
      </c>
      <c r="B88" s="179">
        <f ca="1">+B81/B82</f>
        <v>17.451367585600945</v>
      </c>
    </row>
    <row r="89" spans="1:4">
      <c r="A89" s="214" t="s">
        <v>228</v>
      </c>
      <c r="B89" s="215">
        <f ca="1">+TDIST(B88,C84,2)</f>
        <v>2.7419570023536217E-12</v>
      </c>
    </row>
  </sheetData>
  <conditionalFormatting sqref="B14:H14 J14:T14">
    <cfRule type="expression" dxfId="21" priority="2">
      <formula>B$71=1</formula>
    </cfRule>
  </conditionalFormatting>
  <conditionalFormatting sqref="B14:I14">
    <cfRule type="expression" dxfId="20"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254</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tr">
        <f>+B4</f>
        <v>Distribution Depreciation Expense</v>
      </c>
      <c r="B11" s="170">
        <f>+'Cost Trends'!F32</f>
        <v>4184</v>
      </c>
      <c r="C11" s="170">
        <f>+'Cost Trends'!G32</f>
        <v>4390</v>
      </c>
      <c r="D11" s="170">
        <f>+'Cost Trends'!H32</f>
        <v>4496</v>
      </c>
      <c r="E11" s="170">
        <f>+'Cost Trends'!I32</f>
        <v>4707</v>
      </c>
      <c r="F11" s="170">
        <f>+'Cost Trends'!J32</f>
        <v>4902</v>
      </c>
      <c r="G11" s="170">
        <f>+'Cost Trends'!K32</f>
        <v>5088</v>
      </c>
      <c r="H11" s="170">
        <f>+'Cost Trends'!L32</f>
        <v>5369</v>
      </c>
      <c r="I11" s="170">
        <f>+'Cost Trends'!M32</f>
        <v>5605</v>
      </c>
      <c r="J11" s="170">
        <f>+'Cost Trends'!N32</f>
        <v>5673</v>
      </c>
      <c r="K11" s="170">
        <f>+'Cost Trends'!O32</f>
        <v>6064</v>
      </c>
      <c r="L11" s="170">
        <f>+'Cost Trends'!P32</f>
        <v>6367</v>
      </c>
      <c r="M11" s="170">
        <f>+'Cost Trends'!Q32</f>
        <v>6649</v>
      </c>
      <c r="N11" s="170">
        <f>+'Cost Trends'!R32</f>
        <v>6978</v>
      </c>
      <c r="O11" s="170">
        <f>+'Cost Trends'!S32</f>
        <v>7925</v>
      </c>
      <c r="P11" s="170">
        <f>+'Cost Trends'!T32</f>
        <v>8513</v>
      </c>
      <c r="Q11" s="170">
        <f>+'Cost Trends'!U32</f>
        <v>9088</v>
      </c>
      <c r="R11" s="170">
        <f>+'Cost Trends'!V32</f>
        <v>9866</v>
      </c>
      <c r="S11" s="170">
        <f>+'Cost Trends'!W32</f>
        <v>10638</v>
      </c>
      <c r="T11" s="170">
        <f>+'Cost Trends'!X32</f>
        <v>11629</v>
      </c>
    </row>
    <row r="12" spans="1:23" ht="8.25" customHeight="1">
      <c r="B12" s="188"/>
      <c r="C12" s="188"/>
      <c r="D12" s="188"/>
      <c r="E12" s="188"/>
      <c r="F12" s="188"/>
      <c r="G12" s="188"/>
      <c r="H12" s="188"/>
      <c r="I12" s="188"/>
      <c r="J12" s="188"/>
      <c r="K12" s="188"/>
      <c r="L12" s="188"/>
      <c r="M12" s="188"/>
      <c r="N12" s="188"/>
      <c r="O12" s="188"/>
      <c r="P12" s="188"/>
      <c r="Q12" s="188"/>
      <c r="R12" s="188"/>
      <c r="S12" s="188"/>
      <c r="T12" s="188"/>
    </row>
    <row r="13" spans="1:23" ht="8.25" customHeight="1">
      <c r="B13" s="188" t="s">
        <v>206</v>
      </c>
      <c r="C13" s="188" t="s">
        <v>206</v>
      </c>
      <c r="D13" s="188" t="s">
        <v>206</v>
      </c>
      <c r="E13" s="188" t="s">
        <v>206</v>
      </c>
      <c r="F13" s="188" t="s">
        <v>206</v>
      </c>
      <c r="G13" s="188" t="s">
        <v>206</v>
      </c>
      <c r="H13" s="188" t="s">
        <v>206</v>
      </c>
      <c r="I13" s="188" t="s">
        <v>206</v>
      </c>
      <c r="J13" s="188" t="s">
        <v>206</v>
      </c>
      <c r="K13" s="188" t="s">
        <v>206</v>
      </c>
      <c r="L13" s="188" t="s">
        <v>206</v>
      </c>
      <c r="M13" s="188" t="s">
        <v>206</v>
      </c>
      <c r="N13" s="188" t="s">
        <v>206</v>
      </c>
      <c r="O13" s="188" t="s">
        <v>206</v>
      </c>
      <c r="P13" s="188" t="s">
        <v>206</v>
      </c>
      <c r="Q13" s="188" t="s">
        <v>206</v>
      </c>
      <c r="R13" s="188" t="s">
        <v>206</v>
      </c>
      <c r="S13" s="188" t="s">
        <v>206</v>
      </c>
      <c r="T13" s="188" t="s">
        <v>206</v>
      </c>
    </row>
    <row r="14" spans="1:23" ht="26.25" customHeight="1">
      <c r="A14" s="190" t="str">
        <f>+"Total "&amp;B4</f>
        <v>Total Distribution Depreciation Expense</v>
      </c>
      <c r="B14" s="191">
        <f t="shared" ref="B14:P14" si="1">+SUM(B10:B13)</f>
        <v>4184</v>
      </c>
      <c r="C14" s="191">
        <f t="shared" si="1"/>
        <v>4390</v>
      </c>
      <c r="D14" s="191">
        <f t="shared" si="1"/>
        <v>4496</v>
      </c>
      <c r="E14" s="191">
        <f t="shared" si="1"/>
        <v>4707</v>
      </c>
      <c r="F14" s="191">
        <f t="shared" si="1"/>
        <v>4902</v>
      </c>
      <c r="G14" s="191">
        <f t="shared" si="1"/>
        <v>5088</v>
      </c>
      <c r="H14" s="191">
        <f t="shared" si="1"/>
        <v>5369</v>
      </c>
      <c r="I14" s="191">
        <f t="shared" si="1"/>
        <v>5605</v>
      </c>
      <c r="J14" s="191">
        <f t="shared" si="1"/>
        <v>5673</v>
      </c>
      <c r="K14" s="191">
        <f t="shared" si="1"/>
        <v>6064</v>
      </c>
      <c r="L14" s="191">
        <f t="shared" si="1"/>
        <v>6367</v>
      </c>
      <c r="M14" s="191">
        <f t="shared" si="1"/>
        <v>6649</v>
      </c>
      <c r="N14" s="191">
        <f t="shared" si="1"/>
        <v>6978</v>
      </c>
      <c r="O14" s="191">
        <f t="shared" si="1"/>
        <v>7925</v>
      </c>
      <c r="P14" s="191">
        <f t="shared" si="1"/>
        <v>8513</v>
      </c>
      <c r="Q14" s="191">
        <f t="shared" ref="Q14" si="2">+SUM(Q10:Q13)</f>
        <v>9088</v>
      </c>
      <c r="R14" s="191">
        <f t="shared" ref="R14:T14" si="3">+SUM(R10:R13)</f>
        <v>9866</v>
      </c>
      <c r="S14" s="191">
        <f t="shared" si="3"/>
        <v>10638</v>
      </c>
      <c r="T14" s="191">
        <f t="shared" si="3"/>
        <v>11629</v>
      </c>
    </row>
    <row r="15" spans="1:23">
      <c r="P15" s="192"/>
      <c r="T15" s="192"/>
    </row>
    <row r="16" spans="1:23">
      <c r="P16" s="192"/>
      <c r="T16" s="192"/>
    </row>
    <row r="17" spans="1:22">
      <c r="A17" s="193" t="s">
        <v>208</v>
      </c>
      <c r="B17" s="194"/>
      <c r="C17" s="195"/>
      <c r="D17" s="193" t="s">
        <v>253</v>
      </c>
      <c r="E17" s="193"/>
      <c r="F17" s="194"/>
      <c r="G17" s="194"/>
      <c r="H17" s="194"/>
      <c r="I17" s="194"/>
      <c r="J17" s="194"/>
      <c r="K17" s="194"/>
      <c r="L17" s="194"/>
      <c r="M17" s="194"/>
      <c r="N17" s="194"/>
      <c r="O17" s="194"/>
      <c r="P17" s="196"/>
      <c r="Q17" s="194"/>
      <c r="R17" s="275"/>
      <c r="S17" s="275"/>
      <c r="T17" s="196"/>
    </row>
    <row r="18" spans="1:22" ht="19.5" customHeight="1">
      <c r="A18" s="180"/>
      <c r="B18" s="197"/>
      <c r="C18" s="197"/>
      <c r="D18" s="197"/>
      <c r="E18" s="197"/>
      <c r="F18" s="197"/>
      <c r="G18" s="197"/>
      <c r="H18" s="197"/>
      <c r="I18" s="197"/>
    </row>
    <row r="19" spans="1:22" ht="19.5" customHeight="1">
      <c r="A19" s="179" t="s">
        <v>251</v>
      </c>
      <c r="B19" s="198">
        <f ca="1">+LINEST(
OFFSET($B$77,0,0,1,SUM($B$71:$T$71)),
OFFSET($B$76,0,0,1,SUM($B$71:$T$71)),
,
1)</f>
        <v>382.24035087719295</v>
      </c>
      <c r="C19" s="197"/>
      <c r="D19" s="197"/>
      <c r="E19" s="197"/>
      <c r="F19" s="197"/>
      <c r="G19" s="197"/>
      <c r="H19" s="197"/>
      <c r="I19" s="197"/>
    </row>
    <row r="20" spans="1:22" ht="19.5" customHeight="1">
      <c r="A20" s="180" t="s">
        <v>252</v>
      </c>
      <c r="B20" s="197">
        <f ca="1">RSQ(
OFFSET($B$77,0,0,1,SUM($B$71:$T$71)),
OFFSET($B$76,0,0,1,SUM($B$71:$T$71))
)</f>
        <v>0.91289088429939536</v>
      </c>
      <c r="C20" s="198"/>
      <c r="D20" s="198"/>
      <c r="E20" s="198"/>
      <c r="F20" s="198"/>
      <c r="G20" s="198"/>
      <c r="H20" s="198"/>
      <c r="I20" s="198"/>
    </row>
    <row r="21" spans="1:22" ht="19.5" customHeight="1">
      <c r="A21" s="179" t="s">
        <v>209</v>
      </c>
      <c r="B21" s="199">
        <f ca="1">+B19/T14</f>
        <v>3.2869580434877713E-2</v>
      </c>
      <c r="C21" s="197"/>
      <c r="D21" s="197"/>
      <c r="E21" s="197"/>
      <c r="F21" s="197"/>
      <c r="G21" s="197"/>
      <c r="H21" s="197"/>
      <c r="I21" s="197"/>
    </row>
    <row r="22" spans="1:22" ht="19.5" customHeight="1">
      <c r="A22" s="192" t="s">
        <v>289</v>
      </c>
      <c r="B22" s="217">
        <f ca="1">+B21</f>
        <v>3.2869580434877713E-2</v>
      </c>
      <c r="C22" s="199"/>
      <c r="D22" s="199"/>
      <c r="E22" s="199"/>
      <c r="F22" s="199"/>
      <c r="G22" s="199"/>
      <c r="H22" s="199"/>
      <c r="I22" s="199"/>
    </row>
    <row r="23" spans="1:22" ht="19.5" customHeight="1">
      <c r="C23" s="200"/>
      <c r="D23" s="200"/>
      <c r="E23" s="200"/>
      <c r="F23" s="200"/>
      <c r="G23" s="200"/>
      <c r="H23" s="200"/>
      <c r="I23" s="200"/>
      <c r="L23" s="201"/>
    </row>
    <row r="25" spans="1:22">
      <c r="U25" s="202"/>
      <c r="V25" s="202"/>
    </row>
    <row r="26" spans="1:22">
      <c r="U26" s="203"/>
      <c r="V26" s="203"/>
    </row>
    <row r="27" spans="1:22">
      <c r="U27" s="203"/>
      <c r="V27" s="203"/>
    </row>
    <row r="28" spans="1:22">
      <c r="U28" s="203"/>
      <c r="V28" s="203"/>
    </row>
    <row r="29" spans="1:22">
      <c r="U29" s="203"/>
      <c r="V29" s="203"/>
    </row>
    <row r="30" spans="1:22">
      <c r="U30" s="203"/>
      <c r="V30" s="203"/>
    </row>
    <row r="33" spans="21:23">
      <c r="U33" s="204"/>
      <c r="V33" s="204"/>
      <c r="W33" s="204"/>
    </row>
    <row r="34" spans="21:23">
      <c r="U34" s="203"/>
      <c r="V34" s="203"/>
      <c r="W34" s="203"/>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8" spans="21:23">
      <c r="U58" s="204"/>
      <c r="V58" s="204"/>
      <c r="W58" s="204"/>
    </row>
    <row r="59" spans="21:23">
      <c r="U59" s="203"/>
      <c r="V59" s="203"/>
      <c r="W59" s="203"/>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v>1</v>
      </c>
      <c r="C71" s="206">
        <v>1</v>
      </c>
      <c r="D71" s="206">
        <v>1</v>
      </c>
      <c r="E71" s="206">
        <v>1</v>
      </c>
      <c r="F71" s="206">
        <v>1</v>
      </c>
      <c r="G71" s="206">
        <v>1</v>
      </c>
      <c r="H71" s="206">
        <v>1</v>
      </c>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1</v>
      </c>
      <c r="C74" s="208">
        <f>+SUM($B71:C$71)</f>
        <v>2</v>
      </c>
      <c r="D74" s="208">
        <f>+SUM($B71:D$71)</f>
        <v>3</v>
      </c>
      <c r="E74" s="208">
        <f>+SUM($B71:E$71)</f>
        <v>4</v>
      </c>
      <c r="F74" s="208">
        <f>+SUM($B71:F$71)</f>
        <v>5</v>
      </c>
      <c r="G74" s="208">
        <f>+SUM($B71:G$71)</f>
        <v>6</v>
      </c>
      <c r="H74" s="208">
        <f>+SUM($B71:H$71)</f>
        <v>7</v>
      </c>
      <c r="I74" s="208">
        <f>+SUM($B71:I$71)</f>
        <v>8</v>
      </c>
      <c r="J74" s="208">
        <f>+SUM($B71:J$71)</f>
        <v>9</v>
      </c>
      <c r="K74" s="208">
        <f>+SUM($B71:K$71)</f>
        <v>10</v>
      </c>
      <c r="L74" s="208">
        <f>+SUM($B71:L$71)</f>
        <v>11</v>
      </c>
      <c r="M74" s="208">
        <f>+SUM($B71:M$71)</f>
        <v>12</v>
      </c>
      <c r="N74" s="208">
        <f>+SUM($B71:N$71)</f>
        <v>13</v>
      </c>
      <c r="O74" s="208">
        <f>+SUM($B71:O$71)</f>
        <v>14</v>
      </c>
      <c r="P74" s="208">
        <f>+SUM($B71:P$71)</f>
        <v>15</v>
      </c>
      <c r="Q74" s="208">
        <f>+SUM($B71:Q$71)</f>
        <v>16</v>
      </c>
      <c r="R74" s="208">
        <f>+SUM($B71:R$71)</f>
        <v>17</v>
      </c>
      <c r="S74" s="208">
        <f>+SUM($B71:S$71)</f>
        <v>18</v>
      </c>
      <c r="T74" s="208">
        <f>+SUM($B71:T$71)</f>
        <v>19</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2000</v>
      </c>
      <c r="C76" s="209">
        <f t="shared" ca="1" si="12"/>
        <v>2001</v>
      </c>
      <c r="D76" s="209">
        <f t="shared" ca="1" si="12"/>
        <v>2002</v>
      </c>
      <c r="E76" s="209">
        <f t="shared" ca="1" si="12"/>
        <v>2003</v>
      </c>
      <c r="F76" s="209">
        <f t="shared" ca="1" si="12"/>
        <v>2004</v>
      </c>
      <c r="G76" s="209">
        <f t="shared" ca="1" si="12"/>
        <v>2005</v>
      </c>
      <c r="H76" s="209">
        <f t="shared" ca="1" si="12"/>
        <v>2006</v>
      </c>
      <c r="I76" s="209">
        <f t="shared" ca="1" si="12"/>
        <v>2007</v>
      </c>
      <c r="J76" s="209">
        <f t="shared" ca="1" si="12"/>
        <v>2008</v>
      </c>
      <c r="K76" s="209">
        <f t="shared" ca="1" si="12"/>
        <v>2009</v>
      </c>
      <c r="L76" s="209">
        <f t="shared" ca="1" si="12"/>
        <v>2010</v>
      </c>
      <c r="M76" s="209">
        <f t="shared" ca="1" si="12"/>
        <v>2011</v>
      </c>
      <c r="N76" s="209">
        <f t="shared" ca="1" si="12"/>
        <v>2012</v>
      </c>
      <c r="O76" s="209">
        <f t="shared" ca="1" si="12"/>
        <v>2013</v>
      </c>
      <c r="P76" s="209">
        <f t="shared" ca="1" si="12"/>
        <v>2014</v>
      </c>
      <c r="Q76" s="209">
        <f t="shared" ref="Q76:T76" ca="1" si="13">+OFFSET($A$70,0,MATCH(Q$75,$B$74:$T$74,0))</f>
        <v>2015</v>
      </c>
      <c r="R76" s="209">
        <f t="shared" ca="1" si="13"/>
        <v>2016</v>
      </c>
      <c r="S76" s="209">
        <f t="shared" ca="1" si="13"/>
        <v>2017</v>
      </c>
      <c r="T76" s="209">
        <f t="shared" ca="1" si="13"/>
        <v>2018</v>
      </c>
    </row>
    <row r="77" spans="1:23">
      <c r="A77" s="207" t="s">
        <v>216</v>
      </c>
      <c r="B77" s="207">
        <f t="shared" ref="B77:P77" ca="1" si="14">+INDEX(14:14,1,MATCH(B$76,9:9,0))</f>
        <v>4184</v>
      </c>
      <c r="C77" s="207">
        <f t="shared" ca="1" si="14"/>
        <v>4390</v>
      </c>
      <c r="D77" s="207">
        <f t="shared" ca="1" si="14"/>
        <v>4496</v>
      </c>
      <c r="E77" s="207">
        <f t="shared" ca="1" si="14"/>
        <v>4707</v>
      </c>
      <c r="F77" s="207">
        <f t="shared" ca="1" si="14"/>
        <v>4902</v>
      </c>
      <c r="G77" s="207">
        <f t="shared" ca="1" si="14"/>
        <v>5088</v>
      </c>
      <c r="H77" s="207">
        <f t="shared" ca="1" si="14"/>
        <v>5369</v>
      </c>
      <c r="I77" s="207">
        <f t="shared" ca="1" si="14"/>
        <v>5605</v>
      </c>
      <c r="J77" s="207">
        <f t="shared" ca="1" si="14"/>
        <v>5673</v>
      </c>
      <c r="K77" s="207">
        <f t="shared" ca="1" si="14"/>
        <v>6064</v>
      </c>
      <c r="L77" s="207">
        <f t="shared" ca="1" si="14"/>
        <v>6367</v>
      </c>
      <c r="M77" s="207">
        <f t="shared" ca="1" si="14"/>
        <v>6649</v>
      </c>
      <c r="N77" s="207">
        <f t="shared" ca="1" si="14"/>
        <v>6978</v>
      </c>
      <c r="O77" s="207">
        <f t="shared" ca="1" si="14"/>
        <v>7925</v>
      </c>
      <c r="P77" s="207">
        <f t="shared" ca="1" si="14"/>
        <v>8513</v>
      </c>
      <c r="Q77" s="207">
        <f t="shared" ref="Q77:T77" ca="1" si="15">+INDEX(14:14,1,MATCH(Q$76,9:9,0))</f>
        <v>9088</v>
      </c>
      <c r="R77" s="207">
        <f t="shared" ca="1" si="15"/>
        <v>9866</v>
      </c>
      <c r="S77" s="207">
        <f t="shared" ca="1" si="15"/>
        <v>10638</v>
      </c>
      <c r="T77" s="207">
        <f t="shared" ca="1" si="15"/>
        <v>11629</v>
      </c>
    </row>
    <row r="80" spans="1:23">
      <c r="A80" s="210"/>
      <c r="B80" s="211" t="s">
        <v>217</v>
      </c>
      <c r="C80" s="212"/>
    </row>
    <row r="81" spans="1:4">
      <c r="A81" s="210" t="s">
        <v>198</v>
      </c>
      <c r="B81" s="213">
        <f t="array" aca="1" ref="B81:C85" ca="1">+LINEST(
OFFSET($B77,0,0,1,SUM($B71:$T71)),
OFFSET($B76,0,0,1,SUM($B71:$T71)),
,
1)</f>
        <v>382.24035087719295</v>
      </c>
      <c r="C81" s="213">
        <f ca="1"/>
        <v>-761177.12807017541</v>
      </c>
      <c r="D81" s="179" t="s">
        <v>218</v>
      </c>
    </row>
    <row r="82" spans="1:4">
      <c r="A82" s="210" t="s">
        <v>219</v>
      </c>
      <c r="B82" s="213">
        <f ca="1"/>
        <v>28.637456178971497</v>
      </c>
      <c r="C82" s="213">
        <f ca="1"/>
        <v>57532.863281893442</v>
      </c>
      <c r="D82" s="179" t="s">
        <v>220</v>
      </c>
    </row>
    <row r="83" spans="1:4">
      <c r="A83" s="210" t="s">
        <v>221</v>
      </c>
      <c r="B83" s="213">
        <f ca="1"/>
        <v>0.91289088429939558</v>
      </c>
      <c r="C83" s="213">
        <f ca="1"/>
        <v>683.70989531337955</v>
      </c>
      <c r="D83" s="179" t="s">
        <v>222</v>
      </c>
    </row>
    <row r="84" spans="1:4">
      <c r="A84" s="214" t="s">
        <v>223</v>
      </c>
      <c r="B84" s="213">
        <f ca="1"/>
        <v>178.15753160012892</v>
      </c>
      <c r="C84" s="213">
        <f ca="1"/>
        <v>17</v>
      </c>
      <c r="D84" s="179" t="s">
        <v>224</v>
      </c>
    </row>
    <row r="85" spans="1:4">
      <c r="A85" s="214" t="s">
        <v>225</v>
      </c>
      <c r="B85" s="213">
        <f ca="1"/>
        <v>83281380.928070158</v>
      </c>
      <c r="C85" s="213">
        <f ca="1"/>
        <v>7946806.7561403522</v>
      </c>
      <c r="D85" s="179" t="s">
        <v>226</v>
      </c>
    </row>
    <row r="86" spans="1:4">
      <c r="A86" s="210"/>
    </row>
    <row r="87" spans="1:4">
      <c r="A87" s="210"/>
    </row>
    <row r="88" spans="1:4">
      <c r="A88" s="210" t="s">
        <v>227</v>
      </c>
      <c r="B88" s="179">
        <f ca="1">+B81/B82</f>
        <v>13.347566504802625</v>
      </c>
    </row>
    <row r="89" spans="1:4">
      <c r="A89" s="214" t="s">
        <v>228</v>
      </c>
      <c r="B89" s="215">
        <f ca="1">+TDIST(B88,C84,2)</f>
        <v>1.9431506615050031E-10</v>
      </c>
    </row>
  </sheetData>
  <conditionalFormatting sqref="B14:H14 J14:T14">
    <cfRule type="expression" dxfId="19" priority="2">
      <formula>B$71=1</formula>
    </cfRule>
  </conditionalFormatting>
  <conditionalFormatting sqref="B14:I14">
    <cfRule type="expression" dxfId="18"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256</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4"/>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c r="A11" s="189" t="str">
        <f>+B4</f>
        <v>Distribution Taxes Other Than Income Taxes</v>
      </c>
      <c r="B11" s="170">
        <f>+'Cost Trends'!F33</f>
        <v>4919</v>
      </c>
      <c r="C11" s="170">
        <f>+'Cost Trends'!G33</f>
        <v>7315</v>
      </c>
      <c r="D11" s="170">
        <f>+'Cost Trends'!H33</f>
        <v>8070</v>
      </c>
      <c r="E11" s="170">
        <f>+'Cost Trends'!I33</f>
        <v>7205</v>
      </c>
      <c r="F11" s="170">
        <f>+'Cost Trends'!J33</f>
        <v>8213</v>
      </c>
      <c r="G11" s="170">
        <f>+'Cost Trends'!K33</f>
        <v>8573</v>
      </c>
      <c r="H11" s="170">
        <f>+'Cost Trends'!L33</f>
        <v>9457</v>
      </c>
      <c r="I11" s="170">
        <f>+'Cost Trends'!M33</f>
        <v>9844</v>
      </c>
      <c r="J11" s="170">
        <f>+'Cost Trends'!N33</f>
        <v>8941</v>
      </c>
      <c r="K11" s="170">
        <f>+'Cost Trends'!O33</f>
        <v>8746</v>
      </c>
      <c r="L11" s="170">
        <f>+'Cost Trends'!P33</f>
        <v>7223</v>
      </c>
      <c r="M11" s="170">
        <f>+'Cost Trends'!Q33</f>
        <v>8050.6743270000006</v>
      </c>
      <c r="N11" s="170">
        <f>+'Cost Trends'!R33</f>
        <v>7825</v>
      </c>
      <c r="O11" s="170">
        <f>+'Cost Trends'!S33</f>
        <v>8116</v>
      </c>
      <c r="P11" s="170">
        <f>+'Cost Trends'!T33</f>
        <v>8719</v>
      </c>
      <c r="Q11" s="170">
        <f>+'Cost Trends'!U33</f>
        <v>8554</v>
      </c>
      <c r="R11" s="170">
        <f>+'Cost Trends'!V33</f>
        <v>8383</v>
      </c>
      <c r="S11" s="170">
        <f>+'Cost Trends'!W33</f>
        <v>9144</v>
      </c>
      <c r="T11" s="170">
        <f>+'Cost Trends'!X33</f>
        <v>9458</v>
      </c>
    </row>
    <row r="12" spans="1:23" s="180" customFormat="1">
      <c r="A12" s="189" t="s">
        <v>233</v>
      </c>
      <c r="B12" s="170">
        <f>+'Riders and Gas Cost Revenue'!H32</f>
        <v>-2304</v>
      </c>
      <c r="C12" s="170">
        <f>+'Riders and Gas Cost Revenue'!J32</f>
        <v>-4287</v>
      </c>
      <c r="D12" s="170">
        <f>+'Riders and Gas Cost Revenue'!L32</f>
        <v>-4425</v>
      </c>
      <c r="E12" s="170">
        <f>+'Riders and Gas Cost Revenue'!N32</f>
        <v>-3899</v>
      </c>
      <c r="F12" s="170">
        <f>+'Riders and Gas Cost Revenue'!P32</f>
        <v>-4592</v>
      </c>
      <c r="G12" s="170">
        <f>+'Riders and Gas Cost Revenue'!R32</f>
        <v>-5240</v>
      </c>
      <c r="H12" s="170">
        <f>+'Riders and Gas Cost Revenue'!T32</f>
        <v>-6014</v>
      </c>
      <c r="I12" s="170">
        <f>+'Riders and Gas Cost Revenue'!W32</f>
        <v>-6261</v>
      </c>
      <c r="J12" s="170">
        <f>+'Riders and Gas Cost Revenue'!Z32</f>
        <v>-5917</v>
      </c>
      <c r="K12" s="170">
        <f>+'Riders and Gas Cost Revenue'!AC32</f>
        <v>-4858</v>
      </c>
      <c r="L12" s="170">
        <f>+'Riders and Gas Cost Revenue'!AF32</f>
        <v>-3171</v>
      </c>
      <c r="M12" s="170">
        <f>+'Riders and Gas Cost Revenue'!AI32</f>
        <v>-3374</v>
      </c>
      <c r="N12" s="170">
        <f>+'Riders and Gas Cost Revenue'!AL32</f>
        <v>-3003</v>
      </c>
      <c r="O12" s="170">
        <f>+'Riders and Gas Cost Revenue'!AO32</f>
        <v>-3083</v>
      </c>
      <c r="P12" s="170">
        <f>+'Riders and Gas Cost Revenue'!AR32</f>
        <v>-3380</v>
      </c>
      <c r="Q12" s="170">
        <v>-3197</v>
      </c>
      <c r="R12" s="170">
        <v>-3197</v>
      </c>
      <c r="S12" s="170">
        <v>-3197</v>
      </c>
      <c r="T12" s="170">
        <v>-3197</v>
      </c>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Distribution Taxes Other Than Income Taxes</v>
      </c>
      <c r="B15" s="191">
        <f t="shared" ref="B15:P15" si="1">+SUM(B10:B14)</f>
        <v>2615</v>
      </c>
      <c r="C15" s="191">
        <f t="shared" si="1"/>
        <v>3028</v>
      </c>
      <c r="D15" s="191">
        <f t="shared" si="1"/>
        <v>3645</v>
      </c>
      <c r="E15" s="191">
        <f t="shared" si="1"/>
        <v>3306</v>
      </c>
      <c r="F15" s="191">
        <f t="shared" si="1"/>
        <v>3621</v>
      </c>
      <c r="G15" s="191">
        <f t="shared" si="1"/>
        <v>3333</v>
      </c>
      <c r="H15" s="191">
        <f t="shared" si="1"/>
        <v>3443</v>
      </c>
      <c r="I15" s="191">
        <f t="shared" si="1"/>
        <v>3583</v>
      </c>
      <c r="J15" s="191">
        <f t="shared" si="1"/>
        <v>3024</v>
      </c>
      <c r="K15" s="191">
        <f t="shared" si="1"/>
        <v>3888</v>
      </c>
      <c r="L15" s="191">
        <f t="shared" si="1"/>
        <v>4052</v>
      </c>
      <c r="M15" s="191">
        <f t="shared" si="1"/>
        <v>4676.6743270000006</v>
      </c>
      <c r="N15" s="191">
        <f t="shared" si="1"/>
        <v>4822</v>
      </c>
      <c r="O15" s="191">
        <f t="shared" si="1"/>
        <v>5033</v>
      </c>
      <c r="P15" s="191">
        <f t="shared" si="1"/>
        <v>5339</v>
      </c>
      <c r="Q15" s="191">
        <f t="shared" ref="Q15" si="2">+SUM(Q10:Q14)</f>
        <v>5357</v>
      </c>
      <c r="R15" s="191">
        <f t="shared" ref="R15:T15" si="3">+SUM(R10:R14)</f>
        <v>5186</v>
      </c>
      <c r="S15" s="191">
        <f t="shared" si="3"/>
        <v>5947</v>
      </c>
      <c r="T15" s="191">
        <f t="shared" si="3"/>
        <v>6261</v>
      </c>
    </row>
    <row r="16" spans="1:23" s="180" customFormat="1">
      <c r="A16" s="179"/>
      <c r="B16" s="179"/>
      <c r="C16" s="179"/>
      <c r="D16" s="179"/>
      <c r="E16" s="179"/>
      <c r="F16" s="179"/>
      <c r="G16" s="179"/>
      <c r="H16" s="179"/>
      <c r="I16" s="179"/>
      <c r="J16" s="179"/>
      <c r="K16" s="179"/>
      <c r="L16" s="179"/>
      <c r="M16" s="179"/>
      <c r="N16" s="179"/>
      <c r="O16" s="179"/>
      <c r="P16" s="192"/>
      <c r="Q16" s="179"/>
      <c r="R16" s="179"/>
      <c r="S16" s="179"/>
      <c r="T16" s="192"/>
    </row>
    <row r="17" spans="1:22" s="180" customFormat="1">
      <c r="A17" s="179"/>
      <c r="B17" s="179"/>
      <c r="C17" s="179"/>
      <c r="D17" s="179"/>
      <c r="E17" s="179"/>
      <c r="F17" s="179"/>
      <c r="G17" s="179"/>
      <c r="H17" s="179"/>
      <c r="I17" s="179"/>
      <c r="J17" s="179"/>
      <c r="K17" s="179"/>
      <c r="L17" s="179"/>
      <c r="M17" s="179"/>
      <c r="N17" s="179"/>
      <c r="O17" s="179"/>
      <c r="P17" s="192"/>
      <c r="Q17" s="179"/>
      <c r="R17" s="179"/>
      <c r="S17" s="179"/>
      <c r="T17" s="192"/>
    </row>
    <row r="18" spans="1:22" s="180" customFormat="1">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OFFSET($B$77,0,0,1,SUM($B$71:$T$71)),
OFFSET($B$76,0,0,1,SUM($B$71:$T$71)),
,
1)</f>
        <v>178.94973448070172</v>
      </c>
      <c r="C20" s="197"/>
      <c r="D20" s="197"/>
      <c r="E20" s="197"/>
      <c r="F20" s="197"/>
      <c r="G20" s="197"/>
      <c r="H20" s="197"/>
      <c r="I20" s="197"/>
    </row>
    <row r="21" spans="1:22" ht="19.5" customHeight="1">
      <c r="A21" s="180" t="s">
        <v>252</v>
      </c>
      <c r="B21" s="197">
        <f ca="1">RSQ(
OFFSET($B$77,0,0,1,SUM($B$71:$T$71)),
OFFSET($B$76,0,0,1,SUM($B$71:$T$71))
)</f>
        <v>0.87987845021960875</v>
      </c>
      <c r="C21" s="198"/>
      <c r="D21" s="198"/>
      <c r="E21" s="198"/>
      <c r="F21" s="198"/>
      <c r="G21" s="198"/>
      <c r="H21" s="198"/>
      <c r="I21" s="198"/>
    </row>
    <row r="22" spans="1:22" ht="19.5" customHeight="1">
      <c r="A22" s="179" t="s">
        <v>209</v>
      </c>
      <c r="B22" s="199">
        <f ca="1">+B20/T15</f>
        <v>2.8581653806213341E-2</v>
      </c>
      <c r="C22" s="197"/>
      <c r="D22" s="197"/>
      <c r="E22" s="197"/>
      <c r="F22" s="197"/>
      <c r="G22" s="197"/>
      <c r="H22" s="197"/>
      <c r="I22" s="197"/>
    </row>
    <row r="23" spans="1:22" ht="19.5" customHeight="1">
      <c r="A23" s="192" t="s">
        <v>289</v>
      </c>
      <c r="B23" s="217">
        <f ca="1">+B22</f>
        <v>2.8581653806213341E-2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v>1</v>
      </c>
      <c r="C71" s="206">
        <v>1</v>
      </c>
      <c r="D71" s="206">
        <v>1</v>
      </c>
      <c r="E71" s="206">
        <v>1</v>
      </c>
      <c r="F71" s="206">
        <v>1</v>
      </c>
      <c r="G71" s="206">
        <v>1</v>
      </c>
      <c r="H71" s="206">
        <v>1</v>
      </c>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1</v>
      </c>
      <c r="C74" s="208">
        <f>+SUM($B71:C$71)</f>
        <v>2</v>
      </c>
      <c r="D74" s="208">
        <f>+SUM($B71:D$71)</f>
        <v>3</v>
      </c>
      <c r="E74" s="208">
        <f>+SUM($B71:E$71)</f>
        <v>4</v>
      </c>
      <c r="F74" s="208">
        <f>+SUM($B71:F$71)</f>
        <v>5</v>
      </c>
      <c r="G74" s="208">
        <f>+SUM($B71:G$71)</f>
        <v>6</v>
      </c>
      <c r="H74" s="208">
        <f>+SUM($B71:H$71)</f>
        <v>7</v>
      </c>
      <c r="I74" s="208">
        <f>+SUM($B71:I$71)</f>
        <v>8</v>
      </c>
      <c r="J74" s="208">
        <f>+SUM($B71:J$71)</f>
        <v>9</v>
      </c>
      <c r="K74" s="208">
        <f>+SUM($B71:K$71)</f>
        <v>10</v>
      </c>
      <c r="L74" s="208">
        <f>+SUM($B71:L$71)</f>
        <v>11</v>
      </c>
      <c r="M74" s="208">
        <f>+SUM($B71:M$71)</f>
        <v>12</v>
      </c>
      <c r="N74" s="208">
        <f>+SUM($B71:N$71)</f>
        <v>13</v>
      </c>
      <c r="O74" s="208">
        <f>+SUM($B71:O$71)</f>
        <v>14</v>
      </c>
      <c r="P74" s="208">
        <f>+SUM($B71:P$71)</f>
        <v>15</v>
      </c>
      <c r="Q74" s="208">
        <f>+SUM($B71:Q$71)</f>
        <v>16</v>
      </c>
      <c r="R74" s="208">
        <f>+SUM($B71:R$71)</f>
        <v>17</v>
      </c>
      <c r="S74" s="208">
        <f>+SUM($B71:S$71)</f>
        <v>18</v>
      </c>
      <c r="T74" s="208">
        <f>+SUM($B71:T$71)</f>
        <v>19</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2000</v>
      </c>
      <c r="C76" s="209">
        <f t="shared" ca="1" si="12"/>
        <v>2001</v>
      </c>
      <c r="D76" s="209">
        <f t="shared" ca="1" si="12"/>
        <v>2002</v>
      </c>
      <c r="E76" s="209">
        <f t="shared" ca="1" si="12"/>
        <v>2003</v>
      </c>
      <c r="F76" s="209">
        <f t="shared" ca="1" si="12"/>
        <v>2004</v>
      </c>
      <c r="G76" s="209">
        <f t="shared" ca="1" si="12"/>
        <v>2005</v>
      </c>
      <c r="H76" s="209">
        <f t="shared" ca="1" si="12"/>
        <v>2006</v>
      </c>
      <c r="I76" s="209">
        <f t="shared" ca="1" si="12"/>
        <v>2007</v>
      </c>
      <c r="J76" s="209">
        <f t="shared" ca="1" si="12"/>
        <v>2008</v>
      </c>
      <c r="K76" s="209">
        <f t="shared" ca="1" si="12"/>
        <v>2009</v>
      </c>
      <c r="L76" s="209">
        <f t="shared" ca="1" si="12"/>
        <v>2010</v>
      </c>
      <c r="M76" s="209">
        <f t="shared" ca="1" si="12"/>
        <v>2011</v>
      </c>
      <c r="N76" s="209">
        <f t="shared" ca="1" si="12"/>
        <v>2012</v>
      </c>
      <c r="O76" s="209">
        <f t="shared" ca="1" si="12"/>
        <v>2013</v>
      </c>
      <c r="P76" s="209">
        <f t="shared" ca="1" si="12"/>
        <v>2014</v>
      </c>
      <c r="Q76" s="209">
        <f t="shared" ref="Q76:T76" ca="1" si="13">+OFFSET($A$70,0,MATCH(Q$75,$B$74:$T$74,0))</f>
        <v>2015</v>
      </c>
      <c r="R76" s="209">
        <f t="shared" ca="1" si="13"/>
        <v>2016</v>
      </c>
      <c r="S76" s="209">
        <f t="shared" ca="1" si="13"/>
        <v>2017</v>
      </c>
      <c r="T76" s="209">
        <f t="shared" ca="1" si="13"/>
        <v>2018</v>
      </c>
    </row>
    <row r="77" spans="1:23">
      <c r="A77" s="207" t="s">
        <v>216</v>
      </c>
      <c r="B77" s="207">
        <f t="shared" ref="B77:P77" ca="1" si="14">+INDEX(15:15,1,MATCH(B$76,9:9,0))</f>
        <v>2615</v>
      </c>
      <c r="C77" s="207">
        <f t="shared" ca="1" si="14"/>
        <v>3028</v>
      </c>
      <c r="D77" s="207">
        <f t="shared" ca="1" si="14"/>
        <v>3645</v>
      </c>
      <c r="E77" s="207">
        <f t="shared" ca="1" si="14"/>
        <v>3306</v>
      </c>
      <c r="F77" s="207">
        <f t="shared" ca="1" si="14"/>
        <v>3621</v>
      </c>
      <c r="G77" s="207">
        <f t="shared" ca="1" si="14"/>
        <v>3333</v>
      </c>
      <c r="H77" s="207">
        <f t="shared" ca="1" si="14"/>
        <v>3443</v>
      </c>
      <c r="I77" s="207">
        <f t="shared" ca="1" si="14"/>
        <v>3583</v>
      </c>
      <c r="J77" s="207">
        <f t="shared" ca="1" si="14"/>
        <v>3024</v>
      </c>
      <c r="K77" s="207">
        <f t="shared" ca="1" si="14"/>
        <v>3888</v>
      </c>
      <c r="L77" s="207">
        <f t="shared" ca="1" si="14"/>
        <v>4052</v>
      </c>
      <c r="M77" s="207">
        <f t="shared" ca="1" si="14"/>
        <v>4676.6743270000006</v>
      </c>
      <c r="N77" s="207">
        <f t="shared" ca="1" si="14"/>
        <v>4822</v>
      </c>
      <c r="O77" s="207">
        <f t="shared" ca="1" si="14"/>
        <v>5033</v>
      </c>
      <c r="P77" s="207">
        <f t="shared" ca="1" si="14"/>
        <v>5339</v>
      </c>
      <c r="Q77" s="207">
        <f t="shared" ref="Q77:T77" ca="1" si="15">+INDEX(15:15,1,MATCH(Q$76,9:9,0))</f>
        <v>5357</v>
      </c>
      <c r="R77" s="207">
        <f t="shared" ca="1" si="15"/>
        <v>5186</v>
      </c>
      <c r="S77" s="207">
        <f t="shared" ca="1" si="15"/>
        <v>5947</v>
      </c>
      <c r="T77" s="207">
        <f t="shared" ca="1" si="15"/>
        <v>6261</v>
      </c>
    </row>
    <row r="80" spans="1:23">
      <c r="A80" s="210"/>
      <c r="B80" s="211" t="s">
        <v>217</v>
      </c>
      <c r="C80" s="212"/>
    </row>
    <row r="81" spans="1:4">
      <c r="A81" s="210" t="s">
        <v>198</v>
      </c>
      <c r="B81" s="213">
        <f t="array" aca="1" ref="B81:C85" ca="1">+LINEST(
OFFSET($B77,0,0,1,SUM($B71:$T71)),
OFFSET($B76,0,0,1,SUM($B71:$T71)),
,
1)</f>
        <v>178.94973448070172</v>
      </c>
      <c r="C81" s="213">
        <f ca="1"/>
        <v>-355291.08634399291</v>
      </c>
      <c r="D81" s="179" t="s">
        <v>218</v>
      </c>
    </row>
    <row r="82" spans="1:4">
      <c r="A82" s="210" t="s">
        <v>219</v>
      </c>
      <c r="B82" s="213">
        <f ca="1"/>
        <v>16.036357166308662</v>
      </c>
      <c r="C82" s="213">
        <f ca="1"/>
        <v>32217.161280767916</v>
      </c>
      <c r="D82" s="179" t="s">
        <v>220</v>
      </c>
    </row>
    <row r="83" spans="1:4">
      <c r="A83" s="210" t="s">
        <v>221</v>
      </c>
      <c r="B83" s="213">
        <f ca="1"/>
        <v>0.8798784502196082</v>
      </c>
      <c r="C83" s="213">
        <f ca="1"/>
        <v>382.86277981058566</v>
      </c>
      <c r="D83" s="179" t="s">
        <v>222</v>
      </c>
    </row>
    <row r="84" spans="1:4">
      <c r="A84" s="214" t="s">
        <v>223</v>
      </c>
      <c r="B84" s="213">
        <f ca="1"/>
        <v>124.52331560057037</v>
      </c>
      <c r="C84" s="213">
        <f ca="1"/>
        <v>17</v>
      </c>
      <c r="D84" s="179" t="s">
        <v>224</v>
      </c>
    </row>
    <row r="85" spans="1:4">
      <c r="A85" s="214" t="s">
        <v>225</v>
      </c>
      <c r="B85" s="213">
        <f ca="1"/>
        <v>18253114.258306783</v>
      </c>
      <c r="C85" s="213">
        <f ca="1"/>
        <v>2491926.4387929128</v>
      </c>
      <c r="D85" s="179" t="s">
        <v>226</v>
      </c>
    </row>
    <row r="86" spans="1:4">
      <c r="A86" s="210"/>
    </row>
    <row r="87" spans="1:4">
      <c r="A87" s="210"/>
    </row>
    <row r="88" spans="1:4">
      <c r="A88" s="210" t="s">
        <v>227</v>
      </c>
      <c r="B88" s="179">
        <f ca="1">+B81/B82</f>
        <v>11.159001550343579</v>
      </c>
    </row>
    <row r="89" spans="1:4">
      <c r="A89" s="214" t="s">
        <v>228</v>
      </c>
      <c r="B89" s="215">
        <f ca="1">+TDIST(B88,C84,2)</f>
        <v>3.032681946408714E-9</v>
      </c>
    </row>
  </sheetData>
  <conditionalFormatting sqref="B15:H15 J15:T15">
    <cfRule type="expression" dxfId="17" priority="2">
      <formula>B$71=1</formula>
    </cfRule>
  </conditionalFormatting>
  <conditionalFormatting sqref="B15:I15">
    <cfRule type="expression" dxfId="16"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234</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c r="A11" s="189" t="str">
        <f>+B4</f>
        <v>Customer Accounting and Sales</v>
      </c>
      <c r="B11" s="170">
        <f>+'Cost Trends'!F36+'Cost Trends'!F38</f>
        <v>3878</v>
      </c>
      <c r="C11" s="170">
        <f>+'Cost Trends'!G36+'Cost Trends'!G38</f>
        <v>3812</v>
      </c>
      <c r="D11" s="170">
        <f>+'Cost Trends'!H36+'Cost Trends'!H38</f>
        <v>4483</v>
      </c>
      <c r="E11" s="170">
        <f>+'Cost Trends'!I36+'Cost Trends'!I38</f>
        <v>4613</v>
      </c>
      <c r="F11" s="170">
        <f>+'Cost Trends'!J36+'Cost Trends'!J38</f>
        <v>4764</v>
      </c>
      <c r="G11" s="170">
        <f>+'Cost Trends'!K36+'Cost Trends'!K38</f>
        <v>4569</v>
      </c>
      <c r="H11" s="170">
        <f>+'Cost Trends'!L36+'Cost Trends'!L38</f>
        <v>4721</v>
      </c>
      <c r="I11" s="170">
        <f>+'Cost Trends'!M36+'Cost Trends'!M38</f>
        <v>5003</v>
      </c>
      <c r="J11" s="170">
        <f>+'Cost Trends'!N36+'Cost Trends'!N38</f>
        <v>5134</v>
      </c>
      <c r="K11" s="170">
        <f>+'Cost Trends'!O36+'Cost Trends'!O38</f>
        <v>6083</v>
      </c>
      <c r="L11" s="170">
        <f>+'Cost Trends'!P36+'Cost Trends'!P38</f>
        <v>5339</v>
      </c>
      <c r="M11" s="170">
        <f>+'Cost Trends'!Q36+'Cost Trends'!Q38</f>
        <v>5742.734942</v>
      </c>
      <c r="N11" s="170">
        <f>+'Cost Trends'!R36+'Cost Trends'!R38</f>
        <v>5799</v>
      </c>
      <c r="O11" s="170">
        <f>+'Cost Trends'!S36+'Cost Trends'!S38</f>
        <v>6273</v>
      </c>
      <c r="P11" s="170">
        <f>+'Cost Trends'!T36+'Cost Trends'!T38</f>
        <v>6108</v>
      </c>
      <c r="Q11" s="170">
        <f>+'Cost Trends'!U36+'Cost Trends'!U38</f>
        <v>6632</v>
      </c>
      <c r="R11" s="170">
        <f>+'Cost Trends'!V36+'Cost Trends'!V38</f>
        <v>6811</v>
      </c>
      <c r="S11" s="170">
        <f>+'Cost Trends'!W36+'Cost Trends'!W38</f>
        <v>6991</v>
      </c>
      <c r="T11" s="170">
        <f>+'Cost Trends'!X36+'Cost Trends'!X38</f>
        <v>6967</v>
      </c>
    </row>
    <row r="12" spans="1:23" s="180" customFormat="1">
      <c r="A12" s="189" t="s">
        <v>235</v>
      </c>
      <c r="B12" s="170">
        <f>+SUM('Riders and Gas Cost Revenue'!G35:H35)</f>
        <v>-290</v>
      </c>
      <c r="C12" s="170">
        <f>+SUM('Riders and Gas Cost Revenue'!I35:J35)</f>
        <v>-545</v>
      </c>
      <c r="D12" s="170">
        <f>+SUM('Riders and Gas Cost Revenue'!K35:L35)</f>
        <v>-566</v>
      </c>
      <c r="E12" s="170">
        <f>+SUM('Riders and Gas Cost Revenue'!M35:N35)</f>
        <v>-501</v>
      </c>
      <c r="F12" s="170">
        <f>+SUM('Riders and Gas Cost Revenue'!O35:P35)</f>
        <v>-578</v>
      </c>
      <c r="G12" s="170">
        <f>+SUM('Riders and Gas Cost Revenue'!Q35:R35)</f>
        <v>-674</v>
      </c>
      <c r="H12" s="170">
        <f>+SUM('Riders and Gas Cost Revenue'!S35:T35)</f>
        <v>-757</v>
      </c>
      <c r="I12" s="170">
        <f>+SUM('Riders and Gas Cost Revenue'!U35:W35)</f>
        <v>-807</v>
      </c>
      <c r="J12" s="170">
        <f>+SUM('Riders and Gas Cost Revenue'!X35:Z35)</f>
        <v>-769</v>
      </c>
      <c r="K12" s="170">
        <f>+SUM('Riders and Gas Cost Revenue'!AA35:AC35)</f>
        <v>-650</v>
      </c>
      <c r="L12" s="170">
        <f>+SUM('Riders and Gas Cost Revenue'!AD35:AF35)</f>
        <v>-444</v>
      </c>
      <c r="M12" s="170">
        <f>+SUM('Riders and Gas Cost Revenue'!AG35:AI35)</f>
        <v>-472</v>
      </c>
      <c r="N12" s="170">
        <f>+SUM('Riders and Gas Cost Revenue'!AJ35:AL35)</f>
        <v>-409</v>
      </c>
      <c r="O12" s="170">
        <f>+SUM('Riders and Gas Cost Revenue'!AO35)</f>
        <v>-388</v>
      </c>
      <c r="P12" s="170">
        <f>+'Riders and Gas Cost Revenue'!AR35</f>
        <v>-426</v>
      </c>
      <c r="Q12" s="170">
        <v>-403</v>
      </c>
      <c r="R12" s="170">
        <v>-403</v>
      </c>
      <c r="S12" s="170">
        <v>-403</v>
      </c>
      <c r="T12" s="170">
        <v>-403</v>
      </c>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Customer Accounting and Sales</v>
      </c>
      <c r="B15" s="191">
        <f t="shared" ref="B15:P15" si="1">+SUM(B10:B14)</f>
        <v>3588</v>
      </c>
      <c r="C15" s="191">
        <f t="shared" si="1"/>
        <v>3267</v>
      </c>
      <c r="D15" s="191">
        <f t="shared" si="1"/>
        <v>3917</v>
      </c>
      <c r="E15" s="191">
        <f t="shared" si="1"/>
        <v>4112</v>
      </c>
      <c r="F15" s="191">
        <f t="shared" si="1"/>
        <v>4186</v>
      </c>
      <c r="G15" s="191">
        <f t="shared" si="1"/>
        <v>3895</v>
      </c>
      <c r="H15" s="191">
        <f t="shared" si="1"/>
        <v>3964</v>
      </c>
      <c r="I15" s="191">
        <f t="shared" si="1"/>
        <v>4196</v>
      </c>
      <c r="J15" s="191">
        <f t="shared" si="1"/>
        <v>4365</v>
      </c>
      <c r="K15" s="191">
        <f t="shared" si="1"/>
        <v>5433</v>
      </c>
      <c r="L15" s="191">
        <f t="shared" si="1"/>
        <v>4895</v>
      </c>
      <c r="M15" s="191">
        <f t="shared" si="1"/>
        <v>5270.734942</v>
      </c>
      <c r="N15" s="191">
        <f t="shared" si="1"/>
        <v>5390</v>
      </c>
      <c r="O15" s="191">
        <f t="shared" si="1"/>
        <v>5885</v>
      </c>
      <c r="P15" s="191">
        <f t="shared" si="1"/>
        <v>5682</v>
      </c>
      <c r="Q15" s="191">
        <f t="shared" ref="Q15" si="2">+SUM(Q10:Q14)</f>
        <v>6229</v>
      </c>
      <c r="R15" s="191">
        <f t="shared" ref="R15:T15" si="3">+SUM(R10:R14)</f>
        <v>6408</v>
      </c>
      <c r="S15" s="191">
        <f t="shared" si="3"/>
        <v>6588</v>
      </c>
      <c r="T15" s="191">
        <f t="shared" si="3"/>
        <v>6564</v>
      </c>
    </row>
    <row r="16" spans="1:23" s="180" customFormat="1">
      <c r="A16" s="179"/>
      <c r="B16" s="179"/>
      <c r="C16" s="179"/>
      <c r="D16" s="179"/>
      <c r="E16" s="179"/>
      <c r="F16" s="179"/>
      <c r="G16" s="179"/>
      <c r="H16" s="179"/>
      <c r="I16" s="179"/>
      <c r="J16" s="179"/>
      <c r="K16" s="179"/>
      <c r="L16" s="179"/>
      <c r="M16" s="179"/>
      <c r="N16" s="179"/>
      <c r="O16" s="179"/>
      <c r="P16" s="192"/>
      <c r="Q16" s="179"/>
      <c r="R16" s="179"/>
      <c r="S16" s="179"/>
      <c r="T16" s="192"/>
    </row>
    <row r="17" spans="1:22" s="180" customFormat="1">
      <c r="A17" s="179"/>
      <c r="B17" s="179"/>
      <c r="C17" s="179"/>
      <c r="D17" s="179"/>
      <c r="E17" s="179"/>
      <c r="F17" s="179"/>
      <c r="G17" s="179"/>
      <c r="H17" s="179"/>
      <c r="I17" s="179"/>
      <c r="J17" s="179"/>
      <c r="K17" s="179"/>
      <c r="L17" s="179"/>
      <c r="M17" s="179"/>
      <c r="N17" s="179"/>
      <c r="O17" s="179"/>
      <c r="P17" s="192"/>
      <c r="Q17" s="179"/>
      <c r="R17" s="179"/>
      <c r="S17" s="179"/>
      <c r="T17" s="192"/>
    </row>
    <row r="18" spans="1:22" s="180" customFormat="1">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OFFSET($B$77,0,0,1,SUM($B$71:$T$71)),
OFFSET($B$76,0,0,1,SUM($B$71:$T$71)),
,
1)</f>
        <v>182.0019714545455</v>
      </c>
      <c r="C20" s="197"/>
      <c r="D20" s="197"/>
      <c r="E20" s="197"/>
      <c r="F20" s="197"/>
      <c r="G20" s="197"/>
      <c r="H20" s="197"/>
      <c r="I20" s="197"/>
    </row>
    <row r="21" spans="1:22" ht="19.5" customHeight="1">
      <c r="A21" s="180" t="s">
        <v>252</v>
      </c>
      <c r="B21" s="197">
        <f ca="1">RSQ(
OFFSET($B$77,0,0,1,SUM($B$71:$T$71)),
OFFSET($B$76,0,0,1,SUM($B$71:$T$71))
)</f>
        <v>0.862202290418146</v>
      </c>
      <c r="C21" s="198"/>
      <c r="D21" s="198"/>
      <c r="E21" s="198"/>
      <c r="F21" s="198"/>
      <c r="G21" s="198"/>
      <c r="H21" s="198"/>
      <c r="I21" s="198"/>
    </row>
    <row r="22" spans="1:22" ht="19.5" customHeight="1">
      <c r="A22" s="179" t="s">
        <v>209</v>
      </c>
      <c r="B22" s="199">
        <f ca="1">+B20/T15</f>
        <v>2.7727296077779632E-2</v>
      </c>
      <c r="C22" s="197"/>
      <c r="D22" s="197"/>
      <c r="E22" s="197"/>
      <c r="F22" s="197"/>
      <c r="G22" s="197"/>
      <c r="H22" s="197"/>
      <c r="I22" s="197"/>
    </row>
    <row r="23" spans="1:22" ht="19.5" customHeight="1">
      <c r="A23" s="192" t="s">
        <v>289</v>
      </c>
      <c r="B23" s="217">
        <f ca="1">+B22</f>
        <v>2.7727296077779632E-2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c r="C71" s="206"/>
      <c r="D71" s="206"/>
      <c r="E71" s="206"/>
      <c r="F71" s="206"/>
      <c r="G71" s="206"/>
      <c r="H71" s="206"/>
      <c r="I71" s="206"/>
      <c r="J71" s="206"/>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0</v>
      </c>
      <c r="C74" s="208">
        <f>+SUM($B71:C$71)</f>
        <v>0</v>
      </c>
      <c r="D74" s="208">
        <f>+SUM($B71:D$71)</f>
        <v>0</v>
      </c>
      <c r="E74" s="208">
        <f>+SUM($B71:E$71)</f>
        <v>0</v>
      </c>
      <c r="F74" s="208">
        <f>+SUM($B71:F$71)</f>
        <v>0</v>
      </c>
      <c r="G74" s="208">
        <f>+SUM($B71:G$71)</f>
        <v>0</v>
      </c>
      <c r="H74" s="208">
        <f>+SUM($B71:H$71)</f>
        <v>0</v>
      </c>
      <c r="I74" s="208">
        <f>+SUM($B71:I$71)</f>
        <v>0</v>
      </c>
      <c r="J74" s="208">
        <f>+SUM($B71:J$71)</f>
        <v>0</v>
      </c>
      <c r="K74" s="208">
        <f>+SUM($B71:K$71)</f>
        <v>1</v>
      </c>
      <c r="L74" s="208">
        <f>+SUM($B71:L$71)</f>
        <v>2</v>
      </c>
      <c r="M74" s="208">
        <f>+SUM($B71:M$71)</f>
        <v>3</v>
      </c>
      <c r="N74" s="208">
        <f>+SUM($B71:N$71)</f>
        <v>4</v>
      </c>
      <c r="O74" s="208">
        <f>+SUM($B71:O$71)</f>
        <v>5</v>
      </c>
      <c r="P74" s="208">
        <f>+SUM($B71:P$71)</f>
        <v>6</v>
      </c>
      <c r="Q74" s="208">
        <f>+SUM($B71:Q$71)</f>
        <v>7</v>
      </c>
      <c r="R74" s="208">
        <f>+SUM($B71:R$71)</f>
        <v>8</v>
      </c>
      <c r="S74" s="208">
        <f>+SUM($B71:S$71)</f>
        <v>9</v>
      </c>
      <c r="T74" s="208">
        <f>+SUM($B71:T$71)</f>
        <v>10</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2009</v>
      </c>
      <c r="C76" s="209">
        <f t="shared" ca="1" si="12"/>
        <v>2010</v>
      </c>
      <c r="D76" s="209">
        <f t="shared" ca="1" si="12"/>
        <v>2011</v>
      </c>
      <c r="E76" s="209">
        <f t="shared" ca="1" si="12"/>
        <v>2012</v>
      </c>
      <c r="F76" s="209">
        <f t="shared" ca="1" si="12"/>
        <v>2013</v>
      </c>
      <c r="G76" s="209">
        <f t="shared" ca="1" si="12"/>
        <v>2014</v>
      </c>
      <c r="H76" s="209">
        <f t="shared" ca="1" si="12"/>
        <v>2015</v>
      </c>
      <c r="I76" s="209">
        <f t="shared" ca="1" si="12"/>
        <v>2016</v>
      </c>
      <c r="J76" s="209">
        <f t="shared" ca="1" si="12"/>
        <v>2017</v>
      </c>
      <c r="K76" s="209">
        <f t="shared" ca="1" si="12"/>
        <v>2018</v>
      </c>
      <c r="L76" s="209" t="e">
        <f t="shared" ca="1" si="12"/>
        <v>#N/A</v>
      </c>
      <c r="M76" s="209" t="e">
        <f t="shared" ca="1" si="12"/>
        <v>#N/A</v>
      </c>
      <c r="N76" s="209" t="e">
        <f t="shared" ca="1" si="12"/>
        <v>#N/A</v>
      </c>
      <c r="O76" s="209" t="e">
        <f t="shared" ca="1" si="12"/>
        <v>#N/A</v>
      </c>
      <c r="P76" s="209" t="e">
        <f t="shared" ca="1" si="12"/>
        <v>#N/A</v>
      </c>
      <c r="Q76" s="209" t="e">
        <f t="shared" ref="Q76:T76" ca="1" si="13">+OFFSET($A$70,0,MATCH(Q$75,$B$74:$T$74,0))</f>
        <v>#N/A</v>
      </c>
      <c r="R76" s="209" t="e">
        <f t="shared" ca="1" si="13"/>
        <v>#N/A</v>
      </c>
      <c r="S76" s="209" t="e">
        <f t="shared" ca="1" si="13"/>
        <v>#N/A</v>
      </c>
      <c r="T76" s="209" t="e">
        <f t="shared" ca="1" si="13"/>
        <v>#N/A</v>
      </c>
    </row>
    <row r="77" spans="1:23">
      <c r="A77" s="207" t="s">
        <v>216</v>
      </c>
      <c r="B77" s="207">
        <f t="shared" ref="B77:P77" ca="1" si="14">+INDEX(15:15,1,MATCH(B$76,9:9,0))</f>
        <v>5433</v>
      </c>
      <c r="C77" s="207">
        <f t="shared" ca="1" si="14"/>
        <v>4895</v>
      </c>
      <c r="D77" s="207">
        <f t="shared" ca="1" si="14"/>
        <v>5270.734942</v>
      </c>
      <c r="E77" s="207">
        <f t="shared" ca="1" si="14"/>
        <v>5390</v>
      </c>
      <c r="F77" s="207">
        <f t="shared" ca="1" si="14"/>
        <v>5885</v>
      </c>
      <c r="G77" s="207">
        <f t="shared" ca="1" si="14"/>
        <v>5682</v>
      </c>
      <c r="H77" s="207">
        <f t="shared" ca="1" si="14"/>
        <v>6229</v>
      </c>
      <c r="I77" s="207">
        <f t="shared" ca="1" si="14"/>
        <v>6408</v>
      </c>
      <c r="J77" s="207">
        <f t="shared" ca="1" si="14"/>
        <v>6588</v>
      </c>
      <c r="K77" s="207">
        <f t="shared" ca="1" si="14"/>
        <v>6564</v>
      </c>
      <c r="L77" s="207" t="e">
        <f t="shared" ca="1" si="14"/>
        <v>#N/A</v>
      </c>
      <c r="M77" s="207" t="e">
        <f t="shared" ca="1" si="14"/>
        <v>#N/A</v>
      </c>
      <c r="N77" s="207" t="e">
        <f t="shared" ca="1" si="14"/>
        <v>#N/A</v>
      </c>
      <c r="O77" s="207" t="e">
        <f t="shared" ca="1" si="14"/>
        <v>#N/A</v>
      </c>
      <c r="P77" s="207" t="e">
        <f t="shared" ca="1" si="14"/>
        <v>#N/A</v>
      </c>
      <c r="Q77" s="207" t="e">
        <f t="shared" ref="Q77:T77" ca="1" si="15">+INDEX(15:15,1,MATCH(Q$76,9:9,0))</f>
        <v>#N/A</v>
      </c>
      <c r="R77" s="207" t="e">
        <f t="shared" ca="1" si="15"/>
        <v>#N/A</v>
      </c>
      <c r="S77" s="207" t="e">
        <f t="shared" ca="1" si="15"/>
        <v>#N/A</v>
      </c>
      <c r="T77" s="207" t="e">
        <f t="shared" ca="1" si="15"/>
        <v>#N/A</v>
      </c>
    </row>
    <row r="80" spans="1:23">
      <c r="A80" s="210"/>
      <c r="B80" s="211" t="s">
        <v>217</v>
      </c>
      <c r="C80" s="212"/>
    </row>
    <row r="81" spans="1:4">
      <c r="A81" s="210" t="s">
        <v>198</v>
      </c>
      <c r="B81" s="213">
        <f t="array" aca="1" ref="B81:C85" ca="1">+LINEST(
OFFSET($B77,0,0,1,SUM($B71:$T71)),
OFFSET($B76,0,0,1,SUM($B71:$T71)),
,
1)</f>
        <v>182.0019714545455</v>
      </c>
      <c r="C81" s="213">
        <f ca="1"/>
        <v>-360626.49602952739</v>
      </c>
      <c r="D81" s="179" t="s">
        <v>218</v>
      </c>
    </row>
    <row r="82" spans="1:4">
      <c r="A82" s="210" t="s">
        <v>219</v>
      </c>
      <c r="B82" s="213">
        <f ca="1"/>
        <v>25.724533758931901</v>
      </c>
      <c r="C82" s="213">
        <f ca="1"/>
        <v>51796.401424700904</v>
      </c>
      <c r="D82" s="179" t="s">
        <v>220</v>
      </c>
    </row>
    <row r="83" spans="1:4">
      <c r="A83" s="210" t="s">
        <v>221</v>
      </c>
      <c r="B83" s="213">
        <f ca="1"/>
        <v>0.86220229041814533</v>
      </c>
      <c r="C83" s="213">
        <f ca="1"/>
        <v>233.65468123266913</v>
      </c>
      <c r="D83" s="179" t="s">
        <v>222</v>
      </c>
    </row>
    <row r="84" spans="1:4">
      <c r="A84" s="214" t="s">
        <v>223</v>
      </c>
      <c r="B84" s="213">
        <f ca="1"/>
        <v>50.056117364184779</v>
      </c>
      <c r="C84" s="213">
        <f ca="1"/>
        <v>8</v>
      </c>
      <c r="D84" s="179" t="s">
        <v>224</v>
      </c>
    </row>
    <row r="85" spans="1:4">
      <c r="A85" s="214" t="s">
        <v>225</v>
      </c>
      <c r="B85" s="213">
        <f ca="1"/>
        <v>2732789.2031006464</v>
      </c>
      <c r="C85" s="213">
        <f ca="1"/>
        <v>436756.08049552178</v>
      </c>
      <c r="D85" s="179" t="s">
        <v>226</v>
      </c>
    </row>
    <row r="86" spans="1:4">
      <c r="A86" s="210"/>
    </row>
    <row r="87" spans="1:4">
      <c r="A87" s="210"/>
    </row>
    <row r="88" spans="1:4">
      <c r="A88" s="210" t="s">
        <v>227</v>
      </c>
      <c r="B88" s="179">
        <f ca="1">+B81/B82</f>
        <v>7.0750347959698976</v>
      </c>
    </row>
    <row r="89" spans="1:4">
      <c r="A89" s="214" t="s">
        <v>228</v>
      </c>
      <c r="B89" s="215">
        <f ca="1">+TDIST(B88,C84,2)</f>
        <v>1.045420959956089E-4</v>
      </c>
    </row>
  </sheetData>
  <conditionalFormatting sqref="B15:H15 J15:T15">
    <cfRule type="expression" dxfId="15" priority="2">
      <formula>B$71=1</formula>
    </cfRule>
  </conditionalFormatting>
  <conditionalFormatting sqref="B15:I15">
    <cfRule type="expression" dxfId="14"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22</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c r="A11" s="189" t="str">
        <f>+B4</f>
        <v>Customer Service &amp; Information</v>
      </c>
      <c r="B11" s="170">
        <f>+'Cost Trends'!F37</f>
        <v>507</v>
      </c>
      <c r="C11" s="170">
        <f>+'Cost Trends'!G37</f>
        <v>1513</v>
      </c>
      <c r="D11" s="170">
        <f>+'Cost Trends'!H37</f>
        <v>2252</v>
      </c>
      <c r="E11" s="170">
        <f>+'Cost Trends'!I37</f>
        <v>2747</v>
      </c>
      <c r="F11" s="170">
        <f>+'Cost Trends'!J37</f>
        <v>480</v>
      </c>
      <c r="G11" s="170">
        <f>+'Cost Trends'!K37</f>
        <v>3523</v>
      </c>
      <c r="H11" s="170">
        <f>+'Cost Trends'!L37</f>
        <v>1061</v>
      </c>
      <c r="I11" s="170">
        <f>+'Cost Trends'!M37</f>
        <v>4658</v>
      </c>
      <c r="J11" s="170">
        <f>+'Cost Trends'!N37</f>
        <v>5169</v>
      </c>
      <c r="K11" s="170">
        <f>+'Cost Trends'!O37</f>
        <v>7609</v>
      </c>
      <c r="L11" s="170">
        <f>+'Cost Trends'!P37</f>
        <v>9505</v>
      </c>
      <c r="M11" s="170">
        <f>+'Cost Trends'!Q37</f>
        <v>9777</v>
      </c>
      <c r="N11" s="170">
        <f>+'Cost Trends'!R37</f>
        <v>6955</v>
      </c>
      <c r="O11" s="170">
        <f>+'Cost Trends'!S37</f>
        <v>983</v>
      </c>
      <c r="P11" s="170">
        <f>+'Cost Trends'!T37</f>
        <v>865</v>
      </c>
      <c r="Q11" s="170">
        <f>+'Cost Trends'!U37</f>
        <v>837</v>
      </c>
      <c r="R11" s="170">
        <f>+'Cost Trends'!V37</f>
        <v>964</v>
      </c>
      <c r="S11" s="170">
        <f>+'Cost Trends'!W37</f>
        <v>1000</v>
      </c>
      <c r="T11" s="170">
        <f>+'Cost Trends'!X37</f>
        <v>1232</v>
      </c>
    </row>
    <row r="12" spans="1:23" s="180" customFormat="1">
      <c r="A12" s="189" t="s">
        <v>236</v>
      </c>
      <c r="B12" s="170">
        <f>+'Riders and Gas Cost Revenue'!G36</f>
        <v>0</v>
      </c>
      <c r="C12" s="170">
        <f>+'Riders and Gas Cost Revenue'!I36</f>
        <v>-949</v>
      </c>
      <c r="D12" s="170">
        <f>+'Riders and Gas Cost Revenue'!K36</f>
        <v>-1696</v>
      </c>
      <c r="E12" s="170">
        <f>+'Riders and Gas Cost Revenue'!M36</f>
        <v>-2029</v>
      </c>
      <c r="F12" s="170">
        <f>+'Riders and Gas Cost Revenue'!O36</f>
        <v>0</v>
      </c>
      <c r="G12" s="170">
        <f>+'Riders and Gas Cost Revenue'!Q36</f>
        <v>-2842</v>
      </c>
      <c r="H12" s="170">
        <f>+'Riders and Gas Cost Revenue'!S36</f>
        <v>0</v>
      </c>
      <c r="I12" s="170">
        <f>+'Riders and Gas Cost Revenue'!U36</f>
        <v>-3835</v>
      </c>
      <c r="J12" s="170">
        <f>+'Riders and Gas Cost Revenue'!X36</f>
        <v>-4381</v>
      </c>
      <c r="K12" s="170">
        <f>+'Riders and Gas Cost Revenue'!AA36</f>
        <v>-6777</v>
      </c>
      <c r="L12" s="170">
        <f>+'Riders and Gas Cost Revenue'!AD36</f>
        <v>-8416</v>
      </c>
      <c r="M12" s="170">
        <f>+'Riders and Gas Cost Revenue'!AG36</f>
        <v>-8953</v>
      </c>
      <c r="N12" s="170">
        <f>+'Riders and Gas Cost Revenue'!AJ36</f>
        <v>-5942</v>
      </c>
      <c r="O12" s="170"/>
      <c r="P12" s="170"/>
      <c r="Q12" s="170"/>
      <c r="R12" s="170"/>
      <c r="S12" s="170"/>
      <c r="T12" s="170"/>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Customer Service &amp; Information</v>
      </c>
      <c r="B15" s="191">
        <f t="shared" ref="B15:P15" si="1">+SUM(B10:B14)</f>
        <v>507</v>
      </c>
      <c r="C15" s="191">
        <f t="shared" si="1"/>
        <v>564</v>
      </c>
      <c r="D15" s="191">
        <f t="shared" si="1"/>
        <v>556</v>
      </c>
      <c r="E15" s="191">
        <f t="shared" si="1"/>
        <v>718</v>
      </c>
      <c r="F15" s="191">
        <f t="shared" si="1"/>
        <v>480</v>
      </c>
      <c r="G15" s="191">
        <f t="shared" si="1"/>
        <v>681</v>
      </c>
      <c r="H15" s="191">
        <f t="shared" si="1"/>
        <v>1061</v>
      </c>
      <c r="I15" s="191">
        <f t="shared" si="1"/>
        <v>823</v>
      </c>
      <c r="J15" s="191">
        <f t="shared" si="1"/>
        <v>788</v>
      </c>
      <c r="K15" s="191">
        <f t="shared" si="1"/>
        <v>832</v>
      </c>
      <c r="L15" s="191">
        <f t="shared" si="1"/>
        <v>1089</v>
      </c>
      <c r="M15" s="191">
        <f t="shared" si="1"/>
        <v>824</v>
      </c>
      <c r="N15" s="191">
        <f t="shared" si="1"/>
        <v>1013</v>
      </c>
      <c r="O15" s="191">
        <f t="shared" si="1"/>
        <v>983</v>
      </c>
      <c r="P15" s="191">
        <f t="shared" si="1"/>
        <v>865</v>
      </c>
      <c r="Q15" s="191">
        <f t="shared" ref="Q15" si="2">+SUM(Q10:Q14)</f>
        <v>837</v>
      </c>
      <c r="R15" s="191">
        <f t="shared" ref="R15:T15" si="3">+SUM(R10:R14)</f>
        <v>964</v>
      </c>
      <c r="S15" s="191">
        <f t="shared" si="3"/>
        <v>1000</v>
      </c>
      <c r="T15" s="191">
        <f t="shared" si="3"/>
        <v>1232</v>
      </c>
    </row>
    <row r="16" spans="1:23" s="180" customFormat="1">
      <c r="A16" s="179"/>
      <c r="B16" s="179"/>
      <c r="C16" s="179"/>
      <c r="D16" s="179"/>
      <c r="E16" s="179"/>
      <c r="F16" s="179"/>
      <c r="G16" s="179"/>
      <c r="H16" s="179"/>
      <c r="I16" s="179"/>
      <c r="J16" s="179"/>
      <c r="K16" s="179"/>
      <c r="L16" s="179"/>
      <c r="M16" s="179"/>
      <c r="N16" s="179"/>
      <c r="O16" s="179"/>
      <c r="P16" s="192"/>
      <c r="Q16" s="179"/>
      <c r="R16" s="179"/>
      <c r="S16" s="179"/>
      <c r="T16" s="192"/>
    </row>
    <row r="17" spans="1:22" s="180" customFormat="1">
      <c r="A17" s="179"/>
      <c r="B17" s="179"/>
      <c r="C17" s="179"/>
      <c r="D17" s="179"/>
      <c r="E17" s="179"/>
      <c r="F17" s="179"/>
      <c r="G17" s="179"/>
      <c r="H17" s="179"/>
      <c r="I17" s="179"/>
      <c r="J17" s="179"/>
      <c r="K17" s="179"/>
      <c r="L17" s="179"/>
      <c r="M17" s="179"/>
      <c r="N17" s="179"/>
      <c r="O17" s="179"/>
      <c r="P17" s="192"/>
      <c r="Q17" s="179"/>
      <c r="R17" s="179"/>
      <c r="S17" s="179"/>
      <c r="T17" s="192"/>
    </row>
    <row r="18" spans="1:22" s="180" customFormat="1">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OFFSET($B$77,0,0,1,SUM($B$71:$T$71)),
OFFSET($B$76,0,0,1,SUM($B$71:$T$71)),
,
1)</f>
        <v>12.862637362637363</v>
      </c>
      <c r="C20" s="197"/>
      <c r="D20" s="197"/>
      <c r="E20" s="197"/>
      <c r="F20" s="197"/>
      <c r="G20" s="197"/>
      <c r="H20" s="197"/>
      <c r="I20" s="197"/>
    </row>
    <row r="21" spans="1:22" ht="19.5" customHeight="1">
      <c r="A21" s="180" t="s">
        <v>252</v>
      </c>
      <c r="B21" s="197">
        <f ca="1">RSQ(
OFFSET($B$77,0,0,1,SUM($B$71:$T$71)),
OFFSET($B$76,0,0,1,SUM($B$71:$T$71))
)</f>
        <v>0.14272851147525276</v>
      </c>
      <c r="C21" s="198"/>
      <c r="D21" s="198"/>
      <c r="E21" s="198"/>
      <c r="F21" s="198"/>
      <c r="G21" s="198"/>
      <c r="H21" s="198"/>
      <c r="I21" s="198"/>
    </row>
    <row r="22" spans="1:22" ht="19.5" customHeight="1">
      <c r="A22" s="179" t="s">
        <v>209</v>
      </c>
      <c r="B22" s="199">
        <f ca="1">+B20/T15</f>
        <v>1.0440452404738119E-2</v>
      </c>
      <c r="C22" s="197"/>
      <c r="D22" s="197"/>
      <c r="E22" s="197"/>
      <c r="F22" s="197"/>
      <c r="G22" s="197"/>
      <c r="H22" s="197"/>
      <c r="I22" s="197"/>
    </row>
    <row r="23" spans="1:22" ht="19.5" customHeight="1">
      <c r="A23" s="192" t="s">
        <v>289</v>
      </c>
      <c r="B23" s="217">
        <f ca="1">+B22</f>
        <v>1.0440452404738119E-2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c r="C71" s="206"/>
      <c r="D71" s="206"/>
      <c r="E71" s="206"/>
      <c r="F71" s="206"/>
      <c r="G71" s="206"/>
      <c r="H71" s="206">
        <v>1</v>
      </c>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0</v>
      </c>
      <c r="C74" s="208">
        <f>+SUM($B71:C$71)</f>
        <v>0</v>
      </c>
      <c r="D74" s="208">
        <f>+SUM($B71:D$71)</f>
        <v>0</v>
      </c>
      <c r="E74" s="208">
        <f>+SUM($B71:E$71)</f>
        <v>0</v>
      </c>
      <c r="F74" s="208">
        <f>+SUM($B71:F$71)</f>
        <v>0</v>
      </c>
      <c r="G74" s="208">
        <f>+SUM($B71:G$71)</f>
        <v>0</v>
      </c>
      <c r="H74" s="208">
        <f>+SUM($B71:H$71)</f>
        <v>1</v>
      </c>
      <c r="I74" s="208">
        <f>+SUM($B71:I$71)</f>
        <v>2</v>
      </c>
      <c r="J74" s="208">
        <f>+SUM($B71:J$71)</f>
        <v>3</v>
      </c>
      <c r="K74" s="208">
        <f>+SUM($B71:K$71)</f>
        <v>4</v>
      </c>
      <c r="L74" s="208">
        <f>+SUM($B71:L$71)</f>
        <v>5</v>
      </c>
      <c r="M74" s="208">
        <f>+SUM($B71:M$71)</f>
        <v>6</v>
      </c>
      <c r="N74" s="208">
        <f>+SUM($B71:N$71)</f>
        <v>7</v>
      </c>
      <c r="O74" s="208">
        <f>+SUM($B71:O$71)</f>
        <v>8</v>
      </c>
      <c r="P74" s="208">
        <f>+SUM($B71:P$71)</f>
        <v>9</v>
      </c>
      <c r="Q74" s="208">
        <f>+SUM($B71:Q$71)</f>
        <v>10</v>
      </c>
      <c r="R74" s="208">
        <f>+SUM($B71:R$71)</f>
        <v>11</v>
      </c>
      <c r="S74" s="208">
        <f>+SUM($B71:S$71)</f>
        <v>12</v>
      </c>
      <c r="T74" s="208">
        <f>+SUM($B71:T$71)</f>
        <v>13</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2006</v>
      </c>
      <c r="C76" s="209">
        <f t="shared" ca="1" si="12"/>
        <v>2007</v>
      </c>
      <c r="D76" s="209">
        <f t="shared" ca="1" si="12"/>
        <v>2008</v>
      </c>
      <c r="E76" s="209">
        <f t="shared" ca="1" si="12"/>
        <v>2009</v>
      </c>
      <c r="F76" s="209">
        <f t="shared" ca="1" si="12"/>
        <v>2010</v>
      </c>
      <c r="G76" s="209">
        <f t="shared" ca="1" si="12"/>
        <v>2011</v>
      </c>
      <c r="H76" s="209">
        <f t="shared" ca="1" si="12"/>
        <v>2012</v>
      </c>
      <c r="I76" s="209">
        <f t="shared" ca="1" si="12"/>
        <v>2013</v>
      </c>
      <c r="J76" s="209">
        <f t="shared" ca="1" si="12"/>
        <v>2014</v>
      </c>
      <c r="K76" s="209">
        <f t="shared" ca="1" si="12"/>
        <v>2015</v>
      </c>
      <c r="L76" s="209">
        <f t="shared" ca="1" si="12"/>
        <v>2016</v>
      </c>
      <c r="M76" s="209">
        <f t="shared" ca="1" si="12"/>
        <v>2017</v>
      </c>
      <c r="N76" s="209">
        <f t="shared" ca="1" si="12"/>
        <v>2018</v>
      </c>
      <c r="O76" s="209" t="e">
        <f t="shared" ca="1" si="12"/>
        <v>#N/A</v>
      </c>
      <c r="P76" s="209" t="e">
        <f t="shared" ca="1" si="12"/>
        <v>#N/A</v>
      </c>
      <c r="Q76" s="209" t="e">
        <f t="shared" ref="Q76:T76" ca="1" si="13">+OFFSET($A$70,0,MATCH(Q$75,$B$74:$T$74,0))</f>
        <v>#N/A</v>
      </c>
      <c r="R76" s="209" t="e">
        <f t="shared" ca="1" si="13"/>
        <v>#N/A</v>
      </c>
      <c r="S76" s="209" t="e">
        <f t="shared" ca="1" si="13"/>
        <v>#N/A</v>
      </c>
      <c r="T76" s="209" t="e">
        <f t="shared" ca="1" si="13"/>
        <v>#N/A</v>
      </c>
    </row>
    <row r="77" spans="1:23">
      <c r="A77" s="207" t="s">
        <v>216</v>
      </c>
      <c r="B77" s="207">
        <f t="shared" ref="B77:P77" ca="1" si="14">+INDEX(15:15,1,MATCH(B$76,9:9,0))</f>
        <v>1061</v>
      </c>
      <c r="C77" s="207">
        <f t="shared" ca="1" si="14"/>
        <v>823</v>
      </c>
      <c r="D77" s="207">
        <f t="shared" ca="1" si="14"/>
        <v>788</v>
      </c>
      <c r="E77" s="207">
        <f t="shared" ca="1" si="14"/>
        <v>832</v>
      </c>
      <c r="F77" s="207">
        <f t="shared" ca="1" si="14"/>
        <v>1089</v>
      </c>
      <c r="G77" s="207">
        <f t="shared" ca="1" si="14"/>
        <v>824</v>
      </c>
      <c r="H77" s="207">
        <f t="shared" ca="1" si="14"/>
        <v>1013</v>
      </c>
      <c r="I77" s="207">
        <f t="shared" ca="1" si="14"/>
        <v>983</v>
      </c>
      <c r="J77" s="207">
        <f t="shared" ca="1" si="14"/>
        <v>865</v>
      </c>
      <c r="K77" s="207">
        <f t="shared" ca="1" si="14"/>
        <v>837</v>
      </c>
      <c r="L77" s="207">
        <f t="shared" ca="1" si="14"/>
        <v>964</v>
      </c>
      <c r="M77" s="207">
        <f t="shared" ca="1" si="14"/>
        <v>1000</v>
      </c>
      <c r="N77" s="207">
        <f t="shared" ca="1" si="14"/>
        <v>1232</v>
      </c>
      <c r="O77" s="207" t="e">
        <f t="shared" ca="1" si="14"/>
        <v>#N/A</v>
      </c>
      <c r="P77" s="207" t="e">
        <f t="shared" ca="1" si="14"/>
        <v>#N/A</v>
      </c>
      <c r="Q77" s="207" t="e">
        <f t="shared" ref="Q77:T77" ca="1" si="15">+INDEX(15:15,1,MATCH(Q$76,9:9,0))</f>
        <v>#N/A</v>
      </c>
      <c r="R77" s="207" t="e">
        <f t="shared" ca="1" si="15"/>
        <v>#N/A</v>
      </c>
      <c r="S77" s="207" t="e">
        <f t="shared" ca="1" si="15"/>
        <v>#N/A</v>
      </c>
      <c r="T77" s="207" t="e">
        <f t="shared" ca="1" si="15"/>
        <v>#N/A</v>
      </c>
    </row>
    <row r="80" spans="1:23">
      <c r="A80" s="210"/>
      <c r="B80" s="211" t="s">
        <v>217</v>
      </c>
      <c r="C80" s="212"/>
    </row>
    <row r="81" spans="1:4">
      <c r="A81" s="210" t="s">
        <v>198</v>
      </c>
      <c r="B81" s="213">
        <f t="array" aca="1" ref="B81:C85" ca="1">+LINEST(
OFFSET($B77,0,0,1,SUM($B71:$T71)),
OFFSET($B76,0,0,1,SUM($B71:$T71)),
,
1)</f>
        <v>12.862637362637363</v>
      </c>
      <c r="C81" s="213">
        <f ca="1"/>
        <v>-24932.626373626375</v>
      </c>
      <c r="D81" s="179" t="s">
        <v>218</v>
      </c>
    </row>
    <row r="82" spans="1:4">
      <c r="A82" s="210" t="s">
        <v>219</v>
      </c>
      <c r="B82" s="213">
        <f ca="1"/>
        <v>9.5046801115560928</v>
      </c>
      <c r="C82" s="213">
        <f ca="1"/>
        <v>19123.449452394823</v>
      </c>
      <c r="D82" s="179" t="s">
        <v>220</v>
      </c>
    </row>
    <row r="83" spans="1:4">
      <c r="A83" s="210" t="s">
        <v>221</v>
      </c>
      <c r="B83" s="213">
        <f ca="1"/>
        <v>0.14272851147525273</v>
      </c>
      <c r="C83" s="213">
        <f ca="1"/>
        <v>128.22514500747431</v>
      </c>
      <c r="D83" s="179" t="s">
        <v>222</v>
      </c>
    </row>
    <row r="84" spans="1:4">
      <c r="A84" s="214" t="s">
        <v>223</v>
      </c>
      <c r="B84" s="213">
        <f ca="1"/>
        <v>1.8314077246749094</v>
      </c>
      <c r="C84" s="213">
        <f ca="1"/>
        <v>11</v>
      </c>
      <c r="D84" s="179" t="s">
        <v>224</v>
      </c>
    </row>
    <row r="85" spans="1:4">
      <c r="A85" s="214" t="s">
        <v>225</v>
      </c>
      <c r="B85" s="213">
        <f ca="1"/>
        <v>30111.434065934067</v>
      </c>
      <c r="C85" s="213">
        <f ca="1"/>
        <v>180858.56593406593</v>
      </c>
      <c r="D85" s="179" t="s">
        <v>226</v>
      </c>
    </row>
    <row r="86" spans="1:4">
      <c r="A86" s="210"/>
    </row>
    <row r="87" spans="1:4">
      <c r="A87" s="210"/>
    </row>
    <row r="88" spans="1:4">
      <c r="A88" s="210" t="s">
        <v>227</v>
      </c>
      <c r="B88" s="179">
        <f ca="1">+B81/B82</f>
        <v>1.3532951358350882</v>
      </c>
    </row>
    <row r="89" spans="1:4">
      <c r="A89" s="214" t="s">
        <v>228</v>
      </c>
      <c r="B89" s="215">
        <f ca="1">+TDIST(B88,C84,2)</f>
        <v>0.20311772413017504</v>
      </c>
    </row>
  </sheetData>
  <conditionalFormatting sqref="B15:H15 J15:T15">
    <cfRule type="expression" dxfId="13" priority="2">
      <formula>B$71=1</formula>
    </cfRule>
  </conditionalFormatting>
  <conditionalFormatting sqref="B15:I15">
    <cfRule type="expression" dxfId="12"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89"/>
  <sheetViews>
    <sheetView showGridLines="0" zoomScale="70" zoomScaleNormal="70" zoomScaleSheetLayoutView="70"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237</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
        <v>238</v>
      </c>
      <c r="B11" s="170">
        <f>+'Cost Trends'!F41</f>
        <v>8004</v>
      </c>
      <c r="C11" s="170">
        <f>+'Cost Trends'!G41</f>
        <v>7578</v>
      </c>
      <c r="D11" s="170">
        <f>+'Cost Trends'!H41</f>
        <v>9399</v>
      </c>
      <c r="E11" s="170">
        <f>+'Cost Trends'!I41</f>
        <v>9827</v>
      </c>
      <c r="F11" s="170">
        <f>+'Cost Trends'!J41</f>
        <v>8911</v>
      </c>
      <c r="G11" s="170">
        <f>+'Cost Trends'!K41</f>
        <v>9196</v>
      </c>
      <c r="H11" s="170">
        <f>+'Cost Trends'!L41</f>
        <v>8393</v>
      </c>
      <c r="I11" s="170">
        <f>+'Cost Trends'!M41</f>
        <v>8901</v>
      </c>
      <c r="J11" s="170">
        <f>+'Cost Trends'!N41</f>
        <v>9706</v>
      </c>
      <c r="K11" s="170">
        <f>+'Cost Trends'!O41</f>
        <v>9770</v>
      </c>
      <c r="L11" s="170">
        <f>+'Cost Trends'!P41</f>
        <v>11383</v>
      </c>
      <c r="M11" s="170">
        <f>+'Cost Trends'!Q41</f>
        <v>11585.118</v>
      </c>
      <c r="N11" s="170">
        <f>+'Cost Trends'!R41</f>
        <v>13419</v>
      </c>
      <c r="O11" s="170">
        <f>+'Cost Trends'!S41</f>
        <v>11862</v>
      </c>
      <c r="P11" s="170">
        <f>+'Cost Trends'!T41</f>
        <v>12777</v>
      </c>
      <c r="Q11" s="170">
        <f>+'Cost Trends'!U41</f>
        <v>14007</v>
      </c>
      <c r="R11" s="170">
        <f>+'Cost Trends'!V41</f>
        <v>13267</v>
      </c>
      <c r="S11" s="170">
        <f>+'Cost Trends'!W41</f>
        <v>13375</v>
      </c>
      <c r="T11" s="170">
        <f>+'Cost Trends'!X41</f>
        <v>14612</v>
      </c>
    </row>
    <row r="12" spans="1:23">
      <c r="A12" s="189" t="s">
        <v>239</v>
      </c>
      <c r="B12" s="170">
        <f>+SUM('Riders and Gas Cost Revenue'!G40:H40)</f>
        <v>-120</v>
      </c>
      <c r="C12" s="170">
        <f>+SUM('Riders and Gas Cost Revenue'!I40:J40)</f>
        <v>-226</v>
      </c>
      <c r="D12" s="170">
        <f>+SUM('Riders and Gas Cost Revenue'!K40:L40)</f>
        <v>-235</v>
      </c>
      <c r="E12" s="170">
        <f>+SUM('Riders and Gas Cost Revenue'!M40:N40)</f>
        <v>-207</v>
      </c>
      <c r="F12" s="170">
        <f>+SUM('Riders and Gas Cost Revenue'!O40:P40)</f>
        <v>-240</v>
      </c>
      <c r="G12" s="170">
        <f>+SUM('Riders and Gas Cost Revenue'!Q40:R40)</f>
        <v>-279</v>
      </c>
      <c r="H12" s="170">
        <f>+SUM('Riders and Gas Cost Revenue'!S40:T40)</f>
        <v>-314</v>
      </c>
      <c r="I12" s="170">
        <f>+SUM('Riders and Gas Cost Revenue'!U40:W40)</f>
        <v>-335</v>
      </c>
      <c r="J12" s="170">
        <f>+SUM('Riders and Gas Cost Revenue'!X40:Z40)</f>
        <v>-319</v>
      </c>
      <c r="K12" s="170">
        <f>+SUM('Riders and Gas Cost Revenue'!AA40:AC40)</f>
        <v>-268</v>
      </c>
      <c r="L12" s="170">
        <f>+SUM('Riders and Gas Cost Revenue'!AD40:AF40)</f>
        <v>-184</v>
      </c>
      <c r="M12" s="170">
        <f>+SUM('Riders and Gas Cost Revenue'!AG40:AI40)</f>
        <v>-196</v>
      </c>
      <c r="N12" s="170">
        <f>+SUM('Riders and Gas Cost Revenue'!AJ40:AL40)</f>
        <v>-169</v>
      </c>
      <c r="O12" s="170">
        <f>+SUM('Riders and Gas Cost Revenue'!AO40)</f>
        <v>-161</v>
      </c>
      <c r="P12" s="170">
        <f>+SUM('Riders and Gas Cost Revenue'!AR40)</f>
        <v>-176</v>
      </c>
      <c r="Q12" s="170">
        <v>-167</v>
      </c>
      <c r="R12" s="170">
        <v>-167</v>
      </c>
      <c r="S12" s="170">
        <v>-167</v>
      </c>
      <c r="T12" s="170">
        <v>-167</v>
      </c>
    </row>
    <row r="13" spans="1:23" ht="8.25" customHeight="1">
      <c r="B13" s="188"/>
      <c r="C13" s="188"/>
      <c r="D13" s="188"/>
      <c r="E13" s="188"/>
      <c r="F13" s="188"/>
      <c r="G13" s="188"/>
      <c r="H13" s="188"/>
      <c r="I13" s="188"/>
      <c r="J13" s="188"/>
      <c r="K13" s="188"/>
      <c r="L13" s="188"/>
      <c r="M13" s="188"/>
      <c r="N13" s="188"/>
      <c r="O13" s="188"/>
      <c r="P13" s="188"/>
      <c r="Q13" s="188"/>
      <c r="R13" s="188"/>
      <c r="S13" s="188"/>
      <c r="T13" s="188"/>
    </row>
    <row r="14" spans="1:23" ht="8.25" customHeight="1">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ht="26.25" customHeight="1">
      <c r="A15" s="190" t="str">
        <f>+"Total "&amp;B4</f>
        <v xml:space="preserve">Total Administrative and General Operations Expense </v>
      </c>
      <c r="B15" s="191">
        <f t="shared" ref="B15:P15" si="1">+SUM(B10:B14)</f>
        <v>7884</v>
      </c>
      <c r="C15" s="191">
        <f t="shared" si="1"/>
        <v>7352</v>
      </c>
      <c r="D15" s="191">
        <f t="shared" si="1"/>
        <v>9164</v>
      </c>
      <c r="E15" s="191">
        <f t="shared" si="1"/>
        <v>9620</v>
      </c>
      <c r="F15" s="191">
        <f t="shared" si="1"/>
        <v>8671</v>
      </c>
      <c r="G15" s="191">
        <f t="shared" si="1"/>
        <v>8917</v>
      </c>
      <c r="H15" s="191">
        <f t="shared" si="1"/>
        <v>8079</v>
      </c>
      <c r="I15" s="191">
        <f t="shared" si="1"/>
        <v>8566</v>
      </c>
      <c r="J15" s="191">
        <f t="shared" si="1"/>
        <v>9387</v>
      </c>
      <c r="K15" s="191">
        <f t="shared" si="1"/>
        <v>9502</v>
      </c>
      <c r="L15" s="191">
        <f t="shared" si="1"/>
        <v>11199</v>
      </c>
      <c r="M15" s="191">
        <f t="shared" si="1"/>
        <v>11389.118</v>
      </c>
      <c r="N15" s="191">
        <f t="shared" si="1"/>
        <v>13250</v>
      </c>
      <c r="O15" s="191">
        <f t="shared" si="1"/>
        <v>11701</v>
      </c>
      <c r="P15" s="191">
        <f t="shared" si="1"/>
        <v>12601</v>
      </c>
      <c r="Q15" s="191">
        <f t="shared" ref="Q15" si="2">+SUM(Q10:Q14)</f>
        <v>13840</v>
      </c>
      <c r="R15" s="191">
        <f t="shared" ref="R15:T15" si="3">+SUM(R10:R14)</f>
        <v>13100</v>
      </c>
      <c r="S15" s="191">
        <f t="shared" si="3"/>
        <v>13208</v>
      </c>
      <c r="T15" s="191">
        <f t="shared" si="3"/>
        <v>14445</v>
      </c>
    </row>
    <row r="16" spans="1:23">
      <c r="P16" s="192"/>
      <c r="T16" s="192"/>
    </row>
    <row r="17" spans="1:22">
      <c r="P17" s="192"/>
      <c r="T17" s="192"/>
    </row>
    <row r="18" spans="1:22">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ht="19.5" customHeight="1">
      <c r="A19" s="180"/>
      <c r="B19" s="197"/>
      <c r="C19" s="197"/>
      <c r="D19" s="197"/>
      <c r="E19" s="197"/>
      <c r="F19" s="197"/>
      <c r="G19" s="197"/>
      <c r="H19" s="197"/>
      <c r="I19" s="197"/>
    </row>
    <row r="20" spans="1:22" ht="19.5" customHeight="1">
      <c r="A20" s="179" t="s">
        <v>251</v>
      </c>
      <c r="B20" s="198">
        <f ca="1">+LINEST(
OFFSET($B$77,0,0,1,SUM($B$71:$T$71)),
OFFSET($B$76,0,0,1,SUM($B$71:$T$71)),
,
1)</f>
        <v>192.3</v>
      </c>
      <c r="C20" s="197"/>
      <c r="D20" s="197"/>
      <c r="E20" s="197"/>
      <c r="F20" s="197"/>
      <c r="G20" s="197"/>
      <c r="H20" s="197"/>
      <c r="I20" s="197"/>
    </row>
    <row r="21" spans="1:22" ht="19.5" customHeight="1">
      <c r="A21" s="180" t="s">
        <v>252</v>
      </c>
      <c r="B21" s="197">
        <f ca="1">RSQ(
OFFSET($B$77,0,0,1,SUM($B$71:$T$71)),
OFFSET($B$76,0,0,1,SUM($B$71:$T$71))
)</f>
        <v>0.15857644674304178</v>
      </c>
      <c r="C21" s="198"/>
      <c r="D21" s="198"/>
      <c r="E21" s="198"/>
      <c r="F21" s="198"/>
      <c r="G21" s="198"/>
      <c r="H21" s="198"/>
      <c r="I21" s="198"/>
    </row>
    <row r="22" spans="1:22" ht="19.5" customHeight="1">
      <c r="A22" s="179" t="s">
        <v>209</v>
      </c>
      <c r="B22" s="199">
        <f ca="1">+B20/T15</f>
        <v>1.3312564901349948E-2</v>
      </c>
      <c r="C22" s="197"/>
      <c r="D22" s="197"/>
      <c r="E22" s="197"/>
      <c r="F22" s="197"/>
      <c r="G22" s="197"/>
      <c r="H22" s="197"/>
      <c r="I22" s="197"/>
    </row>
    <row r="23" spans="1:22" ht="19.5" customHeight="1">
      <c r="A23" s="192" t="s">
        <v>289</v>
      </c>
      <c r="B23" s="217">
        <f ca="1">+B22</f>
        <v>1.3312564901349948E-2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c r="C71" s="206"/>
      <c r="D71" s="206"/>
      <c r="E71" s="206"/>
      <c r="F71" s="206"/>
      <c r="G71" s="206"/>
      <c r="H71" s="206"/>
      <c r="I71" s="206"/>
      <c r="J71" s="206"/>
      <c r="K71" s="206"/>
      <c r="L71" s="206"/>
      <c r="M71" s="206"/>
      <c r="N71" s="206">
        <v>0</v>
      </c>
      <c r="O71" s="206">
        <v>0</v>
      </c>
      <c r="P71" s="206">
        <v>0</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0</v>
      </c>
      <c r="C74" s="208">
        <f>+SUM($B71:C$71)</f>
        <v>0</v>
      </c>
      <c r="D74" s="208">
        <f>+SUM($B71:D$71)</f>
        <v>0</v>
      </c>
      <c r="E74" s="208">
        <f>+SUM($B71:E$71)</f>
        <v>0</v>
      </c>
      <c r="F74" s="208">
        <f>+SUM($B71:F$71)</f>
        <v>0</v>
      </c>
      <c r="G74" s="208">
        <f>+SUM($B71:G$71)</f>
        <v>0</v>
      </c>
      <c r="H74" s="208">
        <f>+SUM($B71:H$71)</f>
        <v>0</v>
      </c>
      <c r="I74" s="208">
        <f>+SUM($B71:I$71)</f>
        <v>0</v>
      </c>
      <c r="J74" s="208">
        <f>+SUM($B71:J$71)</f>
        <v>0</v>
      </c>
      <c r="K74" s="208">
        <f>+SUM($B71:K$71)</f>
        <v>0</v>
      </c>
      <c r="L74" s="208">
        <f>+SUM($B71:L$71)</f>
        <v>0</v>
      </c>
      <c r="M74" s="208">
        <f>+SUM($B71:M$71)</f>
        <v>0</v>
      </c>
      <c r="N74" s="208">
        <f>+SUM($B71:N$71)</f>
        <v>0</v>
      </c>
      <c r="O74" s="208">
        <f>+SUM($B71:O$71)</f>
        <v>0</v>
      </c>
      <c r="P74" s="208">
        <f>+SUM($B71:P$71)</f>
        <v>0</v>
      </c>
      <c r="Q74" s="208">
        <f>+SUM($B71:Q$71)</f>
        <v>1</v>
      </c>
      <c r="R74" s="208">
        <f>+SUM($B71:R$71)</f>
        <v>2</v>
      </c>
      <c r="S74" s="208">
        <f>+SUM($B71:S$71)</f>
        <v>3</v>
      </c>
      <c r="T74" s="208">
        <f>+SUM($B71:T$71)</f>
        <v>4</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2015</v>
      </c>
      <c r="C76" s="209">
        <f t="shared" ca="1" si="12"/>
        <v>2016</v>
      </c>
      <c r="D76" s="209">
        <f t="shared" ca="1" si="12"/>
        <v>2017</v>
      </c>
      <c r="E76" s="209">
        <f t="shared" ca="1" si="12"/>
        <v>2018</v>
      </c>
      <c r="F76" s="209" t="e">
        <f t="shared" ca="1" si="12"/>
        <v>#N/A</v>
      </c>
      <c r="G76" s="209" t="e">
        <f t="shared" ca="1" si="12"/>
        <v>#N/A</v>
      </c>
      <c r="H76" s="209" t="e">
        <f t="shared" ca="1" si="12"/>
        <v>#N/A</v>
      </c>
      <c r="I76" s="209" t="e">
        <f t="shared" ca="1" si="12"/>
        <v>#N/A</v>
      </c>
      <c r="J76" s="209" t="e">
        <f t="shared" ca="1" si="12"/>
        <v>#N/A</v>
      </c>
      <c r="K76" s="209" t="e">
        <f t="shared" ca="1" si="12"/>
        <v>#N/A</v>
      </c>
      <c r="L76" s="209" t="e">
        <f t="shared" ca="1" si="12"/>
        <v>#N/A</v>
      </c>
      <c r="M76" s="209" t="e">
        <f t="shared" ca="1" si="12"/>
        <v>#N/A</v>
      </c>
      <c r="N76" s="209" t="e">
        <f t="shared" ca="1" si="12"/>
        <v>#N/A</v>
      </c>
      <c r="O76" s="209" t="e">
        <f t="shared" ca="1" si="12"/>
        <v>#N/A</v>
      </c>
      <c r="P76" s="209" t="e">
        <f t="shared" ca="1" si="12"/>
        <v>#N/A</v>
      </c>
      <c r="Q76" s="209" t="e">
        <f t="shared" ref="Q76:T76" ca="1" si="13">+OFFSET($A$70,0,MATCH(Q$75,$B$74:$T$74,0))</f>
        <v>#N/A</v>
      </c>
      <c r="R76" s="209" t="e">
        <f t="shared" ca="1" si="13"/>
        <v>#N/A</v>
      </c>
      <c r="S76" s="209" t="e">
        <f t="shared" ca="1" si="13"/>
        <v>#N/A</v>
      </c>
      <c r="T76" s="209" t="e">
        <f t="shared" ca="1" si="13"/>
        <v>#N/A</v>
      </c>
    </row>
    <row r="77" spans="1:23">
      <c r="A77" s="207" t="s">
        <v>216</v>
      </c>
      <c r="B77" s="207">
        <f t="shared" ref="B77:P77" ca="1" si="14">+INDEX(15:15,1,MATCH(B$76,9:9,0))</f>
        <v>13840</v>
      </c>
      <c r="C77" s="207">
        <f t="shared" ca="1" si="14"/>
        <v>13100</v>
      </c>
      <c r="D77" s="207">
        <f t="shared" ca="1" si="14"/>
        <v>13208</v>
      </c>
      <c r="E77" s="207">
        <f t="shared" ca="1" si="14"/>
        <v>14445</v>
      </c>
      <c r="F77" s="207" t="e">
        <f t="shared" ca="1" si="14"/>
        <v>#N/A</v>
      </c>
      <c r="G77" s="207" t="e">
        <f t="shared" ca="1" si="14"/>
        <v>#N/A</v>
      </c>
      <c r="H77" s="207" t="e">
        <f t="shared" ca="1" si="14"/>
        <v>#N/A</v>
      </c>
      <c r="I77" s="207" t="e">
        <f t="shared" ca="1" si="14"/>
        <v>#N/A</v>
      </c>
      <c r="J77" s="207" t="e">
        <f t="shared" ca="1" si="14"/>
        <v>#N/A</v>
      </c>
      <c r="K77" s="207" t="e">
        <f t="shared" ca="1" si="14"/>
        <v>#N/A</v>
      </c>
      <c r="L77" s="207" t="e">
        <f t="shared" ca="1" si="14"/>
        <v>#N/A</v>
      </c>
      <c r="M77" s="207" t="e">
        <f t="shared" ca="1" si="14"/>
        <v>#N/A</v>
      </c>
      <c r="N77" s="207" t="e">
        <f t="shared" ca="1" si="14"/>
        <v>#N/A</v>
      </c>
      <c r="O77" s="207" t="e">
        <f t="shared" ca="1" si="14"/>
        <v>#N/A</v>
      </c>
      <c r="P77" s="207" t="e">
        <f t="shared" ca="1" si="14"/>
        <v>#N/A</v>
      </c>
      <c r="Q77" s="207" t="e">
        <f t="shared" ref="Q77:T77" ca="1" si="15">+INDEX(15:15,1,MATCH(Q$76,9:9,0))</f>
        <v>#N/A</v>
      </c>
      <c r="R77" s="207" t="e">
        <f t="shared" ca="1" si="15"/>
        <v>#N/A</v>
      </c>
      <c r="S77" s="207" t="e">
        <f t="shared" ca="1" si="15"/>
        <v>#N/A</v>
      </c>
      <c r="T77" s="207" t="e">
        <f t="shared" ca="1" si="15"/>
        <v>#N/A</v>
      </c>
    </row>
    <row r="80" spans="1:23">
      <c r="A80" s="210"/>
      <c r="B80" s="211" t="s">
        <v>217</v>
      </c>
      <c r="C80" s="212"/>
    </row>
    <row r="81" spans="1:4">
      <c r="A81" s="210" t="s">
        <v>198</v>
      </c>
      <c r="B81" s="213">
        <f t="array" aca="1" ref="B81:C85" ca="1">+LINEST(
OFFSET($B77,0,0,1,SUM($B71:$T71)),
OFFSET($B76,0,0,1,SUM($B71:$T71)),
,
1)</f>
        <v>192.3</v>
      </c>
      <c r="C81" s="213">
        <f ca="1"/>
        <v>-374124.7</v>
      </c>
      <c r="D81" s="179" t="s">
        <v>218</v>
      </c>
    </row>
    <row r="82" spans="1:4">
      <c r="A82" s="210" t="s">
        <v>219</v>
      </c>
      <c r="B82" s="213">
        <f ca="1"/>
        <v>313.22201391345402</v>
      </c>
      <c r="C82" s="213">
        <f ca="1"/>
        <v>631612.28813743393</v>
      </c>
      <c r="D82" s="179" t="s">
        <v>220</v>
      </c>
    </row>
    <row r="83" spans="1:4">
      <c r="A83" s="210" t="s">
        <v>221</v>
      </c>
      <c r="B83" s="213">
        <f ca="1"/>
        <v>0.15857644674304189</v>
      </c>
      <c r="C83" s="213">
        <f ca="1"/>
        <v>700.38571515986814</v>
      </c>
      <c r="D83" s="179" t="s">
        <v>222</v>
      </c>
    </row>
    <row r="84" spans="1:4">
      <c r="A84" s="214" t="s">
        <v>223</v>
      </c>
      <c r="B84" s="213">
        <f ca="1"/>
        <v>0.37692419264763566</v>
      </c>
      <c r="C84" s="213">
        <f ca="1"/>
        <v>2</v>
      </c>
      <c r="D84" s="179" t="s">
        <v>224</v>
      </c>
    </row>
    <row r="85" spans="1:4">
      <c r="A85" s="214" t="s">
        <v>225</v>
      </c>
      <c r="B85" s="213">
        <f ca="1"/>
        <v>184896.45000000007</v>
      </c>
      <c r="C85" s="213">
        <f ca="1"/>
        <v>981080.29999999993</v>
      </c>
      <c r="D85" s="179" t="s">
        <v>226</v>
      </c>
    </row>
    <row r="86" spans="1:4">
      <c r="A86" s="210"/>
    </row>
    <row r="87" spans="1:4">
      <c r="A87" s="210"/>
    </row>
    <row r="88" spans="1:4">
      <c r="A88" s="210" t="s">
        <v>227</v>
      </c>
      <c r="B88" s="179">
        <f ca="1">+B81/B82</f>
        <v>0.61394152217262155</v>
      </c>
    </row>
    <row r="89" spans="1:4">
      <c r="A89" s="214" t="s">
        <v>228</v>
      </c>
      <c r="B89" s="215">
        <f ca="1">+TDIST(B88,C84,2)</f>
        <v>0.60178341729274787</v>
      </c>
    </row>
  </sheetData>
  <conditionalFormatting sqref="B15:H15 J15:T15">
    <cfRule type="expression" dxfId="11" priority="2">
      <formula>B$71=1</formula>
    </cfRule>
  </conditionalFormatting>
  <conditionalFormatting sqref="B15:I15">
    <cfRule type="expression" dxfId="10"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240</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4"/>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c r="A11" s="189" t="s">
        <v>241</v>
      </c>
      <c r="B11" s="170">
        <f>+'Cost Trends'!F42</f>
        <v>1027</v>
      </c>
      <c r="C11" s="170">
        <f>+'Cost Trends'!G42</f>
        <v>1020</v>
      </c>
      <c r="D11" s="170">
        <f>+'Cost Trends'!H42</f>
        <v>1275</v>
      </c>
      <c r="E11" s="170">
        <f>+'Cost Trends'!I42</f>
        <v>1363</v>
      </c>
      <c r="F11" s="170">
        <f>+'Cost Trends'!J42</f>
        <v>1180</v>
      </c>
      <c r="G11" s="170">
        <f>+'Cost Trends'!K42</f>
        <v>1343</v>
      </c>
      <c r="H11" s="170">
        <f>+'Cost Trends'!L42</f>
        <v>1282</v>
      </c>
      <c r="I11" s="170">
        <f>+'Cost Trends'!M42</f>
        <v>1498</v>
      </c>
      <c r="J11" s="170">
        <f>+'Cost Trends'!N42</f>
        <v>1803</v>
      </c>
      <c r="K11" s="170">
        <f>+'Cost Trends'!O42</f>
        <v>1999</v>
      </c>
      <c r="L11" s="170">
        <f>+'Cost Trends'!P42</f>
        <v>2412</v>
      </c>
      <c r="M11" s="170">
        <f>+'Cost Trends'!Q42</f>
        <v>2734</v>
      </c>
      <c r="N11" s="170">
        <f>+'Cost Trends'!R42</f>
        <v>3276</v>
      </c>
      <c r="O11" s="170">
        <f>+'Cost Trends'!S42</f>
        <v>3868</v>
      </c>
      <c r="P11" s="170">
        <f>+'Cost Trends'!T42</f>
        <v>4389</v>
      </c>
      <c r="Q11" s="170">
        <f>+'Cost Trends'!U42</f>
        <v>5649</v>
      </c>
      <c r="R11" s="170">
        <f>+'Cost Trends'!V42</f>
        <v>6260</v>
      </c>
      <c r="S11" s="170">
        <f>+'Cost Trends'!W42</f>
        <v>6864</v>
      </c>
      <c r="T11" s="170">
        <f>+'Cost Trends'!X42</f>
        <v>7965</v>
      </c>
    </row>
    <row r="12" spans="1:23" s="180" customFormat="1">
      <c r="A12" s="189" t="s">
        <v>242</v>
      </c>
      <c r="B12" s="170"/>
      <c r="C12" s="170"/>
      <c r="D12" s="170"/>
      <c r="E12" s="170"/>
      <c r="F12" s="170"/>
      <c r="G12" s="170"/>
      <c r="H12" s="170"/>
      <c r="I12" s="170">
        <f>+'Riders and Gas Cost Revenue'!V41</f>
        <v>-85</v>
      </c>
      <c r="J12" s="170">
        <f>+'Riders and Gas Cost Revenue'!Y41</f>
        <v>-432</v>
      </c>
      <c r="K12" s="170">
        <f>+'Riders and Gas Cost Revenue'!AB41</f>
        <v>-710</v>
      </c>
      <c r="L12" s="170">
        <f>+'Riders and Gas Cost Revenue'!AE41</f>
        <v>-494</v>
      </c>
      <c r="M12" s="170">
        <f>+'Riders and Gas Cost Revenue'!AH41</f>
        <v>-494</v>
      </c>
      <c r="N12" s="170">
        <f>+'Riders and Gas Cost Revenue'!AK41</f>
        <v>-183</v>
      </c>
      <c r="O12" s="170"/>
      <c r="P12" s="170"/>
      <c r="Q12" s="170">
        <f>+'Riders and Gas Cost Revenue'!AN41</f>
        <v>0</v>
      </c>
      <c r="R12" s="170">
        <f>+'Riders and Gas Cost Revenue'!AO41</f>
        <v>0</v>
      </c>
      <c r="S12" s="170">
        <f>+'Riders and Gas Cost Revenue'!AP41</f>
        <v>0</v>
      </c>
      <c r="T12" s="170">
        <f>+'Riders and Gas Cost Revenue'!AQ41</f>
        <v>0</v>
      </c>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Administrative and General Depreciation Expense</v>
      </c>
      <c r="B15" s="191">
        <f t="shared" ref="B15:P15" si="1">+SUM(B10:B14)</f>
        <v>1027</v>
      </c>
      <c r="C15" s="191">
        <f t="shared" si="1"/>
        <v>1020</v>
      </c>
      <c r="D15" s="191">
        <f t="shared" si="1"/>
        <v>1275</v>
      </c>
      <c r="E15" s="191">
        <f t="shared" si="1"/>
        <v>1363</v>
      </c>
      <c r="F15" s="191">
        <f t="shared" si="1"/>
        <v>1180</v>
      </c>
      <c r="G15" s="191">
        <f t="shared" si="1"/>
        <v>1343</v>
      </c>
      <c r="H15" s="191">
        <f t="shared" si="1"/>
        <v>1282</v>
      </c>
      <c r="I15" s="191">
        <f t="shared" si="1"/>
        <v>1413</v>
      </c>
      <c r="J15" s="191">
        <f t="shared" si="1"/>
        <v>1371</v>
      </c>
      <c r="K15" s="191">
        <f t="shared" si="1"/>
        <v>1289</v>
      </c>
      <c r="L15" s="191">
        <f t="shared" si="1"/>
        <v>1918</v>
      </c>
      <c r="M15" s="191">
        <f t="shared" si="1"/>
        <v>2240</v>
      </c>
      <c r="N15" s="191">
        <f t="shared" si="1"/>
        <v>3093</v>
      </c>
      <c r="O15" s="191">
        <f t="shared" si="1"/>
        <v>3868</v>
      </c>
      <c r="P15" s="191">
        <f t="shared" si="1"/>
        <v>4389</v>
      </c>
      <c r="Q15" s="191">
        <f t="shared" ref="Q15" si="2">+SUM(Q10:Q14)</f>
        <v>5649</v>
      </c>
      <c r="R15" s="191">
        <f t="shared" ref="R15:T15" si="3">+SUM(R10:R14)</f>
        <v>6260</v>
      </c>
      <c r="S15" s="191">
        <f t="shared" si="3"/>
        <v>6864</v>
      </c>
      <c r="T15" s="191">
        <f t="shared" si="3"/>
        <v>7965</v>
      </c>
    </row>
    <row r="16" spans="1:23" s="180" customFormat="1">
      <c r="A16" s="179"/>
      <c r="B16" s="179"/>
      <c r="C16" s="179"/>
      <c r="D16" s="179"/>
      <c r="E16" s="179"/>
      <c r="F16" s="179"/>
      <c r="G16" s="179"/>
      <c r="H16" s="179"/>
      <c r="I16" s="179"/>
      <c r="J16" s="179"/>
      <c r="K16" s="179"/>
      <c r="L16" s="179"/>
      <c r="M16" s="179"/>
      <c r="N16" s="179"/>
      <c r="O16" s="179"/>
      <c r="P16" s="192"/>
      <c r="Q16" s="179"/>
      <c r="R16" s="179"/>
      <c r="S16" s="179"/>
      <c r="T16" s="179"/>
    </row>
    <row r="17" spans="1:22" s="180" customFormat="1">
      <c r="A17" s="179"/>
      <c r="B17" s="179"/>
      <c r="C17" s="179"/>
      <c r="D17" s="179"/>
      <c r="E17" s="179"/>
      <c r="F17" s="179"/>
      <c r="G17" s="179"/>
      <c r="H17" s="179"/>
      <c r="I17" s="179"/>
      <c r="J17" s="179"/>
      <c r="K17" s="179"/>
      <c r="L17" s="179"/>
      <c r="M17" s="179"/>
      <c r="N17" s="179"/>
      <c r="O17" s="179"/>
      <c r="P17" s="192"/>
      <c r="Q17" s="179"/>
      <c r="R17" s="179"/>
      <c r="S17" s="179"/>
      <c r="T17" s="179"/>
    </row>
    <row r="18" spans="1:22" s="180" customFormat="1">
      <c r="A18" s="193" t="s">
        <v>208</v>
      </c>
      <c r="B18" s="194"/>
      <c r="C18" s="195"/>
      <c r="D18" s="193" t="s">
        <v>253</v>
      </c>
      <c r="E18" s="193"/>
      <c r="F18" s="194"/>
      <c r="G18" s="194"/>
      <c r="H18" s="194"/>
      <c r="I18" s="194"/>
      <c r="J18" s="194"/>
      <c r="K18" s="194"/>
      <c r="L18" s="194"/>
      <c r="M18" s="194"/>
      <c r="N18" s="194"/>
      <c r="O18" s="194"/>
      <c r="P18" s="196"/>
      <c r="Q18" s="194"/>
      <c r="R18" s="275"/>
      <c r="S18" s="275"/>
      <c r="T18" s="194"/>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OFFSET($B$77,0,0,1,SUM($B$71:$T$71)),
OFFSET($B$76,0,0,1,SUM($B$71:$T$71)),
,
1)</f>
        <v>357.1649122807018</v>
      </c>
      <c r="C20" s="197"/>
      <c r="D20" s="197"/>
      <c r="E20" s="197"/>
      <c r="F20" s="197"/>
      <c r="G20" s="197"/>
      <c r="H20" s="197"/>
      <c r="I20" s="197"/>
    </row>
    <row r="21" spans="1:22" ht="19.5" customHeight="1">
      <c r="A21" s="180" t="s">
        <v>252</v>
      </c>
      <c r="B21" s="197">
        <f ca="1">RSQ(
OFFSET($B$77,0,0,1,SUM($B$71:$T$71)),
OFFSET($B$76,0,0,1,SUM($B$71:$T$71))
)</f>
        <v>0.7904331656461282</v>
      </c>
      <c r="C21" s="198"/>
      <c r="D21" s="198"/>
      <c r="E21" s="198"/>
      <c r="F21" s="198"/>
      <c r="G21" s="198"/>
      <c r="H21" s="198"/>
      <c r="I21" s="198"/>
    </row>
    <row r="22" spans="1:22" ht="19.5" customHeight="1">
      <c r="A22" s="179" t="s">
        <v>209</v>
      </c>
      <c r="B22" s="199">
        <f ca="1">+B20/T15</f>
        <v>4.4841796896509953E-2</v>
      </c>
      <c r="C22" s="197"/>
      <c r="D22" s="197"/>
      <c r="E22" s="197"/>
      <c r="F22" s="197"/>
      <c r="G22" s="197"/>
      <c r="H22" s="197"/>
      <c r="I22" s="197"/>
    </row>
    <row r="23" spans="1:22" ht="19.5" customHeight="1">
      <c r="A23" s="192" t="s">
        <v>289</v>
      </c>
      <c r="B23" s="217">
        <f ca="1">+B22</f>
        <v>4.4841796896509953E-2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v>1</v>
      </c>
      <c r="C71" s="206">
        <v>1</v>
      </c>
      <c r="D71" s="206">
        <v>1</v>
      </c>
      <c r="E71" s="206">
        <v>1</v>
      </c>
      <c r="F71" s="206">
        <v>1</v>
      </c>
      <c r="G71" s="206">
        <v>1</v>
      </c>
      <c r="H71" s="206">
        <v>1</v>
      </c>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1</v>
      </c>
      <c r="C74" s="208">
        <f>+SUM($B71:C$71)</f>
        <v>2</v>
      </c>
      <c r="D74" s="208">
        <f>+SUM($B71:D$71)</f>
        <v>3</v>
      </c>
      <c r="E74" s="208">
        <f>+SUM($B71:E$71)</f>
        <v>4</v>
      </c>
      <c r="F74" s="208">
        <f>+SUM($B71:F$71)</f>
        <v>5</v>
      </c>
      <c r="G74" s="208">
        <f>+SUM($B71:G$71)</f>
        <v>6</v>
      </c>
      <c r="H74" s="208">
        <f>+SUM($B71:H$71)</f>
        <v>7</v>
      </c>
      <c r="I74" s="208">
        <f>+SUM($B71:I$71)</f>
        <v>8</v>
      </c>
      <c r="J74" s="208">
        <f>+SUM($B71:J$71)</f>
        <v>9</v>
      </c>
      <c r="K74" s="208">
        <f>+SUM($B71:K$71)</f>
        <v>10</v>
      </c>
      <c r="L74" s="208">
        <f>+SUM($B71:L$71)</f>
        <v>11</v>
      </c>
      <c r="M74" s="208">
        <f>+SUM($B71:M$71)</f>
        <v>12</v>
      </c>
      <c r="N74" s="208">
        <f>+SUM($B71:N$71)</f>
        <v>13</v>
      </c>
      <c r="O74" s="208">
        <f>+SUM($B71:O$71)</f>
        <v>14</v>
      </c>
      <c r="P74" s="208">
        <f>+SUM($B71:P$71)</f>
        <v>15</v>
      </c>
      <c r="Q74" s="208">
        <f>+SUM($B71:Q$71)</f>
        <v>16</v>
      </c>
      <c r="R74" s="208">
        <f>+SUM($B71:R$71)</f>
        <v>17</v>
      </c>
      <c r="S74" s="208">
        <f>+SUM($B71:S$71)</f>
        <v>18</v>
      </c>
      <c r="T74" s="208">
        <f>+SUM($B71:T$71)</f>
        <v>19</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2000</v>
      </c>
      <c r="C76" s="209">
        <f t="shared" ca="1" si="12"/>
        <v>2001</v>
      </c>
      <c r="D76" s="209">
        <f t="shared" ca="1" si="12"/>
        <v>2002</v>
      </c>
      <c r="E76" s="209">
        <f t="shared" ca="1" si="12"/>
        <v>2003</v>
      </c>
      <c r="F76" s="209">
        <f t="shared" ca="1" si="12"/>
        <v>2004</v>
      </c>
      <c r="G76" s="209">
        <f t="shared" ca="1" si="12"/>
        <v>2005</v>
      </c>
      <c r="H76" s="209">
        <f t="shared" ca="1" si="12"/>
        <v>2006</v>
      </c>
      <c r="I76" s="209">
        <f t="shared" ca="1" si="12"/>
        <v>2007</v>
      </c>
      <c r="J76" s="209">
        <f t="shared" ca="1" si="12"/>
        <v>2008</v>
      </c>
      <c r="K76" s="209">
        <f t="shared" ca="1" si="12"/>
        <v>2009</v>
      </c>
      <c r="L76" s="209">
        <f t="shared" ca="1" si="12"/>
        <v>2010</v>
      </c>
      <c r="M76" s="209">
        <f t="shared" ca="1" si="12"/>
        <v>2011</v>
      </c>
      <c r="N76" s="209">
        <f t="shared" ca="1" si="12"/>
        <v>2012</v>
      </c>
      <c r="O76" s="209">
        <f t="shared" ca="1" si="12"/>
        <v>2013</v>
      </c>
      <c r="P76" s="209">
        <f t="shared" ca="1" si="12"/>
        <v>2014</v>
      </c>
      <c r="Q76" s="209">
        <f t="shared" ref="Q76:T76" ca="1" si="13">+OFFSET($A$70,0,MATCH(Q$75,$B$74:$T$74,0))</f>
        <v>2015</v>
      </c>
      <c r="R76" s="209">
        <f t="shared" ca="1" si="13"/>
        <v>2016</v>
      </c>
      <c r="S76" s="209">
        <f t="shared" ca="1" si="13"/>
        <v>2017</v>
      </c>
      <c r="T76" s="209">
        <f t="shared" ca="1" si="13"/>
        <v>2018</v>
      </c>
    </row>
    <row r="77" spans="1:23">
      <c r="A77" s="207" t="s">
        <v>216</v>
      </c>
      <c r="B77" s="207">
        <f t="shared" ref="B77:P77" ca="1" si="14">+INDEX(15:15,1,MATCH(B$76,9:9,0))</f>
        <v>1027</v>
      </c>
      <c r="C77" s="207">
        <f t="shared" ca="1" si="14"/>
        <v>1020</v>
      </c>
      <c r="D77" s="207">
        <f t="shared" ca="1" si="14"/>
        <v>1275</v>
      </c>
      <c r="E77" s="207">
        <f t="shared" ca="1" si="14"/>
        <v>1363</v>
      </c>
      <c r="F77" s="207">
        <f t="shared" ca="1" si="14"/>
        <v>1180</v>
      </c>
      <c r="G77" s="207">
        <f t="shared" ca="1" si="14"/>
        <v>1343</v>
      </c>
      <c r="H77" s="207">
        <f t="shared" ca="1" si="14"/>
        <v>1282</v>
      </c>
      <c r="I77" s="207">
        <f t="shared" ca="1" si="14"/>
        <v>1413</v>
      </c>
      <c r="J77" s="207">
        <f t="shared" ca="1" si="14"/>
        <v>1371</v>
      </c>
      <c r="K77" s="207">
        <f t="shared" ca="1" si="14"/>
        <v>1289</v>
      </c>
      <c r="L77" s="207">
        <f t="shared" ca="1" si="14"/>
        <v>1918</v>
      </c>
      <c r="M77" s="207">
        <f t="shared" ca="1" si="14"/>
        <v>2240</v>
      </c>
      <c r="N77" s="207">
        <f t="shared" ca="1" si="14"/>
        <v>3093</v>
      </c>
      <c r="O77" s="207">
        <f t="shared" ca="1" si="14"/>
        <v>3868</v>
      </c>
      <c r="P77" s="207">
        <f t="shared" ca="1" si="14"/>
        <v>4389</v>
      </c>
      <c r="Q77" s="207">
        <f t="shared" ref="Q77:T77" ca="1" si="15">+INDEX(15:15,1,MATCH(Q$76,9:9,0))</f>
        <v>5649</v>
      </c>
      <c r="R77" s="207">
        <f t="shared" ca="1" si="15"/>
        <v>6260</v>
      </c>
      <c r="S77" s="207">
        <f t="shared" ca="1" si="15"/>
        <v>6864</v>
      </c>
      <c r="T77" s="207">
        <f t="shared" ca="1" si="15"/>
        <v>7965</v>
      </c>
    </row>
    <row r="80" spans="1:23">
      <c r="A80" s="210"/>
      <c r="B80" s="211" t="s">
        <v>217</v>
      </c>
      <c r="C80" s="212"/>
    </row>
    <row r="81" spans="1:4">
      <c r="A81" s="210" t="s">
        <v>198</v>
      </c>
      <c r="B81" s="213">
        <f t="array" aca="1" ref="B81:C85" ca="1">+LINEST(
OFFSET($B77,0,0,1,SUM($B71:$T71)),
OFFSET($B76,0,0,1,SUM($B71:$T71)),
,
1)</f>
        <v>357.1649122807018</v>
      </c>
      <c r="C81" s="213">
        <f ca="1"/>
        <v>-714659.62456140365</v>
      </c>
      <c r="D81" s="179" t="s">
        <v>218</v>
      </c>
    </row>
    <row r="82" spans="1:4">
      <c r="A82" s="210" t="s">
        <v>219</v>
      </c>
      <c r="B82" s="213">
        <f ca="1"/>
        <v>44.60391978071911</v>
      </c>
      <c r="C82" s="213">
        <f ca="1"/>
        <v>89609.607869605781</v>
      </c>
      <c r="D82" s="179" t="s">
        <v>220</v>
      </c>
    </row>
    <row r="83" spans="1:4">
      <c r="A83" s="210" t="s">
        <v>221</v>
      </c>
      <c r="B83" s="213">
        <f ca="1"/>
        <v>0.79043316564612831</v>
      </c>
      <c r="C83" s="213">
        <f ca="1"/>
        <v>1064.9039891411576</v>
      </c>
      <c r="D83" s="179" t="s">
        <v>222</v>
      </c>
    </row>
    <row r="84" spans="1:4">
      <c r="A84" s="214" t="s">
        <v>223</v>
      </c>
      <c r="B84" s="213">
        <f ca="1"/>
        <v>64.119706047064838</v>
      </c>
      <c r="C84" s="213">
        <f ca="1"/>
        <v>17</v>
      </c>
      <c r="D84" s="179" t="s">
        <v>224</v>
      </c>
    </row>
    <row r="85" spans="1:4">
      <c r="A85" s="214" t="s">
        <v>225</v>
      </c>
      <c r="B85" s="213">
        <f ca="1"/>
        <v>72713061.501754403</v>
      </c>
      <c r="C85" s="213">
        <f ca="1"/>
        <v>19278348.603508767</v>
      </c>
      <c r="D85" s="179" t="s">
        <v>226</v>
      </c>
    </row>
    <row r="86" spans="1:4">
      <c r="A86" s="210"/>
    </row>
    <row r="87" spans="1:4">
      <c r="A87" s="210"/>
    </row>
    <row r="88" spans="1:4">
      <c r="A88" s="210" t="s">
        <v>227</v>
      </c>
      <c r="B88" s="179">
        <f ca="1">+B81/B82</f>
        <v>8.0074781327871793</v>
      </c>
    </row>
    <row r="89" spans="1:4">
      <c r="A89" s="214" t="s">
        <v>228</v>
      </c>
      <c r="B89" s="215">
        <f ca="1">+TDIST(B88,C84,2)</f>
        <v>3.6037863779259094E-7</v>
      </c>
    </row>
  </sheetData>
  <conditionalFormatting sqref="B15:H15 J15:T15">
    <cfRule type="expression" dxfId="9" priority="2">
      <formula>B$71=1</formula>
    </cfRule>
  </conditionalFormatting>
  <conditionalFormatting sqref="B15:I15">
    <cfRule type="expression" dxfId="8"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88"/>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243</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ht="15" customHeight="1">
      <c r="A11" s="189" t="s">
        <v>244</v>
      </c>
      <c r="B11" s="170">
        <f>+'Cost Trends'!F72</f>
        <v>13695</v>
      </c>
      <c r="C11" s="170">
        <f>+'Cost Trends'!G72</f>
        <v>13533</v>
      </c>
      <c r="D11" s="170">
        <f>+'Cost Trends'!H72</f>
        <v>13439</v>
      </c>
      <c r="E11" s="170">
        <f>+'Cost Trends'!I72</f>
        <v>13712</v>
      </c>
      <c r="F11" s="170">
        <f>+'Cost Trends'!J72</f>
        <v>13632</v>
      </c>
      <c r="G11" s="170">
        <f>+'Cost Trends'!K72</f>
        <v>13708</v>
      </c>
      <c r="H11" s="170">
        <f>+'Cost Trends'!L72</f>
        <v>13854</v>
      </c>
      <c r="I11" s="170">
        <f>+'Cost Trends'!M72</f>
        <v>13758</v>
      </c>
      <c r="J11" s="170">
        <f>+'Cost Trends'!N72</f>
        <v>15260</v>
      </c>
      <c r="K11" s="170">
        <f>+'Cost Trends'!O72</f>
        <v>21798</v>
      </c>
      <c r="L11" s="170">
        <f>+'Cost Trends'!P72</f>
        <v>20047</v>
      </c>
      <c r="M11" s="170">
        <f>+'Cost Trends'!Q72</f>
        <v>22008</v>
      </c>
      <c r="N11" s="170">
        <f>+'Cost Trends'!R72</f>
        <v>24365</v>
      </c>
      <c r="O11" s="170">
        <f>+'Cost Trends'!S72</f>
        <v>24711</v>
      </c>
      <c r="P11" s="170">
        <f>+'Cost Trends'!T72</f>
        <v>25235</v>
      </c>
      <c r="Q11" s="170">
        <f>+'Cost Trends'!U72</f>
        <v>25720</v>
      </c>
      <c r="R11" s="170">
        <f>+'Cost Trends'!V72</f>
        <v>26868</v>
      </c>
      <c r="S11" s="170">
        <f>+'Cost Trends'!W72</f>
        <v>27138</v>
      </c>
      <c r="T11" s="170">
        <f>+'Cost Trends'!X72</f>
        <v>28442</v>
      </c>
    </row>
    <row r="12" spans="1:23" s="180" customFormat="1" ht="15" customHeight="1">
      <c r="A12" s="179" t="s">
        <v>245</v>
      </c>
      <c r="B12" s="216">
        <f>-'Cost Trends'!F78</f>
        <v>-6192</v>
      </c>
      <c r="C12" s="216">
        <f>-'Cost Trends'!G78</f>
        <v>-6220</v>
      </c>
      <c r="D12" s="216">
        <f>-'Cost Trends'!H78</f>
        <v>-6115</v>
      </c>
      <c r="E12" s="216">
        <f>-'Cost Trends'!I78</f>
        <v>-6495</v>
      </c>
      <c r="F12" s="216">
        <f>-'Cost Trends'!J78</f>
        <v>-6659</v>
      </c>
      <c r="G12" s="216">
        <f>-'Cost Trends'!K78</f>
        <v>-6924</v>
      </c>
      <c r="H12" s="216">
        <f>-'Cost Trends'!L78</f>
        <v>-7249</v>
      </c>
      <c r="I12" s="216">
        <f>-'Cost Trends'!M78</f>
        <v>-7427</v>
      </c>
      <c r="J12" s="216">
        <f>-'Cost Trends'!N78</f>
        <v>-7581</v>
      </c>
      <c r="K12" s="216">
        <f>-'Cost Trends'!O78</f>
        <v>-7807</v>
      </c>
      <c r="L12" s="216">
        <f>-'Cost Trends'!P78</f>
        <v>-7912</v>
      </c>
      <c r="M12" s="216">
        <f>-'Cost Trends'!Q78</f>
        <v>-8286</v>
      </c>
      <c r="N12" s="216">
        <f>-'Cost Trends'!R78</f>
        <v>-8677</v>
      </c>
      <c r="O12" s="216">
        <f>-'Cost Trends'!S78</f>
        <v>-9088</v>
      </c>
      <c r="P12" s="216">
        <f>-'Cost Trends'!T78</f>
        <v>-9521</v>
      </c>
      <c r="Q12" s="216">
        <f>-'Cost Trends'!U78</f>
        <v>-9906</v>
      </c>
      <c r="R12" s="216">
        <f>-'Cost Trends'!V78</f>
        <v>-10318</v>
      </c>
      <c r="S12" s="216">
        <f>-'Cost Trends'!W78</f>
        <v>-10493</v>
      </c>
      <c r="T12" s="216">
        <f>-'Cost Trends'!X78</f>
        <v>-11051</v>
      </c>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Undgerground Storage Net Plant</v>
      </c>
      <c r="B15" s="191">
        <f t="shared" ref="B15:P15" si="1">+SUM(B10:B14)</f>
        <v>7503</v>
      </c>
      <c r="C15" s="191">
        <f t="shared" si="1"/>
        <v>7313</v>
      </c>
      <c r="D15" s="191">
        <f t="shared" si="1"/>
        <v>7324</v>
      </c>
      <c r="E15" s="191">
        <f t="shared" si="1"/>
        <v>7217</v>
      </c>
      <c r="F15" s="191">
        <f t="shared" si="1"/>
        <v>6973</v>
      </c>
      <c r="G15" s="191">
        <f t="shared" si="1"/>
        <v>6784</v>
      </c>
      <c r="H15" s="191">
        <f t="shared" si="1"/>
        <v>6605</v>
      </c>
      <c r="I15" s="191">
        <f t="shared" si="1"/>
        <v>6331</v>
      </c>
      <c r="J15" s="191">
        <f t="shared" si="1"/>
        <v>7679</v>
      </c>
      <c r="K15" s="191">
        <f t="shared" si="1"/>
        <v>13991</v>
      </c>
      <c r="L15" s="191">
        <f t="shared" si="1"/>
        <v>12135</v>
      </c>
      <c r="M15" s="191">
        <f t="shared" si="1"/>
        <v>13722</v>
      </c>
      <c r="N15" s="191">
        <f t="shared" si="1"/>
        <v>15688</v>
      </c>
      <c r="O15" s="191">
        <f t="shared" si="1"/>
        <v>15623</v>
      </c>
      <c r="P15" s="191">
        <f t="shared" si="1"/>
        <v>15714</v>
      </c>
      <c r="Q15" s="191">
        <f t="shared" ref="Q15" si="2">+SUM(Q10:Q14)</f>
        <v>15814</v>
      </c>
      <c r="R15" s="191">
        <f t="shared" ref="R15:T15" si="3">+SUM(R10:R14)</f>
        <v>16550</v>
      </c>
      <c r="S15" s="191">
        <f t="shared" si="3"/>
        <v>16645</v>
      </c>
      <c r="T15" s="191">
        <f t="shared" si="3"/>
        <v>17391</v>
      </c>
    </row>
    <row r="16" spans="1:23" s="180" customFormat="1">
      <c r="A16" s="179"/>
      <c r="B16" s="179"/>
      <c r="C16" s="179"/>
      <c r="D16" s="179"/>
      <c r="E16" s="179"/>
      <c r="F16" s="179"/>
      <c r="G16" s="179"/>
      <c r="H16" s="179"/>
      <c r="I16" s="179"/>
      <c r="J16" s="179"/>
      <c r="K16" s="179"/>
      <c r="L16" s="179"/>
      <c r="M16" s="179"/>
      <c r="N16" s="179"/>
      <c r="O16" s="179"/>
      <c r="P16" s="192"/>
      <c r="Q16" s="179"/>
      <c r="R16" s="179"/>
      <c r="S16" s="179"/>
      <c r="T16" s="192"/>
    </row>
    <row r="17" spans="1:22" s="180" customFormat="1">
      <c r="A17" s="179"/>
      <c r="B17" s="179"/>
      <c r="C17" s="179"/>
      <c r="D17" s="179"/>
      <c r="E17" s="179"/>
      <c r="F17" s="179"/>
      <c r="G17" s="179"/>
      <c r="H17" s="179"/>
      <c r="I17" s="179"/>
      <c r="J17" s="179"/>
      <c r="K17" s="179"/>
      <c r="L17" s="179"/>
      <c r="M17" s="179"/>
      <c r="N17" s="179"/>
      <c r="O17" s="179"/>
      <c r="P17" s="192"/>
      <c r="Q17" s="179"/>
      <c r="R17" s="179"/>
      <c r="S17" s="179"/>
      <c r="T17" s="192"/>
    </row>
    <row r="18" spans="1:22" s="180" customFormat="1">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OFFSET($B$76,0,0,1,SUM($B$70:$T$70)),
OFFSET($B$75,0,0,1,SUM($B$70:$T$70)),
,
1)</f>
        <v>285.32142857142856</v>
      </c>
      <c r="C20" s="197"/>
      <c r="D20" s="197"/>
      <c r="E20" s="197"/>
      <c r="F20" s="197"/>
      <c r="G20" s="197"/>
      <c r="H20" s="197"/>
      <c r="I20" s="197"/>
    </row>
    <row r="21" spans="1:22" ht="19.5" customHeight="1">
      <c r="A21" s="180" t="s">
        <v>252</v>
      </c>
      <c r="B21" s="197">
        <f ca="1">RSQ(
OFFSET($B$76,0,0,1,SUM($B$70:$T$70)),
OFFSET($B$75,0,0,1,SUM($B$70:$T$70))
)</f>
        <v>0.83827898697675407</v>
      </c>
      <c r="C21" s="198"/>
      <c r="D21" s="198"/>
      <c r="E21" s="198"/>
      <c r="F21" s="198"/>
      <c r="G21" s="198"/>
      <c r="H21" s="198"/>
      <c r="I21" s="198"/>
    </row>
    <row r="22" spans="1:22" ht="19.5" customHeight="1">
      <c r="A22" s="179" t="s">
        <v>209</v>
      </c>
      <c r="B22" s="199">
        <f ca="1">+B20/T15</f>
        <v>1.6406269252569061E-2</v>
      </c>
      <c r="C22" s="197"/>
      <c r="D22" s="197"/>
      <c r="E22" s="197"/>
      <c r="F22" s="197"/>
      <c r="G22" s="197"/>
      <c r="H22" s="197"/>
      <c r="I22" s="197"/>
    </row>
    <row r="23" spans="1:22" ht="19.5" customHeight="1">
      <c r="A23" s="192" t="s">
        <v>289</v>
      </c>
      <c r="B23" s="217">
        <f ca="1">+B22</f>
        <v>1.6406269252569061E-2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7" spans="1:23">
      <c r="U67" s="204"/>
      <c r="V67" s="204"/>
      <c r="W67" s="204"/>
    </row>
    <row r="68" spans="1:23">
      <c r="A68" s="205" t="s">
        <v>210</v>
      </c>
      <c r="U68" s="203"/>
      <c r="V68" s="203"/>
      <c r="W68" s="203"/>
    </row>
    <row r="69" spans="1:23">
      <c r="A69" s="205" t="s">
        <v>211</v>
      </c>
      <c r="B69" s="205">
        <f t="shared" ref="B69:P69" si="4">+B9</f>
        <v>2000</v>
      </c>
      <c r="C69" s="205">
        <f t="shared" si="4"/>
        <v>2001</v>
      </c>
      <c r="D69" s="205">
        <f t="shared" si="4"/>
        <v>2002</v>
      </c>
      <c r="E69" s="205">
        <f t="shared" si="4"/>
        <v>2003</v>
      </c>
      <c r="F69" s="205">
        <f t="shared" si="4"/>
        <v>2004</v>
      </c>
      <c r="G69" s="205">
        <f t="shared" si="4"/>
        <v>2005</v>
      </c>
      <c r="H69" s="205">
        <f t="shared" si="4"/>
        <v>2006</v>
      </c>
      <c r="I69" s="205">
        <f t="shared" si="4"/>
        <v>2007</v>
      </c>
      <c r="J69" s="205">
        <f t="shared" si="4"/>
        <v>2008</v>
      </c>
      <c r="K69" s="205">
        <f t="shared" si="4"/>
        <v>2009</v>
      </c>
      <c r="L69" s="205">
        <f t="shared" si="4"/>
        <v>2010</v>
      </c>
      <c r="M69" s="205">
        <f t="shared" si="4"/>
        <v>2011</v>
      </c>
      <c r="N69" s="205">
        <f t="shared" si="4"/>
        <v>2012</v>
      </c>
      <c r="O69" s="205">
        <f t="shared" si="4"/>
        <v>2013</v>
      </c>
      <c r="P69" s="205">
        <f t="shared" si="4"/>
        <v>2014</v>
      </c>
      <c r="Q69" s="205">
        <f t="shared" ref="Q69:T69" si="5">+Q9</f>
        <v>2015</v>
      </c>
      <c r="R69" s="205">
        <f t="shared" si="5"/>
        <v>2016</v>
      </c>
      <c r="S69" s="205">
        <f t="shared" si="5"/>
        <v>2017</v>
      </c>
      <c r="T69" s="205">
        <f t="shared" si="5"/>
        <v>2018</v>
      </c>
    </row>
    <row r="70" spans="1:23">
      <c r="A70" s="206" t="s">
        <v>212</v>
      </c>
      <c r="B70" s="206"/>
      <c r="C70" s="206"/>
      <c r="D70" s="206"/>
      <c r="E70" s="206"/>
      <c r="F70" s="206"/>
      <c r="G70" s="206"/>
      <c r="H70" s="206"/>
      <c r="I70" s="206"/>
      <c r="J70" s="206"/>
      <c r="K70" s="206"/>
      <c r="L70" s="206"/>
      <c r="M70" s="206"/>
      <c r="N70" s="206">
        <v>1</v>
      </c>
      <c r="O70" s="206">
        <v>1</v>
      </c>
      <c r="P70" s="206">
        <v>1</v>
      </c>
      <c r="Q70" s="206">
        <v>1</v>
      </c>
      <c r="R70" s="206">
        <v>1</v>
      </c>
      <c r="S70" s="206">
        <v>1</v>
      </c>
      <c r="T70" s="206">
        <v>1</v>
      </c>
    </row>
    <row r="71" spans="1:23">
      <c r="A71" s="198"/>
      <c r="B71" s="198"/>
      <c r="C71" s="198"/>
      <c r="D71" s="198"/>
      <c r="E71" s="198"/>
      <c r="F71" s="198"/>
      <c r="G71" s="198"/>
      <c r="H71" s="198"/>
      <c r="I71" s="198"/>
      <c r="J71" s="198"/>
      <c r="K71" s="198"/>
      <c r="L71" s="198"/>
      <c r="M71" s="198"/>
      <c r="N71" s="198"/>
      <c r="O71" s="198"/>
      <c r="P71" s="198"/>
      <c r="Q71" s="198"/>
      <c r="R71" s="198"/>
      <c r="S71" s="198"/>
      <c r="T71" s="198"/>
      <c r="U71" s="198"/>
      <c r="V71" s="198"/>
      <c r="W71" s="198"/>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207" t="s">
        <v>213</v>
      </c>
      <c r="B73" s="208">
        <f>+SUM($B70:B$70)</f>
        <v>0</v>
      </c>
      <c r="C73" s="208">
        <f>+SUM($B70:C$70)</f>
        <v>0</v>
      </c>
      <c r="D73" s="208">
        <f>+SUM($B70:D$70)</f>
        <v>0</v>
      </c>
      <c r="E73" s="208">
        <f>+SUM($B70:E$70)</f>
        <v>0</v>
      </c>
      <c r="F73" s="208">
        <f>+SUM($B70:F$70)</f>
        <v>0</v>
      </c>
      <c r="G73" s="208">
        <f>+SUM($B70:G$70)</f>
        <v>0</v>
      </c>
      <c r="H73" s="208">
        <f>+SUM($B70:H$70)</f>
        <v>0</v>
      </c>
      <c r="I73" s="208">
        <f>+SUM($B70:I$70)</f>
        <v>0</v>
      </c>
      <c r="J73" s="208">
        <f>+SUM($B70:J$70)</f>
        <v>0</v>
      </c>
      <c r="K73" s="208">
        <f>+SUM($B70:K$70)</f>
        <v>0</v>
      </c>
      <c r="L73" s="208">
        <f>+SUM($B70:L$70)</f>
        <v>0</v>
      </c>
      <c r="M73" s="208">
        <f>+SUM($B70:M$70)</f>
        <v>0</v>
      </c>
      <c r="N73" s="208">
        <f>+SUM($B70:N$70)</f>
        <v>1</v>
      </c>
      <c r="O73" s="208">
        <f>+SUM($B70:O$70)</f>
        <v>2</v>
      </c>
      <c r="P73" s="208">
        <f>+SUM($B70:P$70)</f>
        <v>3</v>
      </c>
      <c r="Q73" s="208">
        <f>+SUM($B70:Q$70)</f>
        <v>4</v>
      </c>
      <c r="R73" s="208">
        <f>+SUM($B70:R$70)</f>
        <v>5</v>
      </c>
      <c r="S73" s="208">
        <f>+SUM($B70:S$70)</f>
        <v>6</v>
      </c>
      <c r="T73" s="208">
        <f>+SUM($B70:T$70)</f>
        <v>7</v>
      </c>
      <c r="U73" s="198"/>
      <c r="V73" s="198"/>
      <c r="W73" s="198"/>
    </row>
    <row r="74" spans="1:23">
      <c r="A74" s="207" t="s">
        <v>214</v>
      </c>
      <c r="B74" s="209">
        <v>1</v>
      </c>
      <c r="C74" s="209">
        <f t="shared" ref="C74:K74" si="6">+B74+1</f>
        <v>2</v>
      </c>
      <c r="D74" s="209">
        <f t="shared" si="6"/>
        <v>3</v>
      </c>
      <c r="E74" s="209">
        <f t="shared" si="6"/>
        <v>4</v>
      </c>
      <c r="F74" s="209">
        <f t="shared" si="6"/>
        <v>5</v>
      </c>
      <c r="G74" s="209">
        <f t="shared" si="6"/>
        <v>6</v>
      </c>
      <c r="H74" s="209">
        <f t="shared" si="6"/>
        <v>7</v>
      </c>
      <c r="I74" s="209">
        <f t="shared" si="6"/>
        <v>8</v>
      </c>
      <c r="J74" s="209">
        <f t="shared" si="6"/>
        <v>9</v>
      </c>
      <c r="K74" s="209">
        <f t="shared" si="6"/>
        <v>10</v>
      </c>
      <c r="L74" s="209">
        <f>+K74+1</f>
        <v>11</v>
      </c>
      <c r="M74" s="209">
        <f t="shared" ref="M74:P74" si="7">+L74+1</f>
        <v>12</v>
      </c>
      <c r="N74" s="209">
        <f t="shared" si="7"/>
        <v>13</v>
      </c>
      <c r="O74" s="209">
        <f t="shared" si="7"/>
        <v>14</v>
      </c>
      <c r="P74" s="209">
        <f t="shared" si="7"/>
        <v>15</v>
      </c>
      <c r="Q74" s="209">
        <f t="shared" ref="Q74" si="8">+P74+1</f>
        <v>16</v>
      </c>
      <c r="R74" s="209">
        <f t="shared" ref="R74" si="9">+Q74+1</f>
        <v>17</v>
      </c>
      <c r="S74" s="209">
        <f t="shared" ref="S74" si="10">+R74+1</f>
        <v>18</v>
      </c>
      <c r="T74" s="209">
        <f t="shared" ref="T74" si="11">+S74+1</f>
        <v>19</v>
      </c>
    </row>
    <row r="75" spans="1:23">
      <c r="A75" s="207" t="s">
        <v>215</v>
      </c>
      <c r="B75" s="209">
        <f t="shared" ref="B75:P75" ca="1" si="12">+OFFSET($A$69,0,MATCH(B$74,$B$73:$T$73,0))</f>
        <v>2012</v>
      </c>
      <c r="C75" s="209">
        <f t="shared" ca="1" si="12"/>
        <v>2013</v>
      </c>
      <c r="D75" s="209">
        <f t="shared" ca="1" si="12"/>
        <v>2014</v>
      </c>
      <c r="E75" s="209">
        <f t="shared" ca="1" si="12"/>
        <v>2015</v>
      </c>
      <c r="F75" s="209">
        <f t="shared" ca="1" si="12"/>
        <v>2016</v>
      </c>
      <c r="G75" s="209">
        <f t="shared" ca="1" si="12"/>
        <v>2017</v>
      </c>
      <c r="H75" s="209">
        <f t="shared" ca="1" si="12"/>
        <v>2018</v>
      </c>
      <c r="I75" s="209" t="e">
        <f t="shared" ca="1" si="12"/>
        <v>#N/A</v>
      </c>
      <c r="J75" s="209" t="e">
        <f t="shared" ca="1" si="12"/>
        <v>#N/A</v>
      </c>
      <c r="K75" s="209" t="e">
        <f t="shared" ca="1" si="12"/>
        <v>#N/A</v>
      </c>
      <c r="L75" s="209" t="e">
        <f t="shared" ca="1" si="12"/>
        <v>#N/A</v>
      </c>
      <c r="M75" s="209" t="e">
        <f t="shared" ca="1" si="12"/>
        <v>#N/A</v>
      </c>
      <c r="N75" s="209" t="e">
        <f t="shared" ca="1" si="12"/>
        <v>#N/A</v>
      </c>
      <c r="O75" s="209" t="e">
        <f t="shared" ca="1" si="12"/>
        <v>#N/A</v>
      </c>
      <c r="P75" s="209" t="e">
        <f t="shared" ca="1" si="12"/>
        <v>#N/A</v>
      </c>
      <c r="Q75" s="209" t="e">
        <f t="shared" ref="Q75:T75" ca="1" si="13">+OFFSET($A$69,0,MATCH(Q$74,$B$73:$T$73,0))</f>
        <v>#N/A</v>
      </c>
      <c r="R75" s="209" t="e">
        <f t="shared" ca="1" si="13"/>
        <v>#N/A</v>
      </c>
      <c r="S75" s="209" t="e">
        <f t="shared" ca="1" si="13"/>
        <v>#N/A</v>
      </c>
      <c r="T75" s="209" t="e">
        <f t="shared" ca="1" si="13"/>
        <v>#N/A</v>
      </c>
    </row>
    <row r="76" spans="1:23">
      <c r="A76" s="207" t="s">
        <v>216</v>
      </c>
      <c r="B76" s="207">
        <f t="shared" ref="B76:P76" ca="1" si="14">+INDEX(15:15,1,MATCH(B$75,9:9,0))</f>
        <v>15688</v>
      </c>
      <c r="C76" s="207">
        <f t="shared" ca="1" si="14"/>
        <v>15623</v>
      </c>
      <c r="D76" s="207">
        <f t="shared" ca="1" si="14"/>
        <v>15714</v>
      </c>
      <c r="E76" s="207">
        <f t="shared" ca="1" si="14"/>
        <v>15814</v>
      </c>
      <c r="F76" s="207">
        <f t="shared" ca="1" si="14"/>
        <v>16550</v>
      </c>
      <c r="G76" s="207">
        <f t="shared" ca="1" si="14"/>
        <v>16645</v>
      </c>
      <c r="H76" s="207">
        <f t="shared" ca="1" si="14"/>
        <v>17391</v>
      </c>
      <c r="I76" s="207" t="e">
        <f t="shared" ca="1" si="14"/>
        <v>#N/A</v>
      </c>
      <c r="J76" s="207" t="e">
        <f t="shared" ca="1" si="14"/>
        <v>#N/A</v>
      </c>
      <c r="K76" s="207" t="e">
        <f t="shared" ca="1" si="14"/>
        <v>#N/A</v>
      </c>
      <c r="L76" s="207" t="e">
        <f t="shared" ca="1" si="14"/>
        <v>#N/A</v>
      </c>
      <c r="M76" s="207" t="e">
        <f t="shared" ca="1" si="14"/>
        <v>#N/A</v>
      </c>
      <c r="N76" s="207" t="e">
        <f t="shared" ca="1" si="14"/>
        <v>#N/A</v>
      </c>
      <c r="O76" s="207" t="e">
        <f t="shared" ca="1" si="14"/>
        <v>#N/A</v>
      </c>
      <c r="P76" s="207" t="e">
        <f t="shared" ca="1" si="14"/>
        <v>#N/A</v>
      </c>
      <c r="Q76" s="207" t="e">
        <f t="shared" ref="Q76:T76" ca="1" si="15">+INDEX(15:15,1,MATCH(Q$75,9:9,0))</f>
        <v>#N/A</v>
      </c>
      <c r="R76" s="207" t="e">
        <f t="shared" ca="1" si="15"/>
        <v>#N/A</v>
      </c>
      <c r="S76" s="207" t="e">
        <f t="shared" ca="1" si="15"/>
        <v>#N/A</v>
      </c>
      <c r="T76" s="207" t="e">
        <f t="shared" ca="1" si="15"/>
        <v>#N/A</v>
      </c>
    </row>
    <row r="79" spans="1:23">
      <c r="A79" s="210"/>
      <c r="B79" s="211" t="s">
        <v>217</v>
      </c>
      <c r="C79" s="212"/>
    </row>
    <row r="80" spans="1:23">
      <c r="A80" s="210" t="s">
        <v>198</v>
      </c>
      <c r="B80" s="213">
        <f t="array" aca="1" ref="B80:C84" ca="1">+LINEST(
OFFSET($B76,0,0,1,SUM($B70:$T70)),
OFFSET($B75,0,0,1,SUM($B70:$T70)),
,
1)</f>
        <v>285.32142857142856</v>
      </c>
      <c r="C80" s="213">
        <f ca="1"/>
        <v>-558719.10714285704</v>
      </c>
      <c r="D80" s="179" t="s">
        <v>218</v>
      </c>
    </row>
    <row r="81" spans="1:4">
      <c r="A81" s="210" t="s">
        <v>219</v>
      </c>
      <c r="B81" s="213">
        <f ca="1"/>
        <v>56.045187217138299</v>
      </c>
      <c r="C81" s="213">
        <f ca="1"/>
        <v>112931.10787049735</v>
      </c>
      <c r="D81" s="179" t="s">
        <v>220</v>
      </c>
    </row>
    <row r="82" spans="1:4">
      <c r="A82" s="210" t="s">
        <v>221</v>
      </c>
      <c r="B82" s="213">
        <f ca="1"/>
        <v>0.8382789869767544</v>
      </c>
      <c r="C82" s="213">
        <f ca="1"/>
        <v>296.5632551172082</v>
      </c>
      <c r="D82" s="179" t="s">
        <v>222</v>
      </c>
    </row>
    <row r="83" spans="1:4">
      <c r="A83" s="214" t="s">
        <v>223</v>
      </c>
      <c r="B83" s="213">
        <f ca="1"/>
        <v>25.917441750635728</v>
      </c>
      <c r="C83" s="213">
        <f ca="1"/>
        <v>5</v>
      </c>
      <c r="D83" s="179" t="s">
        <v>224</v>
      </c>
    </row>
    <row r="84" spans="1:4">
      <c r="A84" s="214" t="s">
        <v>225</v>
      </c>
      <c r="B84" s="213">
        <f ca="1"/>
        <v>2279432.8928571432</v>
      </c>
      <c r="C84" s="213">
        <f ca="1"/>
        <v>439748.82142857154</v>
      </c>
      <c r="D84" s="179" t="s">
        <v>226</v>
      </c>
    </row>
    <row r="85" spans="1:4">
      <c r="A85" s="210"/>
    </row>
    <row r="86" spans="1:4">
      <c r="A86" s="210"/>
    </row>
    <row r="87" spans="1:4">
      <c r="A87" s="210" t="s">
        <v>227</v>
      </c>
      <c r="B87" s="179">
        <f ca="1">+B80/B81</f>
        <v>5.0909175745277713</v>
      </c>
    </row>
    <row r="88" spans="1:4">
      <c r="A88" s="214" t="s">
        <v>228</v>
      </c>
      <c r="B88" s="215">
        <f ca="1">+TDIST(B87,C83,2)</f>
        <v>3.7991938388321285E-3</v>
      </c>
    </row>
  </sheetData>
  <conditionalFormatting sqref="B15:H15 J15:T15">
    <cfRule type="expression" dxfId="7" priority="2">
      <formula>B$70=1</formula>
    </cfRule>
  </conditionalFormatting>
  <conditionalFormatting sqref="B15:I15">
    <cfRule type="expression" dxfId="6"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88"/>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246</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3"/>
      <c r="Q8" s="184"/>
      <c r="R8" s="184"/>
      <c r="S8" s="184"/>
      <c r="T8" s="184"/>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ht="15" customHeight="1">
      <c r="A11" s="189" t="s">
        <v>244</v>
      </c>
      <c r="B11" s="170">
        <f>+'Cost Trends'!F73</f>
        <v>169436</v>
      </c>
      <c r="C11" s="170">
        <f>+'Cost Trends'!G73</f>
        <v>178943</v>
      </c>
      <c r="D11" s="170">
        <f>+'Cost Trends'!H73</f>
        <v>185314</v>
      </c>
      <c r="E11" s="170">
        <f>+'Cost Trends'!I73</f>
        <v>191970</v>
      </c>
      <c r="F11" s="170">
        <f>+'Cost Trends'!J73</f>
        <v>200079</v>
      </c>
      <c r="G11" s="170">
        <f>+'Cost Trends'!K73</f>
        <v>208396</v>
      </c>
      <c r="H11" s="170">
        <f>+'Cost Trends'!L73</f>
        <v>219287</v>
      </c>
      <c r="I11" s="170">
        <f>+'Cost Trends'!M73</f>
        <v>229417</v>
      </c>
      <c r="J11" s="170">
        <f>+'Cost Trends'!N73</f>
        <v>240778</v>
      </c>
      <c r="K11" s="170">
        <f>+'Cost Trends'!O73</f>
        <v>255976</v>
      </c>
      <c r="L11" s="170">
        <f>+'Cost Trends'!P73</f>
        <v>269469</v>
      </c>
      <c r="M11" s="170">
        <f>+'Cost Trends'!Q73</f>
        <v>281279</v>
      </c>
      <c r="N11" s="170">
        <f>+'Cost Trends'!R73</f>
        <v>296152</v>
      </c>
      <c r="O11" s="170">
        <f>+'Cost Trends'!S73</f>
        <v>313469</v>
      </c>
      <c r="P11" s="170">
        <f>+'Cost Trends'!T73</f>
        <v>337894</v>
      </c>
      <c r="Q11" s="170">
        <f>+'Cost Trends'!U73</f>
        <v>360612</v>
      </c>
      <c r="R11" s="170">
        <f>+'Cost Trends'!V73</f>
        <v>390508</v>
      </c>
      <c r="S11" s="170">
        <f>+'Cost Trends'!W73</f>
        <v>422774</v>
      </c>
      <c r="T11" s="170">
        <f>+'Cost Trends'!X73</f>
        <v>455595</v>
      </c>
    </row>
    <row r="12" spans="1:23" s="180" customFormat="1" ht="15" customHeight="1">
      <c r="A12" s="179" t="s">
        <v>245</v>
      </c>
      <c r="B12" s="216">
        <f>-'Cost Trends'!F79</f>
        <v>-47423</v>
      </c>
      <c r="C12" s="216">
        <f>-'Cost Trends'!G79</f>
        <v>-51645</v>
      </c>
      <c r="D12" s="216">
        <f>-'Cost Trends'!H79</f>
        <v>-55845</v>
      </c>
      <c r="E12" s="216">
        <f>-'Cost Trends'!I79</f>
        <v>-60239</v>
      </c>
      <c r="F12" s="216">
        <f>-'Cost Trends'!J79</f>
        <v>-64817</v>
      </c>
      <c r="G12" s="216">
        <f>-'Cost Trends'!K79</f>
        <v>-69428</v>
      </c>
      <c r="H12" s="216">
        <f>-'Cost Trends'!L79</f>
        <v>-74019</v>
      </c>
      <c r="I12" s="216">
        <f>-'Cost Trends'!M79</f>
        <v>-77997</v>
      </c>
      <c r="J12" s="216">
        <f>-'Cost Trends'!N79</f>
        <v>-81405</v>
      </c>
      <c r="K12" s="216">
        <f>-'Cost Trends'!O79</f>
        <v>-84021</v>
      </c>
      <c r="L12" s="216">
        <f>-'Cost Trends'!P79</f>
        <v>-89620</v>
      </c>
      <c r="M12" s="216">
        <f>-'Cost Trends'!Q79</f>
        <v>-97489</v>
      </c>
      <c r="N12" s="216">
        <f>-'Cost Trends'!R79</f>
        <v>-102678</v>
      </c>
      <c r="O12" s="216">
        <f>-'Cost Trends'!S79</f>
        <v>-108662</v>
      </c>
      <c r="P12" s="216">
        <f>-'Cost Trends'!T79</f>
        <v>-114795</v>
      </c>
      <c r="Q12" s="216">
        <f>-'Cost Trends'!U79</f>
        <v>-121623</v>
      </c>
      <c r="R12" s="216">
        <f>-'Cost Trends'!V79</f>
        <v>-129098</v>
      </c>
      <c r="S12" s="216">
        <f>-'Cost Trends'!W79</f>
        <v>-136840</v>
      </c>
      <c r="T12" s="216">
        <f>-'Cost Trends'!X79</f>
        <v>-144969</v>
      </c>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Distribution Net Plant</v>
      </c>
      <c r="B15" s="191">
        <f t="shared" ref="B15:O15" si="1">+SUM(B10:B14)</f>
        <v>122013</v>
      </c>
      <c r="C15" s="191">
        <f t="shared" si="1"/>
        <v>127298</v>
      </c>
      <c r="D15" s="191">
        <f t="shared" si="1"/>
        <v>129469</v>
      </c>
      <c r="E15" s="191">
        <f t="shared" si="1"/>
        <v>131731</v>
      </c>
      <c r="F15" s="191">
        <f t="shared" si="1"/>
        <v>135262</v>
      </c>
      <c r="G15" s="191">
        <f t="shared" si="1"/>
        <v>138968</v>
      </c>
      <c r="H15" s="191">
        <f t="shared" si="1"/>
        <v>145268</v>
      </c>
      <c r="I15" s="191">
        <f t="shared" si="1"/>
        <v>151420</v>
      </c>
      <c r="J15" s="191">
        <f t="shared" si="1"/>
        <v>159373</v>
      </c>
      <c r="K15" s="191">
        <f t="shared" si="1"/>
        <v>171955</v>
      </c>
      <c r="L15" s="191">
        <f t="shared" si="1"/>
        <v>179849</v>
      </c>
      <c r="M15" s="191">
        <f t="shared" si="1"/>
        <v>183790</v>
      </c>
      <c r="N15" s="191">
        <f t="shared" si="1"/>
        <v>193474</v>
      </c>
      <c r="O15" s="191">
        <f t="shared" si="1"/>
        <v>204807</v>
      </c>
      <c r="P15" s="191">
        <f t="shared" ref="P15:Q15" si="2">+SUM(P10:P14)</f>
        <v>223099</v>
      </c>
      <c r="Q15" s="191">
        <f t="shared" si="2"/>
        <v>238989</v>
      </c>
      <c r="R15" s="191">
        <f t="shared" ref="R15:T15" si="3">+SUM(R10:R14)</f>
        <v>261410</v>
      </c>
      <c r="S15" s="191">
        <f t="shared" si="3"/>
        <v>285934</v>
      </c>
      <c r="T15" s="191">
        <f t="shared" si="3"/>
        <v>310626</v>
      </c>
    </row>
    <row r="16" spans="1:23" s="180" customFormat="1">
      <c r="A16" s="179"/>
      <c r="B16" s="179"/>
      <c r="C16" s="179"/>
      <c r="D16" s="179"/>
      <c r="E16" s="179"/>
      <c r="F16" s="179"/>
      <c r="G16" s="179"/>
      <c r="H16" s="179"/>
      <c r="I16" s="179"/>
      <c r="J16" s="179"/>
      <c r="K16" s="179"/>
      <c r="L16" s="179"/>
      <c r="M16" s="179"/>
      <c r="N16" s="179"/>
      <c r="O16" s="179"/>
      <c r="P16" s="179"/>
      <c r="Q16" s="179"/>
      <c r="R16" s="179"/>
      <c r="S16" s="179"/>
      <c r="T16" s="179"/>
    </row>
    <row r="17" spans="1:22" s="180" customFormat="1">
      <c r="A17" s="179"/>
      <c r="B17" s="179"/>
      <c r="C17" s="179"/>
      <c r="D17" s="179"/>
      <c r="E17" s="179"/>
      <c r="F17" s="179"/>
      <c r="G17" s="179"/>
      <c r="H17" s="179"/>
      <c r="I17" s="179"/>
      <c r="J17" s="179"/>
      <c r="K17" s="179"/>
      <c r="L17" s="179"/>
      <c r="M17" s="179"/>
      <c r="N17" s="179"/>
      <c r="O17" s="179"/>
      <c r="P17" s="179"/>
      <c r="Q17" s="179"/>
      <c r="R17" s="179"/>
      <c r="S17" s="179"/>
      <c r="T17" s="179"/>
    </row>
    <row r="18" spans="1:22" s="180" customFormat="1">
      <c r="A18" s="193" t="s">
        <v>208</v>
      </c>
      <c r="B18" s="194"/>
      <c r="C18" s="195"/>
      <c r="D18" s="193" t="s">
        <v>253</v>
      </c>
      <c r="E18" s="193"/>
      <c r="F18" s="194"/>
      <c r="G18" s="194"/>
      <c r="H18" s="194"/>
      <c r="I18" s="194"/>
      <c r="J18" s="194"/>
      <c r="K18" s="194"/>
      <c r="L18" s="194"/>
      <c r="M18" s="194"/>
      <c r="N18" s="194"/>
      <c r="O18" s="194"/>
      <c r="P18" s="194"/>
      <c r="Q18" s="194"/>
      <c r="R18" s="275"/>
      <c r="S18" s="275"/>
      <c r="T18" s="194"/>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OFFSET($B$76,0,0,1,SUM($B$70:$T$70)),
OFFSET($B$75,0,0,1,SUM($B$70:$T$70)),
,
1)</f>
        <v>9589.6754385964887</v>
      </c>
      <c r="C20" s="197"/>
      <c r="D20" s="197"/>
      <c r="E20" s="197"/>
      <c r="F20" s="197"/>
      <c r="G20" s="197"/>
      <c r="H20" s="197"/>
      <c r="I20" s="197"/>
    </row>
    <row r="21" spans="1:22" ht="19.5" customHeight="1">
      <c r="A21" s="180" t="s">
        <v>252</v>
      </c>
      <c r="B21" s="197">
        <f ca="1">RSQ(
OFFSET($B$76,0,0,1,SUM($B$70:$T$70)),
OFFSET($B$75,0,0,1,SUM($B$70:$T$70))
)</f>
        <v>0.9039339858156662</v>
      </c>
      <c r="C21" s="198"/>
      <c r="D21" s="198"/>
      <c r="E21" s="198"/>
      <c r="F21" s="198"/>
      <c r="G21" s="198"/>
      <c r="H21" s="198"/>
      <c r="I21" s="198"/>
    </row>
    <row r="22" spans="1:22" ht="19.5" customHeight="1">
      <c r="A22" s="179" t="s">
        <v>209</v>
      </c>
      <c r="B22" s="199">
        <f ca="1">+B20/T15</f>
        <v>3.087209518390762E-2</v>
      </c>
      <c r="C22" s="197"/>
      <c r="D22" s="197"/>
      <c r="E22" s="197"/>
      <c r="F22" s="197"/>
      <c r="G22" s="197"/>
      <c r="H22" s="197"/>
      <c r="I22" s="197"/>
    </row>
    <row r="23" spans="1:22" ht="19.5" customHeight="1">
      <c r="A23" s="192" t="s">
        <v>289</v>
      </c>
      <c r="B23" s="217">
        <f ca="1">+B22</f>
        <v>3.087209518390762E-2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7" spans="1:23">
      <c r="U67" s="204"/>
      <c r="V67" s="204"/>
      <c r="W67" s="204"/>
    </row>
    <row r="68" spans="1:23">
      <c r="A68" s="205" t="s">
        <v>210</v>
      </c>
      <c r="U68" s="203"/>
      <c r="V68" s="203"/>
      <c r="W68" s="203"/>
    </row>
    <row r="69" spans="1:23">
      <c r="A69" s="205" t="s">
        <v>211</v>
      </c>
      <c r="B69" s="205">
        <f t="shared" ref="B69:O69" si="4">+B9</f>
        <v>2000</v>
      </c>
      <c r="C69" s="205">
        <f t="shared" si="4"/>
        <v>2001</v>
      </c>
      <c r="D69" s="205">
        <f t="shared" si="4"/>
        <v>2002</v>
      </c>
      <c r="E69" s="205">
        <f t="shared" si="4"/>
        <v>2003</v>
      </c>
      <c r="F69" s="205">
        <f t="shared" si="4"/>
        <v>2004</v>
      </c>
      <c r="G69" s="205">
        <f t="shared" si="4"/>
        <v>2005</v>
      </c>
      <c r="H69" s="205">
        <f t="shared" si="4"/>
        <v>2006</v>
      </c>
      <c r="I69" s="205">
        <f t="shared" si="4"/>
        <v>2007</v>
      </c>
      <c r="J69" s="205">
        <f t="shared" si="4"/>
        <v>2008</v>
      </c>
      <c r="K69" s="205">
        <f t="shared" si="4"/>
        <v>2009</v>
      </c>
      <c r="L69" s="205">
        <f t="shared" si="4"/>
        <v>2010</v>
      </c>
      <c r="M69" s="205">
        <f t="shared" si="4"/>
        <v>2011</v>
      </c>
      <c r="N69" s="205">
        <f t="shared" si="4"/>
        <v>2012</v>
      </c>
      <c r="O69" s="205">
        <f t="shared" si="4"/>
        <v>2013</v>
      </c>
      <c r="P69" s="205">
        <f t="shared" ref="P69" si="5">+P9</f>
        <v>2014</v>
      </c>
      <c r="Q69" s="205">
        <f t="shared" ref="Q69:T69" si="6">+Q9</f>
        <v>2015</v>
      </c>
      <c r="R69" s="205">
        <f t="shared" si="6"/>
        <v>2016</v>
      </c>
      <c r="S69" s="205">
        <f t="shared" si="6"/>
        <v>2017</v>
      </c>
      <c r="T69" s="205">
        <f t="shared" si="6"/>
        <v>2018</v>
      </c>
    </row>
    <row r="70" spans="1:23">
      <c r="A70" s="206" t="s">
        <v>212</v>
      </c>
      <c r="B70" s="206">
        <v>1</v>
      </c>
      <c r="C70" s="206">
        <v>1</v>
      </c>
      <c r="D70" s="206">
        <v>1</v>
      </c>
      <c r="E70" s="206">
        <v>1</v>
      </c>
      <c r="F70" s="206">
        <v>1</v>
      </c>
      <c r="G70" s="206">
        <v>1</v>
      </c>
      <c r="H70" s="206">
        <v>1</v>
      </c>
      <c r="I70" s="206">
        <v>1</v>
      </c>
      <c r="J70" s="206">
        <v>1</v>
      </c>
      <c r="K70" s="206">
        <v>1</v>
      </c>
      <c r="L70" s="206">
        <v>1</v>
      </c>
      <c r="M70" s="206">
        <v>1</v>
      </c>
      <c r="N70" s="206">
        <v>1</v>
      </c>
      <c r="O70" s="206">
        <v>1</v>
      </c>
      <c r="P70" s="206">
        <v>1</v>
      </c>
      <c r="Q70" s="206">
        <v>1</v>
      </c>
      <c r="R70" s="206">
        <v>1</v>
      </c>
      <c r="S70" s="206">
        <v>1</v>
      </c>
      <c r="T70" s="206">
        <v>1</v>
      </c>
    </row>
    <row r="71" spans="1:23">
      <c r="A71" s="198"/>
      <c r="B71" s="198"/>
      <c r="C71" s="198"/>
      <c r="D71" s="198"/>
      <c r="E71" s="198"/>
      <c r="F71" s="198"/>
      <c r="G71" s="198"/>
      <c r="H71" s="198"/>
      <c r="I71" s="198"/>
      <c r="J71" s="198"/>
      <c r="K71" s="198"/>
      <c r="L71" s="198"/>
      <c r="M71" s="198"/>
      <c r="N71" s="198"/>
      <c r="O71" s="198"/>
      <c r="P71" s="198"/>
      <c r="Q71" s="198"/>
      <c r="R71" s="198"/>
      <c r="S71" s="198"/>
      <c r="T71" s="198"/>
      <c r="U71" s="198"/>
      <c r="V71" s="198"/>
      <c r="W71" s="198"/>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207" t="s">
        <v>213</v>
      </c>
      <c r="B73" s="208">
        <f>+SUM($B70:B$70)</f>
        <v>1</v>
      </c>
      <c r="C73" s="208">
        <f>+SUM($B70:C$70)</f>
        <v>2</v>
      </c>
      <c r="D73" s="208">
        <f>+SUM($B70:D$70)</f>
        <v>3</v>
      </c>
      <c r="E73" s="208">
        <f>+SUM($B70:E$70)</f>
        <v>4</v>
      </c>
      <c r="F73" s="208">
        <f>+SUM($B70:F$70)</f>
        <v>5</v>
      </c>
      <c r="G73" s="208">
        <f>+SUM($B70:G$70)</f>
        <v>6</v>
      </c>
      <c r="H73" s="208">
        <f>+SUM($B70:H$70)</f>
        <v>7</v>
      </c>
      <c r="I73" s="208">
        <f>+SUM($B70:I$70)</f>
        <v>8</v>
      </c>
      <c r="J73" s="208">
        <f>+SUM($B70:J$70)</f>
        <v>9</v>
      </c>
      <c r="K73" s="208">
        <f>+SUM($B70:K$70)</f>
        <v>10</v>
      </c>
      <c r="L73" s="208">
        <f>+SUM($B70:L$70)</f>
        <v>11</v>
      </c>
      <c r="M73" s="208">
        <f>+SUM($B70:M$70)</f>
        <v>12</v>
      </c>
      <c r="N73" s="208">
        <f>+SUM($B70:N$70)</f>
        <v>13</v>
      </c>
      <c r="O73" s="208">
        <f>+SUM($B70:O$70)</f>
        <v>14</v>
      </c>
      <c r="P73" s="208">
        <f>+SUM($B70:P$70)</f>
        <v>15</v>
      </c>
      <c r="Q73" s="208">
        <f>+SUM($B70:Q$70)</f>
        <v>16</v>
      </c>
      <c r="R73" s="208">
        <f>+SUM($B70:R$70)</f>
        <v>17</v>
      </c>
      <c r="S73" s="208">
        <f>+SUM($B70:S$70)</f>
        <v>18</v>
      </c>
      <c r="T73" s="208">
        <f>+SUM($B70:T$70)</f>
        <v>19</v>
      </c>
      <c r="U73" s="198"/>
      <c r="V73" s="198"/>
      <c r="W73" s="198"/>
    </row>
    <row r="74" spans="1:23">
      <c r="A74" s="207" t="s">
        <v>214</v>
      </c>
      <c r="B74" s="209">
        <v>1</v>
      </c>
      <c r="C74" s="209">
        <f t="shared" ref="C74:K74" si="7">+B74+1</f>
        <v>2</v>
      </c>
      <c r="D74" s="209">
        <f t="shared" si="7"/>
        <v>3</v>
      </c>
      <c r="E74" s="209">
        <f t="shared" si="7"/>
        <v>4</v>
      </c>
      <c r="F74" s="209">
        <f t="shared" si="7"/>
        <v>5</v>
      </c>
      <c r="G74" s="209">
        <f t="shared" si="7"/>
        <v>6</v>
      </c>
      <c r="H74" s="209">
        <f t="shared" si="7"/>
        <v>7</v>
      </c>
      <c r="I74" s="209">
        <f t="shared" si="7"/>
        <v>8</v>
      </c>
      <c r="J74" s="209">
        <f t="shared" si="7"/>
        <v>9</v>
      </c>
      <c r="K74" s="209">
        <f t="shared" si="7"/>
        <v>10</v>
      </c>
      <c r="L74" s="209">
        <f>+K74+1</f>
        <v>11</v>
      </c>
      <c r="M74" s="209">
        <f t="shared" ref="M74:O74" si="8">+L74+1</f>
        <v>12</v>
      </c>
      <c r="N74" s="209">
        <f t="shared" si="8"/>
        <v>13</v>
      </c>
      <c r="O74" s="209">
        <f t="shared" si="8"/>
        <v>14</v>
      </c>
      <c r="P74" s="209">
        <f t="shared" ref="P74" si="9">+O74+1</f>
        <v>15</v>
      </c>
      <c r="Q74" s="209">
        <f t="shared" ref="Q74" si="10">+P74+1</f>
        <v>16</v>
      </c>
      <c r="R74" s="209">
        <f t="shared" ref="R74" si="11">+Q74+1</f>
        <v>17</v>
      </c>
      <c r="S74" s="209">
        <f t="shared" ref="S74" si="12">+R74+1</f>
        <v>18</v>
      </c>
      <c r="T74" s="209">
        <f t="shared" ref="T74" si="13">+S74+1</f>
        <v>19</v>
      </c>
    </row>
    <row r="75" spans="1:23">
      <c r="A75" s="207" t="s">
        <v>215</v>
      </c>
      <c r="B75" s="209">
        <f t="shared" ref="B75:P75" ca="1" si="14">+OFFSET($A$69,0,MATCH(B$74,$B$73:$T$73,0))</f>
        <v>2000</v>
      </c>
      <c r="C75" s="209">
        <f t="shared" ca="1" si="14"/>
        <v>2001</v>
      </c>
      <c r="D75" s="209">
        <f t="shared" ca="1" si="14"/>
        <v>2002</v>
      </c>
      <c r="E75" s="209">
        <f t="shared" ca="1" si="14"/>
        <v>2003</v>
      </c>
      <c r="F75" s="209">
        <f t="shared" ca="1" si="14"/>
        <v>2004</v>
      </c>
      <c r="G75" s="209">
        <f t="shared" ca="1" si="14"/>
        <v>2005</v>
      </c>
      <c r="H75" s="209">
        <f t="shared" ca="1" si="14"/>
        <v>2006</v>
      </c>
      <c r="I75" s="209">
        <f t="shared" ca="1" si="14"/>
        <v>2007</v>
      </c>
      <c r="J75" s="209">
        <f t="shared" ca="1" si="14"/>
        <v>2008</v>
      </c>
      <c r="K75" s="209">
        <f t="shared" ca="1" si="14"/>
        <v>2009</v>
      </c>
      <c r="L75" s="209">
        <f t="shared" ca="1" si="14"/>
        <v>2010</v>
      </c>
      <c r="M75" s="209">
        <f t="shared" ca="1" si="14"/>
        <v>2011</v>
      </c>
      <c r="N75" s="209">
        <f t="shared" ca="1" si="14"/>
        <v>2012</v>
      </c>
      <c r="O75" s="209">
        <f t="shared" ca="1" si="14"/>
        <v>2013</v>
      </c>
      <c r="P75" s="209">
        <f t="shared" ca="1" si="14"/>
        <v>2014</v>
      </c>
      <c r="Q75" s="209">
        <f t="shared" ref="Q75:T75" ca="1" si="15">+OFFSET($A$69,0,MATCH(Q$74,$B$73:$T$73,0))</f>
        <v>2015</v>
      </c>
      <c r="R75" s="209">
        <f t="shared" ca="1" si="15"/>
        <v>2016</v>
      </c>
      <c r="S75" s="209">
        <f t="shared" ca="1" si="15"/>
        <v>2017</v>
      </c>
      <c r="T75" s="209">
        <f t="shared" ca="1" si="15"/>
        <v>2018</v>
      </c>
    </row>
    <row r="76" spans="1:23">
      <c r="A76" s="207" t="s">
        <v>216</v>
      </c>
      <c r="B76" s="207">
        <f t="shared" ref="B76:P76" ca="1" si="16">+INDEX(15:15,1,MATCH(B$75,9:9,0))</f>
        <v>122013</v>
      </c>
      <c r="C76" s="207">
        <f t="shared" ca="1" si="16"/>
        <v>127298</v>
      </c>
      <c r="D76" s="207">
        <f t="shared" ca="1" si="16"/>
        <v>129469</v>
      </c>
      <c r="E76" s="207">
        <f t="shared" ca="1" si="16"/>
        <v>131731</v>
      </c>
      <c r="F76" s="207">
        <f t="shared" ca="1" si="16"/>
        <v>135262</v>
      </c>
      <c r="G76" s="207">
        <f t="shared" ca="1" si="16"/>
        <v>138968</v>
      </c>
      <c r="H76" s="207">
        <f t="shared" ca="1" si="16"/>
        <v>145268</v>
      </c>
      <c r="I76" s="207">
        <f t="shared" ca="1" si="16"/>
        <v>151420</v>
      </c>
      <c r="J76" s="207">
        <f t="shared" ca="1" si="16"/>
        <v>159373</v>
      </c>
      <c r="K76" s="207">
        <f t="shared" ca="1" si="16"/>
        <v>171955</v>
      </c>
      <c r="L76" s="207">
        <f t="shared" ca="1" si="16"/>
        <v>179849</v>
      </c>
      <c r="M76" s="207">
        <f t="shared" ca="1" si="16"/>
        <v>183790</v>
      </c>
      <c r="N76" s="207">
        <f t="shared" ca="1" si="16"/>
        <v>193474</v>
      </c>
      <c r="O76" s="207">
        <f t="shared" ca="1" si="16"/>
        <v>204807</v>
      </c>
      <c r="P76" s="207">
        <f t="shared" ca="1" si="16"/>
        <v>223099</v>
      </c>
      <c r="Q76" s="207">
        <f t="shared" ref="Q76:T76" ca="1" si="17">+INDEX(15:15,1,MATCH(Q$75,9:9,0))</f>
        <v>238989</v>
      </c>
      <c r="R76" s="207">
        <f t="shared" ca="1" si="17"/>
        <v>261410</v>
      </c>
      <c r="S76" s="207">
        <f t="shared" ca="1" si="17"/>
        <v>285934</v>
      </c>
      <c r="T76" s="207">
        <f t="shared" ca="1" si="17"/>
        <v>310626</v>
      </c>
    </row>
    <row r="79" spans="1:23">
      <c r="A79" s="210"/>
      <c r="B79" s="211" t="s">
        <v>217</v>
      </c>
      <c r="C79" s="212"/>
    </row>
    <row r="80" spans="1:23">
      <c r="A80" s="210" t="s">
        <v>198</v>
      </c>
      <c r="B80" s="213">
        <f t="array" aca="1" ref="B80:C84" ca="1">+LINEST(
OFFSET($B76,0,0,1,SUM($B70:$T70)),
OFFSET($B75,0,0,1,SUM($B70:$T70)),
,
1)</f>
        <v>9589.6754385964887</v>
      </c>
      <c r="C80" s="213">
        <f ca="1"/>
        <v>-19081724.535087716</v>
      </c>
      <c r="D80" s="179" t="s">
        <v>218</v>
      </c>
    </row>
    <row r="81" spans="1:4">
      <c r="A81" s="210" t="s">
        <v>219</v>
      </c>
      <c r="B81" s="213">
        <f ca="1"/>
        <v>758.22129307084117</v>
      </c>
      <c r="C81" s="213">
        <f ca="1"/>
        <v>1523272.2389531685</v>
      </c>
      <c r="D81" s="179" t="s">
        <v>220</v>
      </c>
    </row>
    <row r="82" spans="1:4">
      <c r="A82" s="210" t="s">
        <v>221</v>
      </c>
      <c r="B82" s="213">
        <f ca="1"/>
        <v>0.90393398581566609</v>
      </c>
      <c r="C82" s="213">
        <f ca="1"/>
        <v>18102.285261304183</v>
      </c>
      <c r="D82" s="179" t="s">
        <v>222</v>
      </c>
    </row>
    <row r="83" spans="1:4">
      <c r="A83" s="214" t="s">
        <v>223</v>
      </c>
      <c r="B83" s="213">
        <f ca="1"/>
        <v>159.96164605497188</v>
      </c>
      <c r="C83" s="213">
        <f ca="1"/>
        <v>17</v>
      </c>
      <c r="D83" s="179" t="s">
        <v>224</v>
      </c>
    </row>
    <row r="84" spans="1:4">
      <c r="A84" s="214" t="s">
        <v>225</v>
      </c>
      <c r="B84" s="213">
        <f ca="1"/>
        <v>52418268760.043861</v>
      </c>
      <c r="C84" s="213">
        <f ca="1"/>
        <v>5570776438.5877199</v>
      </c>
      <c r="D84" s="179" t="s">
        <v>226</v>
      </c>
    </row>
    <row r="85" spans="1:4">
      <c r="A85" s="210"/>
    </row>
    <row r="86" spans="1:4">
      <c r="A86" s="210"/>
    </row>
    <row r="87" spans="1:4">
      <c r="A87" s="210" t="s">
        <v>227</v>
      </c>
      <c r="B87" s="179">
        <f ca="1">+B80/B81</f>
        <v>12.647594477013083</v>
      </c>
    </row>
    <row r="88" spans="1:4">
      <c r="A88" s="214" t="s">
        <v>228</v>
      </c>
      <c r="B88" s="215">
        <f ca="1">+TDIST(B87,C83,2)</f>
        <v>4.4844328199616056E-10</v>
      </c>
    </row>
  </sheetData>
  <conditionalFormatting sqref="B15:H15 J15:T15">
    <cfRule type="expression" dxfId="5" priority="2">
      <formula>B$70=1</formula>
    </cfRule>
  </conditionalFormatting>
  <conditionalFormatting sqref="B15:I15">
    <cfRule type="expression" dxfId="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88"/>
  <sheetViews>
    <sheetView showGridLines="0" zoomScale="70" zoomScaleNormal="70" zoomScaleSheetLayoutView="70"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247</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ht="15" customHeight="1">
      <c r="A11" s="189" t="s">
        <v>244</v>
      </c>
      <c r="B11" s="170">
        <f>+'Cost Trends'!F74</f>
        <v>14347</v>
      </c>
      <c r="C11" s="170">
        <f>+'Cost Trends'!G74</f>
        <v>15060</v>
      </c>
      <c r="D11" s="170">
        <f>+'Cost Trends'!H74</f>
        <v>15368</v>
      </c>
      <c r="E11" s="170">
        <f>+'Cost Trends'!I74</f>
        <v>16112</v>
      </c>
      <c r="F11" s="170">
        <f>+'Cost Trends'!J74</f>
        <v>16499</v>
      </c>
      <c r="G11" s="170">
        <f>+'Cost Trends'!K74</f>
        <v>17878</v>
      </c>
      <c r="H11" s="170">
        <f>+'Cost Trends'!L74</f>
        <v>20791</v>
      </c>
      <c r="I11" s="170">
        <f>+'Cost Trends'!M74</f>
        <v>21708</v>
      </c>
      <c r="J11" s="170">
        <f>+'Cost Trends'!N74</f>
        <v>24256</v>
      </c>
      <c r="K11" s="170">
        <f>+'Cost Trends'!O74</f>
        <v>27747</v>
      </c>
      <c r="L11" s="170">
        <f>+'Cost Trends'!P74</f>
        <v>33401</v>
      </c>
      <c r="M11" s="170">
        <f>+'Cost Trends'!Q74</f>
        <v>38971</v>
      </c>
      <c r="N11" s="170">
        <f>+'Cost Trends'!R74</f>
        <v>44809</v>
      </c>
      <c r="O11" s="170">
        <f>+'Cost Trends'!S74</f>
        <v>52223</v>
      </c>
      <c r="P11" s="170">
        <f>+'Cost Trends'!T74</f>
        <v>59169</v>
      </c>
      <c r="Q11" s="170">
        <f>+'Cost Trends'!U74</f>
        <v>75514</v>
      </c>
      <c r="R11" s="170">
        <f>+'Cost Trends'!V74</f>
        <v>82624</v>
      </c>
      <c r="S11" s="170">
        <f>+'Cost Trends'!W74</f>
        <v>93491</v>
      </c>
      <c r="T11" s="170">
        <f>+'Cost Trends'!X74</f>
        <v>114053</v>
      </c>
    </row>
    <row r="12" spans="1:23" s="180" customFormat="1" ht="15" customHeight="1">
      <c r="A12" s="179" t="s">
        <v>245</v>
      </c>
      <c r="B12" s="216">
        <f>-'Cost Trends'!F80</f>
        <v>-5661</v>
      </c>
      <c r="C12" s="216">
        <f>-'Cost Trends'!G80</f>
        <v>-5695</v>
      </c>
      <c r="D12" s="216">
        <f>-'Cost Trends'!H80</f>
        <v>-6442</v>
      </c>
      <c r="E12" s="216">
        <f>-'Cost Trends'!I80</f>
        <v>-7446</v>
      </c>
      <c r="F12" s="216">
        <f>-'Cost Trends'!J80</f>
        <v>-6984</v>
      </c>
      <c r="G12" s="216">
        <f>-'Cost Trends'!K80</f>
        <v>-7208</v>
      </c>
      <c r="H12" s="216">
        <f>-'Cost Trends'!L80</f>
        <v>-7230</v>
      </c>
      <c r="I12" s="216">
        <f>-'Cost Trends'!M80</f>
        <v>-7136</v>
      </c>
      <c r="J12" s="216">
        <f>-'Cost Trends'!N80</f>
        <v>-8309</v>
      </c>
      <c r="K12" s="216">
        <f>-'Cost Trends'!O80</f>
        <v>-8882</v>
      </c>
      <c r="L12" s="216">
        <f>-'Cost Trends'!P80</f>
        <v>-10722</v>
      </c>
      <c r="M12" s="216">
        <f>-'Cost Trends'!Q80</f>
        <v>-10926</v>
      </c>
      <c r="N12" s="216">
        <f>-'Cost Trends'!R80</f>
        <v>-12186</v>
      </c>
      <c r="O12" s="216">
        <f>-'Cost Trends'!S80</f>
        <v>-14724</v>
      </c>
      <c r="P12" s="216">
        <f>-'Cost Trends'!T80</f>
        <v>-17429</v>
      </c>
      <c r="Q12" s="216">
        <f>-'Cost Trends'!U80</f>
        <v>-20741</v>
      </c>
      <c r="R12" s="216">
        <f>-'Cost Trends'!V80</f>
        <v>-23473</v>
      </c>
      <c r="S12" s="216">
        <f>-'Cost Trends'!W80</f>
        <v>-27497</v>
      </c>
      <c r="T12" s="216">
        <f>-'Cost Trends'!X80</f>
        <v>-32354</v>
      </c>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General Net Plant</v>
      </c>
      <c r="B15" s="191">
        <f t="shared" ref="B15:P15" si="1">+SUM(B10:B14)</f>
        <v>8686</v>
      </c>
      <c r="C15" s="191">
        <f t="shared" si="1"/>
        <v>9365</v>
      </c>
      <c r="D15" s="191">
        <f t="shared" si="1"/>
        <v>8926</v>
      </c>
      <c r="E15" s="191">
        <f t="shared" si="1"/>
        <v>8666</v>
      </c>
      <c r="F15" s="191">
        <f t="shared" si="1"/>
        <v>9515</v>
      </c>
      <c r="G15" s="191">
        <f t="shared" si="1"/>
        <v>10670</v>
      </c>
      <c r="H15" s="191">
        <f t="shared" si="1"/>
        <v>13561</v>
      </c>
      <c r="I15" s="191">
        <f t="shared" si="1"/>
        <v>14572</v>
      </c>
      <c r="J15" s="191">
        <f t="shared" si="1"/>
        <v>15947</v>
      </c>
      <c r="K15" s="191">
        <f t="shared" si="1"/>
        <v>18865</v>
      </c>
      <c r="L15" s="191">
        <f t="shared" si="1"/>
        <v>22679</v>
      </c>
      <c r="M15" s="191">
        <f t="shared" si="1"/>
        <v>28045</v>
      </c>
      <c r="N15" s="191">
        <f t="shared" si="1"/>
        <v>32623</v>
      </c>
      <c r="O15" s="191">
        <f t="shared" si="1"/>
        <v>37499</v>
      </c>
      <c r="P15" s="191">
        <f t="shared" si="1"/>
        <v>41740</v>
      </c>
      <c r="Q15" s="191">
        <f t="shared" ref="Q15" si="2">+SUM(Q10:Q14)</f>
        <v>54773</v>
      </c>
      <c r="R15" s="191">
        <f t="shared" ref="R15:T15" si="3">+SUM(R10:R14)</f>
        <v>59151</v>
      </c>
      <c r="S15" s="191">
        <f t="shared" si="3"/>
        <v>65994</v>
      </c>
      <c r="T15" s="191">
        <f t="shared" si="3"/>
        <v>81699</v>
      </c>
    </row>
    <row r="16" spans="1:23" s="180" customFormat="1">
      <c r="A16" s="179"/>
      <c r="B16" s="179"/>
      <c r="C16" s="179"/>
      <c r="D16" s="179"/>
      <c r="E16" s="179"/>
      <c r="F16" s="179"/>
      <c r="G16" s="179"/>
      <c r="H16" s="179"/>
      <c r="I16" s="179"/>
      <c r="J16" s="179"/>
      <c r="K16" s="179"/>
      <c r="L16" s="179"/>
      <c r="M16" s="179"/>
      <c r="N16" s="179"/>
      <c r="O16" s="179"/>
      <c r="P16" s="192"/>
      <c r="Q16" s="179"/>
      <c r="R16" s="179"/>
      <c r="S16" s="179"/>
      <c r="T16" s="192"/>
    </row>
    <row r="17" spans="1:22" s="180" customFormat="1">
      <c r="A17" s="179"/>
      <c r="B17" s="179"/>
      <c r="C17" s="179"/>
      <c r="D17" s="179"/>
      <c r="E17" s="179"/>
      <c r="F17" s="179"/>
      <c r="G17" s="179"/>
      <c r="H17" s="179"/>
      <c r="I17" s="179"/>
      <c r="J17" s="179"/>
      <c r="K17" s="179"/>
      <c r="L17" s="179"/>
      <c r="M17" s="179"/>
      <c r="N17" s="179"/>
      <c r="O17" s="179"/>
      <c r="P17" s="192"/>
      <c r="Q17" s="179"/>
      <c r="R17" s="179"/>
      <c r="S17" s="179"/>
      <c r="T17" s="192"/>
    </row>
    <row r="18" spans="1:22" s="180" customFormat="1">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OFFSET($B$76,0,0,1,SUM($B$70:$T$70)),
OFFSET($B$75,0,0,1,SUM($B$70:$T$70)),
,
1)</f>
        <v>3680.1245614035088</v>
      </c>
      <c r="C20" s="197"/>
      <c r="D20" s="197"/>
      <c r="E20" s="197"/>
      <c r="F20" s="197"/>
      <c r="G20" s="197"/>
      <c r="H20" s="197"/>
      <c r="I20" s="197"/>
    </row>
    <row r="21" spans="1:22" ht="19.5" customHeight="1">
      <c r="A21" s="180" t="s">
        <v>252</v>
      </c>
      <c r="B21" s="197">
        <f ca="1">RSQ(
OFFSET($B$76,0,0,1,SUM($B$70:$T$70)),
OFFSET($B$75,0,0,1,SUM($B$70:$T$70))
)</f>
        <v>0.85261557528312271</v>
      </c>
      <c r="C21" s="198"/>
      <c r="D21" s="198"/>
      <c r="E21" s="198"/>
      <c r="F21" s="198"/>
      <c r="G21" s="198"/>
      <c r="H21" s="198"/>
      <c r="I21" s="198"/>
    </row>
    <row r="22" spans="1:22" ht="19.5" customHeight="1">
      <c r="A22" s="179" t="s">
        <v>209</v>
      </c>
      <c r="B22" s="199">
        <f ca="1">+B20/T15</f>
        <v>4.5044915622021182E-2</v>
      </c>
      <c r="C22" s="197"/>
      <c r="D22" s="197"/>
      <c r="E22" s="197"/>
      <c r="F22" s="197"/>
      <c r="G22" s="197"/>
      <c r="H22" s="197"/>
      <c r="I22" s="197"/>
    </row>
    <row r="23" spans="1:22" ht="19.5" customHeight="1">
      <c r="A23" s="192" t="s">
        <v>289</v>
      </c>
      <c r="B23" s="217">
        <f ca="1">+B22</f>
        <v>4.5044915622021182E-2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7" spans="1:23">
      <c r="U67" s="204"/>
      <c r="V67" s="204"/>
      <c r="W67" s="204"/>
    </row>
    <row r="68" spans="1:23">
      <c r="A68" s="205" t="s">
        <v>210</v>
      </c>
      <c r="U68" s="203"/>
      <c r="V68" s="203"/>
      <c r="W68" s="203"/>
    </row>
    <row r="69" spans="1:23">
      <c r="A69" s="205" t="s">
        <v>211</v>
      </c>
      <c r="B69" s="205">
        <f t="shared" ref="B69:P69" si="4">+B9</f>
        <v>2000</v>
      </c>
      <c r="C69" s="205">
        <f t="shared" si="4"/>
        <v>2001</v>
      </c>
      <c r="D69" s="205">
        <f t="shared" si="4"/>
        <v>2002</v>
      </c>
      <c r="E69" s="205">
        <f t="shared" si="4"/>
        <v>2003</v>
      </c>
      <c r="F69" s="205">
        <f t="shared" si="4"/>
        <v>2004</v>
      </c>
      <c r="G69" s="205">
        <f t="shared" si="4"/>
        <v>2005</v>
      </c>
      <c r="H69" s="205">
        <f t="shared" si="4"/>
        <v>2006</v>
      </c>
      <c r="I69" s="205">
        <f t="shared" si="4"/>
        <v>2007</v>
      </c>
      <c r="J69" s="205">
        <f t="shared" si="4"/>
        <v>2008</v>
      </c>
      <c r="K69" s="205">
        <f t="shared" si="4"/>
        <v>2009</v>
      </c>
      <c r="L69" s="205">
        <f t="shared" si="4"/>
        <v>2010</v>
      </c>
      <c r="M69" s="205">
        <f t="shared" si="4"/>
        <v>2011</v>
      </c>
      <c r="N69" s="205">
        <f t="shared" si="4"/>
        <v>2012</v>
      </c>
      <c r="O69" s="205">
        <f t="shared" si="4"/>
        <v>2013</v>
      </c>
      <c r="P69" s="205">
        <f t="shared" si="4"/>
        <v>2014</v>
      </c>
      <c r="Q69" s="205">
        <f t="shared" ref="Q69:T69" si="5">+Q9</f>
        <v>2015</v>
      </c>
      <c r="R69" s="205">
        <f t="shared" si="5"/>
        <v>2016</v>
      </c>
      <c r="S69" s="205">
        <f t="shared" si="5"/>
        <v>2017</v>
      </c>
      <c r="T69" s="205">
        <f t="shared" si="5"/>
        <v>2018</v>
      </c>
    </row>
    <row r="70" spans="1:23">
      <c r="A70" s="206" t="s">
        <v>212</v>
      </c>
      <c r="B70" s="206">
        <v>1</v>
      </c>
      <c r="C70" s="206">
        <v>1</v>
      </c>
      <c r="D70" s="206">
        <v>1</v>
      </c>
      <c r="E70" s="206">
        <v>1</v>
      </c>
      <c r="F70" s="206">
        <v>1</v>
      </c>
      <c r="G70" s="206">
        <v>1</v>
      </c>
      <c r="H70" s="206">
        <v>1</v>
      </c>
      <c r="I70" s="206">
        <v>1</v>
      </c>
      <c r="J70" s="206">
        <v>1</v>
      </c>
      <c r="K70" s="206">
        <v>1</v>
      </c>
      <c r="L70" s="206">
        <v>1</v>
      </c>
      <c r="M70" s="206">
        <v>1</v>
      </c>
      <c r="N70" s="206">
        <v>1</v>
      </c>
      <c r="O70" s="206">
        <v>1</v>
      </c>
      <c r="P70" s="206">
        <v>1</v>
      </c>
      <c r="Q70" s="206">
        <v>1</v>
      </c>
      <c r="R70" s="206">
        <v>1</v>
      </c>
      <c r="S70" s="206">
        <v>1</v>
      </c>
      <c r="T70" s="206">
        <v>1</v>
      </c>
    </row>
    <row r="71" spans="1:23">
      <c r="A71" s="198"/>
      <c r="B71" s="198"/>
      <c r="C71" s="198"/>
      <c r="D71" s="198"/>
      <c r="E71" s="198"/>
      <c r="F71" s="198"/>
      <c r="G71" s="198"/>
      <c r="H71" s="198"/>
      <c r="I71" s="198"/>
      <c r="J71" s="198"/>
      <c r="K71" s="198"/>
      <c r="L71" s="198"/>
      <c r="M71" s="198"/>
      <c r="N71" s="198"/>
      <c r="O71" s="198"/>
      <c r="P71" s="198"/>
      <c r="Q71" s="198"/>
      <c r="R71" s="198"/>
      <c r="S71" s="198"/>
      <c r="T71" s="198"/>
      <c r="U71" s="198"/>
      <c r="V71" s="198"/>
      <c r="W71" s="198"/>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207" t="s">
        <v>213</v>
      </c>
      <c r="B73" s="208">
        <f>+SUM($B70:B$70)</f>
        <v>1</v>
      </c>
      <c r="C73" s="208">
        <f>+SUM($B70:C$70)</f>
        <v>2</v>
      </c>
      <c r="D73" s="208">
        <f>+SUM($B70:D$70)</f>
        <v>3</v>
      </c>
      <c r="E73" s="208">
        <f>+SUM($B70:E$70)</f>
        <v>4</v>
      </c>
      <c r="F73" s="208">
        <f>+SUM($B70:F$70)</f>
        <v>5</v>
      </c>
      <c r="G73" s="208">
        <f>+SUM($B70:G$70)</f>
        <v>6</v>
      </c>
      <c r="H73" s="208">
        <f>+SUM($B70:H$70)</f>
        <v>7</v>
      </c>
      <c r="I73" s="208">
        <f>+SUM($B70:I$70)</f>
        <v>8</v>
      </c>
      <c r="J73" s="208">
        <f>+SUM($B70:J$70)</f>
        <v>9</v>
      </c>
      <c r="K73" s="208">
        <f>+SUM($B70:K$70)</f>
        <v>10</v>
      </c>
      <c r="L73" s="208">
        <f>+SUM($B70:L$70)</f>
        <v>11</v>
      </c>
      <c r="M73" s="208">
        <f>+SUM($B70:M$70)</f>
        <v>12</v>
      </c>
      <c r="N73" s="208">
        <f>+SUM($B70:N$70)</f>
        <v>13</v>
      </c>
      <c r="O73" s="208">
        <f>+SUM($B70:O$70)</f>
        <v>14</v>
      </c>
      <c r="P73" s="208">
        <f>+SUM($B70:P$70)</f>
        <v>15</v>
      </c>
      <c r="Q73" s="208">
        <f>+SUM($B70:Q$70)</f>
        <v>16</v>
      </c>
      <c r="R73" s="208">
        <f>+SUM($B70:R$70)</f>
        <v>17</v>
      </c>
      <c r="S73" s="208">
        <f>+SUM($B70:S$70)</f>
        <v>18</v>
      </c>
      <c r="T73" s="208">
        <f>+SUM($B70:T$70)</f>
        <v>19</v>
      </c>
      <c r="U73" s="198"/>
      <c r="V73" s="198"/>
      <c r="W73" s="198"/>
    </row>
    <row r="74" spans="1:23">
      <c r="A74" s="207" t="s">
        <v>214</v>
      </c>
      <c r="B74" s="209">
        <v>1</v>
      </c>
      <c r="C74" s="209">
        <f t="shared" ref="C74:K74" si="6">+B74+1</f>
        <v>2</v>
      </c>
      <c r="D74" s="209">
        <f t="shared" si="6"/>
        <v>3</v>
      </c>
      <c r="E74" s="209">
        <f t="shared" si="6"/>
        <v>4</v>
      </c>
      <c r="F74" s="209">
        <f t="shared" si="6"/>
        <v>5</v>
      </c>
      <c r="G74" s="209">
        <f t="shared" si="6"/>
        <v>6</v>
      </c>
      <c r="H74" s="209">
        <f t="shared" si="6"/>
        <v>7</v>
      </c>
      <c r="I74" s="209">
        <f t="shared" si="6"/>
        <v>8</v>
      </c>
      <c r="J74" s="209">
        <f t="shared" si="6"/>
        <v>9</v>
      </c>
      <c r="K74" s="209">
        <f t="shared" si="6"/>
        <v>10</v>
      </c>
      <c r="L74" s="209">
        <f>+K74+1</f>
        <v>11</v>
      </c>
      <c r="M74" s="209">
        <f t="shared" ref="M74:P74" si="7">+L74+1</f>
        <v>12</v>
      </c>
      <c r="N74" s="209">
        <f t="shared" si="7"/>
        <v>13</v>
      </c>
      <c r="O74" s="209">
        <f t="shared" si="7"/>
        <v>14</v>
      </c>
      <c r="P74" s="209">
        <f t="shared" si="7"/>
        <v>15</v>
      </c>
      <c r="Q74" s="209">
        <f t="shared" ref="Q74" si="8">+P74+1</f>
        <v>16</v>
      </c>
      <c r="R74" s="209">
        <f t="shared" ref="R74" si="9">+Q74+1</f>
        <v>17</v>
      </c>
      <c r="S74" s="209">
        <f t="shared" ref="S74" si="10">+R74+1</f>
        <v>18</v>
      </c>
      <c r="T74" s="209">
        <f t="shared" ref="T74" si="11">+S74+1</f>
        <v>19</v>
      </c>
    </row>
    <row r="75" spans="1:23">
      <c r="A75" s="207" t="s">
        <v>215</v>
      </c>
      <c r="B75" s="209">
        <f t="shared" ref="B75:P75" ca="1" si="12">+OFFSET($A$69,0,MATCH(B$74,$B$73:$T$73,0))</f>
        <v>2000</v>
      </c>
      <c r="C75" s="209">
        <f t="shared" ca="1" si="12"/>
        <v>2001</v>
      </c>
      <c r="D75" s="209">
        <f t="shared" ca="1" si="12"/>
        <v>2002</v>
      </c>
      <c r="E75" s="209">
        <f t="shared" ca="1" si="12"/>
        <v>2003</v>
      </c>
      <c r="F75" s="209">
        <f t="shared" ca="1" si="12"/>
        <v>2004</v>
      </c>
      <c r="G75" s="209">
        <f t="shared" ca="1" si="12"/>
        <v>2005</v>
      </c>
      <c r="H75" s="209">
        <f t="shared" ca="1" si="12"/>
        <v>2006</v>
      </c>
      <c r="I75" s="209">
        <f t="shared" ca="1" si="12"/>
        <v>2007</v>
      </c>
      <c r="J75" s="209">
        <f t="shared" ca="1" si="12"/>
        <v>2008</v>
      </c>
      <c r="K75" s="209">
        <f t="shared" ca="1" si="12"/>
        <v>2009</v>
      </c>
      <c r="L75" s="209">
        <f t="shared" ca="1" si="12"/>
        <v>2010</v>
      </c>
      <c r="M75" s="209">
        <f t="shared" ca="1" si="12"/>
        <v>2011</v>
      </c>
      <c r="N75" s="209">
        <f t="shared" ca="1" si="12"/>
        <v>2012</v>
      </c>
      <c r="O75" s="209">
        <f t="shared" ca="1" si="12"/>
        <v>2013</v>
      </c>
      <c r="P75" s="209">
        <f t="shared" ca="1" si="12"/>
        <v>2014</v>
      </c>
      <c r="Q75" s="209">
        <f t="shared" ref="Q75:T75" ca="1" si="13">+OFFSET($A$69,0,MATCH(Q$74,$B$73:$T$73,0))</f>
        <v>2015</v>
      </c>
      <c r="R75" s="209">
        <f t="shared" ca="1" si="13"/>
        <v>2016</v>
      </c>
      <c r="S75" s="209">
        <f t="shared" ca="1" si="13"/>
        <v>2017</v>
      </c>
      <c r="T75" s="209">
        <f t="shared" ca="1" si="13"/>
        <v>2018</v>
      </c>
    </row>
    <row r="76" spans="1:23">
      <c r="A76" s="207" t="s">
        <v>216</v>
      </c>
      <c r="B76" s="207">
        <f t="shared" ref="B76:P76" ca="1" si="14">+INDEX(15:15,1,MATCH(B$75,9:9,0))</f>
        <v>8686</v>
      </c>
      <c r="C76" s="207">
        <f t="shared" ca="1" si="14"/>
        <v>9365</v>
      </c>
      <c r="D76" s="207">
        <f t="shared" ca="1" si="14"/>
        <v>8926</v>
      </c>
      <c r="E76" s="207">
        <f t="shared" ca="1" si="14"/>
        <v>8666</v>
      </c>
      <c r="F76" s="207">
        <f t="shared" ca="1" si="14"/>
        <v>9515</v>
      </c>
      <c r="G76" s="207">
        <f t="shared" ca="1" si="14"/>
        <v>10670</v>
      </c>
      <c r="H76" s="207">
        <f t="shared" ca="1" si="14"/>
        <v>13561</v>
      </c>
      <c r="I76" s="207">
        <f t="shared" ca="1" si="14"/>
        <v>14572</v>
      </c>
      <c r="J76" s="207">
        <f t="shared" ca="1" si="14"/>
        <v>15947</v>
      </c>
      <c r="K76" s="207">
        <f t="shared" ca="1" si="14"/>
        <v>18865</v>
      </c>
      <c r="L76" s="207">
        <f t="shared" ca="1" si="14"/>
        <v>22679</v>
      </c>
      <c r="M76" s="207">
        <f t="shared" ca="1" si="14"/>
        <v>28045</v>
      </c>
      <c r="N76" s="207">
        <f t="shared" ca="1" si="14"/>
        <v>32623</v>
      </c>
      <c r="O76" s="207">
        <f t="shared" ca="1" si="14"/>
        <v>37499</v>
      </c>
      <c r="P76" s="207">
        <f t="shared" ca="1" si="14"/>
        <v>41740</v>
      </c>
      <c r="Q76" s="207">
        <f t="shared" ref="Q76:T76" ca="1" si="15">+INDEX(15:15,1,MATCH(Q$75,9:9,0))</f>
        <v>54773</v>
      </c>
      <c r="R76" s="207">
        <f t="shared" ca="1" si="15"/>
        <v>59151</v>
      </c>
      <c r="S76" s="207">
        <f t="shared" ca="1" si="15"/>
        <v>65994</v>
      </c>
      <c r="T76" s="207">
        <f t="shared" ca="1" si="15"/>
        <v>81699</v>
      </c>
    </row>
    <row r="79" spans="1:23">
      <c r="A79" s="210"/>
      <c r="B79" s="211" t="s">
        <v>217</v>
      </c>
      <c r="C79" s="212"/>
    </row>
    <row r="80" spans="1:23">
      <c r="A80" s="210" t="s">
        <v>198</v>
      </c>
      <c r="B80" s="213">
        <f t="array" aca="1" ref="B80:C84" ca="1">+LINEST(
OFFSET($B76,0,0,1,SUM($B70:$T70)),
OFFSET($B75,0,0,1,SUM($B70:$T70)),
,
1)</f>
        <v>3680.1245614035088</v>
      </c>
      <c r="C80" s="213">
        <f ca="1"/>
        <v>-7364792.5596491219</v>
      </c>
      <c r="D80" s="179" t="s">
        <v>218</v>
      </c>
    </row>
    <row r="81" spans="1:4">
      <c r="A81" s="210" t="s">
        <v>219</v>
      </c>
      <c r="B81" s="213">
        <f ca="1"/>
        <v>371.09681090118823</v>
      </c>
      <c r="C81" s="213">
        <f ca="1"/>
        <v>745536.26385301072</v>
      </c>
      <c r="D81" s="179" t="s">
        <v>220</v>
      </c>
    </row>
    <row r="82" spans="1:4">
      <c r="A82" s="210" t="s">
        <v>221</v>
      </c>
      <c r="B82" s="213">
        <f ca="1"/>
        <v>0.85261557528312282</v>
      </c>
      <c r="C82" s="213">
        <f ca="1"/>
        <v>8859.8149272311784</v>
      </c>
      <c r="D82" s="179" t="s">
        <v>222</v>
      </c>
    </row>
    <row r="83" spans="1:4">
      <c r="A83" s="214" t="s">
        <v>223</v>
      </c>
      <c r="B83" s="213">
        <f ca="1"/>
        <v>98.34461685932348</v>
      </c>
      <c r="C83" s="213">
        <f ca="1"/>
        <v>17</v>
      </c>
      <c r="D83" s="179" t="s">
        <v>224</v>
      </c>
    </row>
    <row r="84" spans="1:4">
      <c r="A84" s="214" t="s">
        <v>225</v>
      </c>
      <c r="B84" s="213">
        <f ca="1"/>
        <v>7719690568.8438597</v>
      </c>
      <c r="C84" s="213">
        <f ca="1"/>
        <v>1334437449.2614031</v>
      </c>
      <c r="D84" s="179" t="s">
        <v>226</v>
      </c>
    </row>
    <row r="85" spans="1:4">
      <c r="A85" s="210"/>
    </row>
    <row r="86" spans="1:4">
      <c r="A86" s="210"/>
    </row>
    <row r="87" spans="1:4">
      <c r="A87" s="210" t="s">
        <v>227</v>
      </c>
      <c r="B87" s="179">
        <f ca="1">+B80/B81</f>
        <v>9.9168854414742302</v>
      </c>
    </row>
    <row r="88" spans="1:4">
      <c r="A88" s="214" t="s">
        <v>228</v>
      </c>
      <c r="B88" s="215">
        <f ca="1">+TDIST(B87,C83,2)</f>
        <v>1.7495248599650012E-8</v>
      </c>
    </row>
  </sheetData>
  <conditionalFormatting sqref="B15:H15 J15:T15">
    <cfRule type="expression" dxfId="3" priority="2">
      <formula>B$70=1</formula>
    </cfRule>
  </conditionalFormatting>
  <conditionalFormatting sqref="B15:I15">
    <cfRule type="expression" dxfId="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88"/>
  <sheetViews>
    <sheetView showGridLines="0" zoomScale="70" zoomScaleNormal="70" zoomScaleSheetLayoutView="8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248</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4"/>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ht="15" customHeight="1">
      <c r="A11" s="189" t="s">
        <v>248</v>
      </c>
      <c r="B11" s="170">
        <f>-'Cost Trends'!F83</f>
        <v>13317</v>
      </c>
      <c r="C11" s="170">
        <f>-'Cost Trends'!G83</f>
        <v>14476</v>
      </c>
      <c r="D11" s="170">
        <f>-'Cost Trends'!H83</f>
        <v>15979</v>
      </c>
      <c r="E11" s="170">
        <f>-'Cost Trends'!I83</f>
        <v>22570</v>
      </c>
      <c r="F11" s="170">
        <f>-'Cost Trends'!J83</f>
        <v>26800</v>
      </c>
      <c r="G11" s="170">
        <f>-'Cost Trends'!K83</f>
        <v>23805</v>
      </c>
      <c r="H11" s="170">
        <f>-'Cost Trends'!L83</f>
        <v>24645</v>
      </c>
      <c r="I11" s="170">
        <f>-'Cost Trends'!M83</f>
        <v>26823</v>
      </c>
      <c r="J11" s="170">
        <f>-'Cost Trends'!N83</f>
        <v>28945</v>
      </c>
      <c r="K11" s="170">
        <f>-'Cost Trends'!O83</f>
        <v>31005</v>
      </c>
      <c r="L11" s="170">
        <f>-'Cost Trends'!P83</f>
        <v>36762</v>
      </c>
      <c r="M11" s="170">
        <f>-'Cost Trends'!Q83</f>
        <v>42004</v>
      </c>
      <c r="N11" s="170">
        <f>-'Cost Trends'!R83</f>
        <v>46498</v>
      </c>
      <c r="O11" s="170">
        <f>-'Cost Trends'!S83</f>
        <v>50170</v>
      </c>
      <c r="P11" s="170">
        <f>-'Cost Trends'!T83</f>
        <v>54652</v>
      </c>
      <c r="Q11" s="170">
        <f>-'Cost Trends'!U83</f>
        <v>64929</v>
      </c>
      <c r="R11" s="170">
        <f>-'Cost Trends'!V83</f>
        <v>74181</v>
      </c>
      <c r="S11" s="170">
        <f>-'Cost Trends'!W83</f>
        <v>83133</v>
      </c>
      <c r="T11" s="170">
        <f>-'Cost Trends'!X83</f>
        <v>89585</v>
      </c>
    </row>
    <row r="12" spans="1:23" s="180" customFormat="1" ht="8.25" customHeight="1">
      <c r="A12" s="179"/>
      <c r="B12" s="188"/>
      <c r="C12" s="188"/>
      <c r="D12" s="188"/>
      <c r="E12" s="188"/>
      <c r="F12" s="188"/>
      <c r="G12" s="188"/>
      <c r="H12" s="188"/>
      <c r="I12" s="188"/>
      <c r="J12" s="188"/>
      <c r="K12" s="188"/>
      <c r="L12" s="188"/>
      <c r="M12" s="188"/>
      <c r="N12" s="188"/>
      <c r="O12" s="188"/>
      <c r="P12" s="188"/>
      <c r="Q12" s="188"/>
      <c r="R12" s="188"/>
      <c r="S12" s="188"/>
      <c r="T12" s="188"/>
    </row>
    <row r="13" spans="1:23" s="180" customFormat="1" ht="8.25" customHeight="1">
      <c r="A13" s="179"/>
      <c r="B13" s="188" t="s">
        <v>206</v>
      </c>
      <c r="C13" s="188" t="s">
        <v>206</v>
      </c>
      <c r="D13" s="188" t="s">
        <v>206</v>
      </c>
      <c r="E13" s="188" t="s">
        <v>206</v>
      </c>
      <c r="F13" s="188" t="s">
        <v>206</v>
      </c>
      <c r="G13" s="188" t="s">
        <v>206</v>
      </c>
      <c r="H13" s="188" t="s">
        <v>206</v>
      </c>
      <c r="I13" s="188" t="s">
        <v>206</v>
      </c>
      <c r="J13" s="188" t="s">
        <v>206</v>
      </c>
      <c r="K13" s="188" t="s">
        <v>206</v>
      </c>
      <c r="L13" s="188" t="s">
        <v>206</v>
      </c>
      <c r="M13" s="188" t="s">
        <v>206</v>
      </c>
      <c r="N13" s="188" t="s">
        <v>206</v>
      </c>
      <c r="O13" s="188" t="s">
        <v>206</v>
      </c>
      <c r="P13" s="188" t="s">
        <v>206</v>
      </c>
      <c r="Q13" s="188" t="s">
        <v>206</v>
      </c>
      <c r="R13" s="188" t="s">
        <v>206</v>
      </c>
      <c r="S13" s="188" t="s">
        <v>206</v>
      </c>
      <c r="T13" s="188" t="s">
        <v>206</v>
      </c>
    </row>
    <row r="14" spans="1:23" s="180" customFormat="1" ht="26.25" customHeight="1">
      <c r="A14" s="190" t="str">
        <f>+"Total "&amp;B4</f>
        <v>Total Accumulated Deferred Income Taxes</v>
      </c>
      <c r="B14" s="191">
        <f t="shared" ref="B14:P14" si="1">+SUM(B10:B13)</f>
        <v>13317</v>
      </c>
      <c r="C14" s="191">
        <f t="shared" si="1"/>
        <v>14476</v>
      </c>
      <c r="D14" s="191">
        <f t="shared" si="1"/>
        <v>15979</v>
      </c>
      <c r="E14" s="191">
        <f t="shared" si="1"/>
        <v>22570</v>
      </c>
      <c r="F14" s="191">
        <f t="shared" si="1"/>
        <v>26800</v>
      </c>
      <c r="G14" s="191">
        <f t="shared" si="1"/>
        <v>23805</v>
      </c>
      <c r="H14" s="191">
        <f t="shared" si="1"/>
        <v>24645</v>
      </c>
      <c r="I14" s="191">
        <f t="shared" si="1"/>
        <v>26823</v>
      </c>
      <c r="J14" s="191">
        <f t="shared" si="1"/>
        <v>28945</v>
      </c>
      <c r="K14" s="191">
        <f t="shared" si="1"/>
        <v>31005</v>
      </c>
      <c r="L14" s="191">
        <f t="shared" si="1"/>
        <v>36762</v>
      </c>
      <c r="M14" s="191">
        <f t="shared" si="1"/>
        <v>42004</v>
      </c>
      <c r="N14" s="191">
        <f t="shared" si="1"/>
        <v>46498</v>
      </c>
      <c r="O14" s="191">
        <f t="shared" si="1"/>
        <v>50170</v>
      </c>
      <c r="P14" s="191">
        <f t="shared" si="1"/>
        <v>54652</v>
      </c>
      <c r="Q14" s="191">
        <f t="shared" ref="Q14" si="2">+SUM(Q10:Q13)</f>
        <v>64929</v>
      </c>
      <c r="R14" s="191">
        <f t="shared" ref="R14:T14" si="3">+SUM(R10:R13)</f>
        <v>74181</v>
      </c>
      <c r="S14" s="191">
        <f t="shared" si="3"/>
        <v>83133</v>
      </c>
      <c r="T14" s="191">
        <f t="shared" si="3"/>
        <v>89585</v>
      </c>
    </row>
    <row r="15" spans="1:23" s="180" customFormat="1">
      <c r="A15" s="179"/>
      <c r="B15" s="179"/>
      <c r="C15" s="179"/>
      <c r="D15" s="179"/>
      <c r="E15" s="179"/>
      <c r="F15" s="179"/>
      <c r="G15" s="179"/>
      <c r="H15" s="179"/>
      <c r="I15" s="179"/>
      <c r="J15" s="179"/>
      <c r="K15" s="179"/>
      <c r="L15" s="179"/>
      <c r="M15" s="179"/>
      <c r="N15" s="179"/>
      <c r="O15" s="179"/>
      <c r="P15" s="192"/>
      <c r="Q15" s="179"/>
      <c r="R15" s="179"/>
      <c r="S15" s="179"/>
      <c r="T15" s="179"/>
    </row>
    <row r="16" spans="1:23" s="180" customFormat="1">
      <c r="A16" s="179"/>
      <c r="B16" s="179"/>
      <c r="C16" s="179"/>
      <c r="D16" s="179"/>
      <c r="E16" s="179"/>
      <c r="F16" s="179"/>
      <c r="G16" s="179"/>
      <c r="H16" s="179"/>
      <c r="I16" s="179"/>
      <c r="J16" s="179"/>
      <c r="K16" s="179"/>
      <c r="L16" s="179"/>
      <c r="M16" s="179"/>
      <c r="N16" s="179"/>
      <c r="O16" s="179"/>
      <c r="P16" s="192"/>
      <c r="Q16" s="179"/>
      <c r="R16" s="179"/>
      <c r="S16" s="179"/>
      <c r="T16" s="179"/>
    </row>
    <row r="17" spans="1:22" s="180" customFormat="1">
      <c r="A17" s="193" t="s">
        <v>208</v>
      </c>
      <c r="B17" s="194"/>
      <c r="C17" s="195"/>
      <c r="D17" s="193" t="s">
        <v>253</v>
      </c>
      <c r="E17" s="193"/>
      <c r="F17" s="194"/>
      <c r="G17" s="194"/>
      <c r="H17" s="194"/>
      <c r="I17" s="194"/>
      <c r="J17" s="194"/>
      <c r="K17" s="194"/>
      <c r="L17" s="194"/>
      <c r="M17" s="194"/>
      <c r="N17" s="194"/>
      <c r="O17" s="194"/>
      <c r="P17" s="196"/>
      <c r="Q17" s="194"/>
      <c r="R17" s="275"/>
      <c r="S17" s="275"/>
      <c r="T17" s="194"/>
    </row>
    <row r="18" spans="1:22" s="180" customFormat="1" ht="19.5" customHeight="1">
      <c r="B18" s="197"/>
      <c r="C18" s="197"/>
      <c r="D18" s="197"/>
      <c r="E18" s="197"/>
      <c r="F18" s="197"/>
      <c r="G18" s="197"/>
      <c r="H18" s="197"/>
      <c r="I18" s="197"/>
      <c r="J18" s="179"/>
      <c r="K18" s="179"/>
      <c r="L18" s="179"/>
      <c r="M18" s="179"/>
      <c r="N18" s="179"/>
      <c r="O18" s="179"/>
      <c r="P18" s="179"/>
      <c r="Q18" s="179"/>
      <c r="R18" s="179"/>
      <c r="S18" s="179"/>
      <c r="T18" s="179"/>
    </row>
    <row r="19" spans="1:22" ht="19.5" customHeight="1">
      <c r="A19" s="179" t="s">
        <v>251</v>
      </c>
      <c r="B19" s="198">
        <f ca="1">+LINEST(
OFFSET($B$76,0,0,1,SUM($B$70:$T$70)),
OFFSET($B$75,0,0,1,SUM($B$70:$T$70)),
,
1)</f>
        <v>6499.8606060606062</v>
      </c>
      <c r="C19" s="197"/>
      <c r="D19" s="197"/>
      <c r="E19" s="197"/>
      <c r="F19" s="197"/>
      <c r="G19" s="197"/>
      <c r="H19" s="197"/>
      <c r="I19" s="197"/>
    </row>
    <row r="20" spans="1:22" ht="19.5" customHeight="1">
      <c r="A20" s="180" t="s">
        <v>252</v>
      </c>
      <c r="B20" s="197">
        <f ca="1">RSQ(
OFFSET($B$76,0,0,1,SUM($B$70:$T$70)),
OFFSET($B$75,0,0,1,SUM($B$70:$T$70))
)</f>
        <v>0.97507536780617876</v>
      </c>
      <c r="C20" s="198"/>
      <c r="D20" s="198"/>
      <c r="E20" s="198"/>
      <c r="F20" s="198"/>
      <c r="G20" s="198"/>
      <c r="H20" s="198"/>
      <c r="I20" s="198"/>
    </row>
    <row r="21" spans="1:22" ht="19.5" customHeight="1">
      <c r="A21" s="179" t="s">
        <v>209</v>
      </c>
      <c r="B21" s="199">
        <f ca="1">+B19/T14</f>
        <v>7.2555233644701747E-2</v>
      </c>
      <c r="C21" s="197"/>
      <c r="D21" s="197"/>
      <c r="E21" s="197"/>
      <c r="F21" s="197"/>
      <c r="G21" s="197"/>
      <c r="H21" s="197"/>
      <c r="I21" s="197"/>
    </row>
    <row r="22" spans="1:22" ht="19.5" customHeight="1">
      <c r="A22" s="192" t="s">
        <v>289</v>
      </c>
      <c r="B22" s="217">
        <f ca="1">+B21</f>
        <v>7.2555233644701747E-2</v>
      </c>
      <c r="C22" s="199"/>
      <c r="D22" s="199"/>
      <c r="E22" s="199"/>
      <c r="F22" s="199"/>
      <c r="G22" s="199"/>
      <c r="H22" s="199"/>
      <c r="I22" s="199"/>
    </row>
    <row r="23" spans="1:22" ht="19.5" customHeight="1">
      <c r="C23" s="200"/>
      <c r="D23" s="200"/>
      <c r="E23" s="200"/>
      <c r="F23" s="200"/>
      <c r="G23" s="200"/>
      <c r="H23" s="200"/>
      <c r="I23" s="200"/>
      <c r="L23" s="201"/>
    </row>
    <row r="25" spans="1:22">
      <c r="U25" s="202"/>
      <c r="V25" s="202"/>
    </row>
    <row r="26" spans="1:22">
      <c r="U26" s="203"/>
      <c r="V26" s="203"/>
    </row>
    <row r="27" spans="1:22">
      <c r="U27" s="203"/>
      <c r="V27" s="203"/>
    </row>
    <row r="28" spans="1:22">
      <c r="U28" s="203"/>
      <c r="V28" s="203"/>
    </row>
    <row r="29" spans="1:22">
      <c r="U29" s="203"/>
      <c r="V29" s="203"/>
    </row>
    <row r="30" spans="1:22">
      <c r="U30" s="203"/>
      <c r="V30" s="203"/>
    </row>
    <row r="33" spans="21:23">
      <c r="U33" s="204"/>
      <c r="V33" s="204"/>
      <c r="W33" s="204"/>
    </row>
    <row r="34" spans="21:23">
      <c r="U34" s="203"/>
      <c r="V34" s="203"/>
      <c r="W34" s="203"/>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8" spans="21:23">
      <c r="U58" s="204"/>
      <c r="V58" s="204"/>
      <c r="W58" s="204"/>
    </row>
    <row r="59" spans="21:23">
      <c r="U59" s="203"/>
      <c r="V59" s="203"/>
      <c r="W59" s="203"/>
    </row>
    <row r="60" spans="21:23">
      <c r="U60" s="203"/>
      <c r="V60" s="203"/>
      <c r="W60" s="203"/>
    </row>
    <row r="61" spans="21:23">
      <c r="U61" s="203"/>
      <c r="V61" s="203"/>
      <c r="W61" s="203"/>
    </row>
    <row r="67" spans="1:23">
      <c r="U67" s="204"/>
      <c r="V67" s="204"/>
      <c r="W67" s="204"/>
    </row>
    <row r="68" spans="1:23">
      <c r="A68" s="205" t="s">
        <v>210</v>
      </c>
      <c r="U68" s="203"/>
      <c r="V68" s="203"/>
      <c r="W68" s="203"/>
    </row>
    <row r="69" spans="1:23">
      <c r="A69" s="205" t="s">
        <v>211</v>
      </c>
      <c r="B69" s="205">
        <f t="shared" ref="B69:P69" si="4">+B9</f>
        <v>2000</v>
      </c>
      <c r="C69" s="205">
        <f t="shared" si="4"/>
        <v>2001</v>
      </c>
      <c r="D69" s="205">
        <f t="shared" si="4"/>
        <v>2002</v>
      </c>
      <c r="E69" s="205">
        <f t="shared" si="4"/>
        <v>2003</v>
      </c>
      <c r="F69" s="205">
        <f t="shared" si="4"/>
        <v>2004</v>
      </c>
      <c r="G69" s="205">
        <f t="shared" si="4"/>
        <v>2005</v>
      </c>
      <c r="H69" s="205">
        <f t="shared" si="4"/>
        <v>2006</v>
      </c>
      <c r="I69" s="205">
        <f t="shared" si="4"/>
        <v>2007</v>
      </c>
      <c r="J69" s="205">
        <f t="shared" si="4"/>
        <v>2008</v>
      </c>
      <c r="K69" s="205">
        <f t="shared" si="4"/>
        <v>2009</v>
      </c>
      <c r="L69" s="205">
        <f t="shared" si="4"/>
        <v>2010</v>
      </c>
      <c r="M69" s="205">
        <f t="shared" si="4"/>
        <v>2011</v>
      </c>
      <c r="N69" s="205">
        <f t="shared" si="4"/>
        <v>2012</v>
      </c>
      <c r="O69" s="205">
        <f t="shared" si="4"/>
        <v>2013</v>
      </c>
      <c r="P69" s="205">
        <f t="shared" si="4"/>
        <v>2014</v>
      </c>
      <c r="Q69" s="205">
        <f t="shared" ref="Q69:S69" si="5">+Q9</f>
        <v>2015</v>
      </c>
      <c r="R69" s="205">
        <f t="shared" si="5"/>
        <v>2016</v>
      </c>
      <c r="S69" s="205">
        <f t="shared" si="5"/>
        <v>2017</v>
      </c>
      <c r="T69" s="205">
        <f t="shared" ref="T69" si="6">+T9</f>
        <v>2018</v>
      </c>
    </row>
    <row r="70" spans="1:23">
      <c r="A70" s="206" t="s">
        <v>212</v>
      </c>
      <c r="B70" s="206"/>
      <c r="C70" s="206"/>
      <c r="D70" s="206"/>
      <c r="E70" s="206"/>
      <c r="F70" s="206"/>
      <c r="G70" s="206"/>
      <c r="H70" s="206"/>
      <c r="I70" s="206"/>
      <c r="J70" s="206"/>
      <c r="K70" s="206">
        <v>1</v>
      </c>
      <c r="L70" s="206">
        <v>1</v>
      </c>
      <c r="M70" s="206">
        <v>1</v>
      </c>
      <c r="N70" s="206">
        <v>1</v>
      </c>
      <c r="O70" s="206">
        <v>1</v>
      </c>
      <c r="P70" s="206">
        <v>1</v>
      </c>
      <c r="Q70" s="206">
        <v>1</v>
      </c>
      <c r="R70" s="206">
        <v>1</v>
      </c>
      <c r="S70" s="206">
        <v>1</v>
      </c>
      <c r="T70" s="206">
        <v>1</v>
      </c>
    </row>
    <row r="71" spans="1:23">
      <c r="A71" s="198"/>
      <c r="B71" s="198"/>
      <c r="C71" s="198"/>
      <c r="D71" s="198"/>
      <c r="E71" s="198"/>
      <c r="F71" s="198"/>
      <c r="G71" s="198"/>
      <c r="H71" s="198"/>
      <c r="I71" s="198"/>
      <c r="J71" s="198"/>
      <c r="K71" s="198"/>
      <c r="L71" s="198"/>
      <c r="M71" s="198"/>
      <c r="N71" s="198"/>
      <c r="O71" s="198"/>
      <c r="P71" s="198"/>
      <c r="Q71" s="198"/>
      <c r="R71" s="198"/>
      <c r="S71" s="198"/>
      <c r="T71" s="198"/>
      <c r="U71" s="198"/>
      <c r="V71" s="198"/>
      <c r="W71" s="198"/>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207" t="s">
        <v>213</v>
      </c>
      <c r="B73" s="208">
        <f>+SUM($B70:B$70)</f>
        <v>0</v>
      </c>
      <c r="C73" s="208">
        <f>+SUM($B70:C$70)</f>
        <v>0</v>
      </c>
      <c r="D73" s="208">
        <f>+SUM($B70:D$70)</f>
        <v>0</v>
      </c>
      <c r="E73" s="208">
        <f>+SUM($B70:E$70)</f>
        <v>0</v>
      </c>
      <c r="F73" s="208">
        <f>+SUM($B70:F$70)</f>
        <v>0</v>
      </c>
      <c r="G73" s="208">
        <f>+SUM($B70:G$70)</f>
        <v>0</v>
      </c>
      <c r="H73" s="208">
        <f>+SUM($B70:H$70)</f>
        <v>0</v>
      </c>
      <c r="I73" s="208">
        <f>+SUM($B70:I$70)</f>
        <v>0</v>
      </c>
      <c r="J73" s="208">
        <f>+SUM($B70:J$70)</f>
        <v>0</v>
      </c>
      <c r="K73" s="208">
        <f>+SUM($B70:K$70)</f>
        <v>1</v>
      </c>
      <c r="L73" s="208">
        <f>+SUM($B70:L$70)</f>
        <v>2</v>
      </c>
      <c r="M73" s="208">
        <f>+SUM($B70:M$70)</f>
        <v>3</v>
      </c>
      <c r="N73" s="208">
        <f>+SUM($B70:N$70)</f>
        <v>4</v>
      </c>
      <c r="O73" s="208">
        <f>+SUM($B70:O$70)</f>
        <v>5</v>
      </c>
      <c r="P73" s="208">
        <f>+SUM($B70:P$70)</f>
        <v>6</v>
      </c>
      <c r="Q73" s="208">
        <f>+SUM($B70:Q$70)</f>
        <v>7</v>
      </c>
      <c r="R73" s="208">
        <f>+SUM($B70:R$70)</f>
        <v>8</v>
      </c>
      <c r="S73" s="208">
        <f>+SUM($B70:S$70)</f>
        <v>9</v>
      </c>
      <c r="T73" s="208">
        <f>+SUM($B70:T$70)</f>
        <v>10</v>
      </c>
      <c r="U73" s="198"/>
      <c r="V73" s="198"/>
      <c r="W73" s="198"/>
    </row>
    <row r="74" spans="1:23">
      <c r="A74" s="207" t="s">
        <v>214</v>
      </c>
      <c r="B74" s="209">
        <v>1</v>
      </c>
      <c r="C74" s="209">
        <f t="shared" ref="C74:K74" si="7">+B74+1</f>
        <v>2</v>
      </c>
      <c r="D74" s="209">
        <f t="shared" si="7"/>
        <v>3</v>
      </c>
      <c r="E74" s="209">
        <f t="shared" si="7"/>
        <v>4</v>
      </c>
      <c r="F74" s="209">
        <f t="shared" si="7"/>
        <v>5</v>
      </c>
      <c r="G74" s="209">
        <f t="shared" si="7"/>
        <v>6</v>
      </c>
      <c r="H74" s="209">
        <f t="shared" si="7"/>
        <v>7</v>
      </c>
      <c r="I74" s="209">
        <f t="shared" si="7"/>
        <v>8</v>
      </c>
      <c r="J74" s="209">
        <f t="shared" si="7"/>
        <v>9</v>
      </c>
      <c r="K74" s="209">
        <f t="shared" si="7"/>
        <v>10</v>
      </c>
      <c r="L74" s="209">
        <f>+K74+1</f>
        <v>11</v>
      </c>
      <c r="M74" s="209">
        <f t="shared" ref="M74:P74" si="8">+L74+1</f>
        <v>12</v>
      </c>
      <c r="N74" s="209">
        <f t="shared" si="8"/>
        <v>13</v>
      </c>
      <c r="O74" s="209">
        <f t="shared" si="8"/>
        <v>14</v>
      </c>
      <c r="P74" s="209">
        <f t="shared" si="8"/>
        <v>15</v>
      </c>
      <c r="Q74" s="209">
        <f t="shared" ref="Q74" si="9">+P74+1</f>
        <v>16</v>
      </c>
      <c r="R74" s="209">
        <f t="shared" ref="R74" si="10">+Q74+1</f>
        <v>17</v>
      </c>
      <c r="S74" s="209">
        <f t="shared" ref="S74" si="11">+R74+1</f>
        <v>18</v>
      </c>
      <c r="T74" s="209">
        <f>+Q74+1</f>
        <v>17</v>
      </c>
    </row>
    <row r="75" spans="1:23">
      <c r="A75" s="207" t="s">
        <v>215</v>
      </c>
      <c r="B75" s="209">
        <f t="shared" ref="B75:P75" ca="1" si="12">+OFFSET($A$69,0,MATCH(B$74,$B$73:$T$73,0))</f>
        <v>2009</v>
      </c>
      <c r="C75" s="209">
        <f t="shared" ca="1" si="12"/>
        <v>2010</v>
      </c>
      <c r="D75" s="209">
        <f t="shared" ca="1" si="12"/>
        <v>2011</v>
      </c>
      <c r="E75" s="209">
        <f t="shared" ca="1" si="12"/>
        <v>2012</v>
      </c>
      <c r="F75" s="209">
        <f t="shared" ca="1" si="12"/>
        <v>2013</v>
      </c>
      <c r="G75" s="209">
        <f t="shared" ca="1" si="12"/>
        <v>2014</v>
      </c>
      <c r="H75" s="209">
        <f t="shared" ca="1" si="12"/>
        <v>2015</v>
      </c>
      <c r="I75" s="209">
        <f t="shared" ca="1" si="12"/>
        <v>2016</v>
      </c>
      <c r="J75" s="209">
        <f t="shared" ca="1" si="12"/>
        <v>2017</v>
      </c>
      <c r="K75" s="209">
        <f t="shared" ca="1" si="12"/>
        <v>2018</v>
      </c>
      <c r="L75" s="209" t="e">
        <f t="shared" ca="1" si="12"/>
        <v>#N/A</v>
      </c>
      <c r="M75" s="209" t="e">
        <f t="shared" ca="1" si="12"/>
        <v>#N/A</v>
      </c>
      <c r="N75" s="209" t="e">
        <f t="shared" ca="1" si="12"/>
        <v>#N/A</v>
      </c>
      <c r="O75" s="209" t="e">
        <f t="shared" ca="1" si="12"/>
        <v>#N/A</v>
      </c>
      <c r="P75" s="209" t="e">
        <f t="shared" ca="1" si="12"/>
        <v>#N/A</v>
      </c>
      <c r="Q75" s="209" t="e">
        <f t="shared" ref="Q75:S75" ca="1" si="13">+OFFSET($A$69,0,MATCH(Q$74,$B$73:$T$73,0))</f>
        <v>#N/A</v>
      </c>
      <c r="R75" s="209" t="e">
        <f t="shared" ca="1" si="13"/>
        <v>#N/A</v>
      </c>
      <c r="S75" s="209" t="e">
        <f t="shared" ca="1" si="13"/>
        <v>#N/A</v>
      </c>
      <c r="T75" s="209" t="e">
        <f ca="1">+OFFSET($A$69,0,MATCH(T$74,$B$73:$T$73,0))</f>
        <v>#N/A</v>
      </c>
    </row>
    <row r="76" spans="1:23">
      <c r="A76" s="207" t="s">
        <v>216</v>
      </c>
      <c r="B76" s="207">
        <f t="shared" ref="B76:P76" ca="1" si="14">+INDEX(14:14,1,MATCH(B$75,9:9,0))</f>
        <v>31005</v>
      </c>
      <c r="C76" s="207">
        <f t="shared" ca="1" si="14"/>
        <v>36762</v>
      </c>
      <c r="D76" s="207">
        <f t="shared" ca="1" si="14"/>
        <v>42004</v>
      </c>
      <c r="E76" s="207">
        <f t="shared" ca="1" si="14"/>
        <v>46498</v>
      </c>
      <c r="F76" s="207">
        <f t="shared" ca="1" si="14"/>
        <v>50170</v>
      </c>
      <c r="G76" s="207">
        <f t="shared" ca="1" si="14"/>
        <v>54652</v>
      </c>
      <c r="H76" s="207">
        <f t="shared" ca="1" si="14"/>
        <v>64929</v>
      </c>
      <c r="I76" s="207">
        <f t="shared" ca="1" si="14"/>
        <v>74181</v>
      </c>
      <c r="J76" s="207">
        <f t="shared" ca="1" si="14"/>
        <v>83133</v>
      </c>
      <c r="K76" s="207">
        <f t="shared" ca="1" si="14"/>
        <v>89585</v>
      </c>
      <c r="L76" s="207" t="e">
        <f t="shared" ca="1" si="14"/>
        <v>#N/A</v>
      </c>
      <c r="M76" s="207" t="e">
        <f t="shared" ca="1" si="14"/>
        <v>#N/A</v>
      </c>
      <c r="N76" s="207" t="e">
        <f t="shared" ca="1" si="14"/>
        <v>#N/A</v>
      </c>
      <c r="O76" s="207" t="e">
        <f t="shared" ca="1" si="14"/>
        <v>#N/A</v>
      </c>
      <c r="P76" s="207" t="e">
        <f t="shared" ca="1" si="14"/>
        <v>#N/A</v>
      </c>
      <c r="Q76" s="207" t="e">
        <f t="shared" ref="Q76:S76" ca="1" si="15">+INDEX(14:14,1,MATCH(Q$75,9:9,0))</f>
        <v>#N/A</v>
      </c>
      <c r="R76" s="207" t="e">
        <f t="shared" ca="1" si="15"/>
        <v>#N/A</v>
      </c>
      <c r="S76" s="207" t="e">
        <f t="shared" ca="1" si="15"/>
        <v>#N/A</v>
      </c>
      <c r="T76" s="207" t="e">
        <f ca="1">+INDEX(14:14,1,MATCH(T$75,9:9,0))</f>
        <v>#N/A</v>
      </c>
    </row>
    <row r="79" spans="1:23">
      <c r="A79" s="210"/>
      <c r="B79" s="211" t="s">
        <v>217</v>
      </c>
      <c r="C79" s="212"/>
    </row>
    <row r="80" spans="1:23">
      <c r="A80" s="210" t="s">
        <v>198</v>
      </c>
      <c r="B80" s="213">
        <f t="array" aca="1" ref="B80:C84" ca="1">+LINEST(
OFFSET($B76,0,0,1,SUM($B70:$T70)),
OFFSET($B75,0,0,1,SUM($B70:$T70)),
,
1)</f>
        <v>6499.8606060606062</v>
      </c>
      <c r="C80" s="213">
        <f ca="1"/>
        <v>-13030177.43030303</v>
      </c>
      <c r="D80" s="179" t="s">
        <v>218</v>
      </c>
    </row>
    <row r="81" spans="1:4">
      <c r="A81" s="210" t="s">
        <v>219</v>
      </c>
      <c r="B81" s="213">
        <f ca="1"/>
        <v>367.41284535900849</v>
      </c>
      <c r="C81" s="213">
        <f ca="1"/>
        <v>739786.51683819375</v>
      </c>
      <c r="D81" s="179" t="s">
        <v>220</v>
      </c>
    </row>
    <row r="82" spans="1:4">
      <c r="A82" s="210" t="s">
        <v>221</v>
      </c>
      <c r="B82" s="213">
        <f ca="1"/>
        <v>0.97507536780617887</v>
      </c>
      <c r="C82" s="213">
        <f ca="1"/>
        <v>3337.1928940535063</v>
      </c>
      <c r="D82" s="179" t="s">
        <v>222</v>
      </c>
    </row>
    <row r="83" spans="1:4">
      <c r="A83" s="214" t="s">
        <v>223</v>
      </c>
      <c r="B83" s="213">
        <f ca="1"/>
        <v>312.96762503011911</v>
      </c>
      <c r="C83" s="213">
        <f ca="1"/>
        <v>8</v>
      </c>
      <c r="D83" s="179" t="s">
        <v>224</v>
      </c>
    </row>
    <row r="84" spans="1:4">
      <c r="A84" s="214" t="s">
        <v>225</v>
      </c>
      <c r="B84" s="213">
        <f ca="1"/>
        <v>3485475501.6030307</v>
      </c>
      <c r="C84" s="213">
        <f ca="1"/>
        <v>89094851.296969742</v>
      </c>
      <c r="D84" s="179" t="s">
        <v>226</v>
      </c>
    </row>
    <row r="85" spans="1:4">
      <c r="A85" s="210"/>
    </row>
    <row r="86" spans="1:4">
      <c r="A86" s="210"/>
    </row>
    <row r="87" spans="1:4">
      <c r="A87" s="210" t="s">
        <v>227</v>
      </c>
      <c r="B87" s="179">
        <f ca="1">+B80/B81</f>
        <v>17.69089101854734</v>
      </c>
    </row>
    <row r="88" spans="1:4">
      <c r="A88" s="214" t="s">
        <v>228</v>
      </c>
      <c r="B88" s="215">
        <f ca="1">+TDIST(B87,C83,2)</f>
        <v>1.0659811111700491E-7</v>
      </c>
    </row>
  </sheetData>
  <conditionalFormatting sqref="B14:H14 J14:T14">
    <cfRule type="expression" dxfId="1" priority="2">
      <formula>B$70=1</formula>
    </cfRule>
  </conditionalFormatting>
  <conditionalFormatting sqref="B14:I14">
    <cfRule type="expression" dxfId="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2"/>
  <sheetViews>
    <sheetView view="pageBreakPreview" zoomScaleNormal="100" zoomScaleSheetLayoutView="100" workbookViewId="0">
      <selection sqref="A1:R1"/>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hidden="1" customWidth="1"/>
    <col min="8" max="8" width="10.42578125" style="4" hidden="1" customWidth="1"/>
    <col min="9" max="9" width="8.28515625" style="4" hidden="1" customWidth="1"/>
    <col min="10" max="10" width="8.5703125" style="4" hidden="1" customWidth="1"/>
    <col min="11" max="11" width="8.42578125" style="4" hidden="1" customWidth="1"/>
    <col min="12" max="12" width="8.7109375" style="4" hidden="1" customWidth="1"/>
    <col min="13" max="17" width="10.42578125" style="4" customWidth="1"/>
    <col min="18" max="20" width="10.42578125" style="3" customWidth="1"/>
    <col min="21" max="21" width="10.42578125" style="28" customWidth="1"/>
    <col min="22" max="22" width="10.42578125" style="142" customWidth="1"/>
    <col min="23" max="16384" width="10.7109375" style="3"/>
  </cols>
  <sheetData>
    <row r="1" spans="1:24" ht="21" customHeight="1">
      <c r="A1" s="348"/>
      <c r="B1" s="348"/>
      <c r="C1" s="348"/>
      <c r="D1" s="348"/>
      <c r="E1" s="348"/>
      <c r="F1" s="348"/>
      <c r="G1" s="348"/>
      <c r="H1" s="348"/>
      <c r="I1" s="348"/>
      <c r="J1" s="348"/>
      <c r="K1" s="348"/>
      <c r="L1" s="348"/>
      <c r="M1" s="348"/>
      <c r="N1" s="348"/>
      <c r="O1" s="348"/>
      <c r="P1" s="348"/>
      <c r="Q1" s="348"/>
      <c r="R1" s="348"/>
    </row>
    <row r="2" spans="1:24" ht="28.9" customHeight="1">
      <c r="A2" s="349" t="s">
        <v>204</v>
      </c>
      <c r="B2" s="349"/>
      <c r="C2" s="349"/>
      <c r="D2" s="349"/>
      <c r="E2" s="349"/>
      <c r="F2" s="349"/>
      <c r="G2" s="349"/>
      <c r="H2" s="349"/>
      <c r="I2" s="349"/>
      <c r="J2" s="349"/>
      <c r="K2" s="349"/>
      <c r="L2" s="349"/>
      <c r="M2" s="349"/>
      <c r="N2" s="349"/>
      <c r="O2" s="349"/>
      <c r="P2" s="349"/>
      <c r="Q2" s="349"/>
      <c r="R2" s="349"/>
    </row>
    <row r="3" spans="1:24" ht="37.15" customHeight="1">
      <c r="A3" s="119" t="s">
        <v>43</v>
      </c>
      <c r="F3" s="111"/>
      <c r="G3" s="111"/>
      <c r="H3" s="111"/>
      <c r="I3" s="111"/>
      <c r="J3" s="111"/>
      <c r="K3" s="111"/>
      <c r="L3" s="111"/>
      <c r="M3" s="111"/>
      <c r="N3" s="111"/>
      <c r="O3" s="111"/>
      <c r="P3" s="111"/>
      <c r="Q3" s="111"/>
      <c r="R3" s="111"/>
    </row>
    <row r="4" spans="1:24" ht="13.5" customHeight="1">
      <c r="A4" s="119" t="s">
        <v>48</v>
      </c>
      <c r="E4" s="351" t="s">
        <v>119</v>
      </c>
      <c r="F4" s="351"/>
      <c r="G4" s="351"/>
      <c r="H4" s="351"/>
      <c r="I4" s="351"/>
      <c r="J4" s="351"/>
      <c r="K4" s="351"/>
      <c r="L4" s="351"/>
      <c r="M4" s="351"/>
      <c r="N4" s="351"/>
      <c r="O4" s="351"/>
      <c r="P4" s="351"/>
      <c r="Q4" s="351"/>
      <c r="R4" s="351"/>
    </row>
    <row r="5" spans="1:24" ht="5.25" customHeight="1">
      <c r="A5" s="118"/>
    </row>
    <row r="6" spans="1:24" s="6" customFormat="1" ht="11.45" customHeight="1">
      <c r="A6" s="119" t="s">
        <v>39</v>
      </c>
      <c r="B6" s="2"/>
      <c r="C6" s="2"/>
      <c r="D6" s="2"/>
      <c r="E6" s="2"/>
      <c r="F6" s="4"/>
      <c r="G6" s="4"/>
      <c r="H6" s="4"/>
      <c r="I6" s="4"/>
      <c r="J6" s="4"/>
      <c r="K6" s="4"/>
      <c r="L6" s="4"/>
      <c r="M6" s="4"/>
      <c r="N6" s="4"/>
      <c r="O6" s="4"/>
      <c r="P6" s="4"/>
      <c r="Q6" s="4"/>
      <c r="R6" s="3"/>
      <c r="S6" s="24"/>
      <c r="T6" s="162"/>
      <c r="U6" s="162"/>
      <c r="V6" s="171"/>
    </row>
    <row r="7" spans="1:24" s="6" customFormat="1" ht="3.75" customHeight="1">
      <c r="A7" s="5"/>
      <c r="F7" s="7"/>
      <c r="G7" s="7"/>
      <c r="H7" s="7"/>
      <c r="I7" s="7"/>
      <c r="J7" s="7"/>
      <c r="K7" s="7"/>
      <c r="L7" s="7"/>
      <c r="M7" s="7"/>
      <c r="N7" s="7"/>
      <c r="O7" s="7"/>
      <c r="P7" s="7"/>
      <c r="Q7" s="7"/>
      <c r="U7" s="162"/>
      <c r="V7" s="171"/>
    </row>
    <row r="8" spans="1:24"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c r="U8" s="224">
        <v>12.201499999999999</v>
      </c>
      <c r="V8" s="39">
        <v>2016</v>
      </c>
      <c r="W8" s="272" t="s">
        <v>258</v>
      </c>
      <c r="X8" s="272" t="s">
        <v>259</v>
      </c>
    </row>
    <row r="9" spans="1:24">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c r="U9" s="225" t="s">
        <v>1</v>
      </c>
      <c r="V9" s="16" t="s">
        <v>1</v>
      </c>
      <c r="W9" s="273" t="s">
        <v>1</v>
      </c>
      <c r="X9" s="273" t="s">
        <v>1</v>
      </c>
    </row>
    <row r="10" spans="1:24"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226" t="s">
        <v>5</v>
      </c>
      <c r="V10" s="21" t="s">
        <v>5</v>
      </c>
      <c r="W10" s="274" t="s">
        <v>5</v>
      </c>
      <c r="X10" s="274" t="s">
        <v>5</v>
      </c>
    </row>
    <row r="11" spans="1:24">
      <c r="B11" s="3" t="s">
        <v>6</v>
      </c>
      <c r="R11" s="4"/>
      <c r="S11" s="4"/>
      <c r="T11" s="4"/>
      <c r="U11" s="227"/>
      <c r="V11" s="136"/>
      <c r="W11" s="29"/>
      <c r="X11" s="29"/>
    </row>
    <row r="12" spans="1:24">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c r="U12" s="228">
        <v>149865</v>
      </c>
      <c r="V12" s="132">
        <v>150970</v>
      </c>
      <c r="W12" s="132">
        <v>157743</v>
      </c>
      <c r="X12" s="132">
        <v>146870</v>
      </c>
    </row>
    <row r="13" spans="1:24">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c r="U13" s="229">
        <v>4054</v>
      </c>
      <c r="V13" s="131">
        <v>4477</v>
      </c>
      <c r="W13" s="131">
        <v>5049</v>
      </c>
      <c r="X13" s="131">
        <v>4960</v>
      </c>
    </row>
    <row r="14" spans="1:24"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c r="U14" s="230">
        <v>7129</v>
      </c>
      <c r="V14" s="133">
        <v>1020</v>
      </c>
      <c r="W14" s="133">
        <v>-824</v>
      </c>
      <c r="X14" s="133">
        <v>-4216</v>
      </c>
    </row>
    <row r="15" spans="1:24">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c r="U15" s="229">
        <v>161048</v>
      </c>
      <c r="V15" s="131">
        <f>SUM(V12:V14)</f>
        <v>156467</v>
      </c>
      <c r="W15" s="131">
        <f t="shared" ref="W15:X15" si="2">SUM(W12:W14)</f>
        <v>161968</v>
      </c>
      <c r="X15" s="131">
        <f t="shared" si="2"/>
        <v>147614</v>
      </c>
    </row>
    <row r="16" spans="1:24">
      <c r="C16" s="24"/>
      <c r="D16" s="24"/>
      <c r="E16" s="24"/>
      <c r="F16" s="32"/>
      <c r="G16" s="32"/>
      <c r="H16" s="32"/>
      <c r="I16" s="32"/>
      <c r="J16" s="32"/>
      <c r="K16" s="32"/>
      <c r="L16" s="32"/>
      <c r="M16" s="32"/>
      <c r="N16" s="32"/>
      <c r="O16" s="32"/>
      <c r="P16" s="32"/>
      <c r="Q16" s="32"/>
      <c r="R16" s="32"/>
      <c r="S16" s="32"/>
      <c r="T16" s="32"/>
      <c r="U16" s="229"/>
      <c r="V16" s="131"/>
      <c r="W16" s="131"/>
      <c r="X16" s="131"/>
    </row>
    <row r="17" spans="1:24">
      <c r="B17" s="3" t="s">
        <v>11</v>
      </c>
      <c r="C17" s="24"/>
      <c r="D17" s="24"/>
      <c r="E17" s="24"/>
      <c r="F17" s="32"/>
      <c r="G17" s="32"/>
      <c r="H17" s="32"/>
      <c r="I17" s="32"/>
      <c r="J17" s="32"/>
      <c r="K17" s="32"/>
      <c r="L17" s="32"/>
      <c r="M17" s="32"/>
      <c r="N17" s="32"/>
      <c r="O17" s="32"/>
      <c r="P17" s="32"/>
      <c r="Q17" s="32"/>
      <c r="R17" s="32"/>
      <c r="S17" s="32"/>
      <c r="T17" s="32"/>
      <c r="U17" s="229"/>
      <c r="V17" s="131"/>
      <c r="W17" s="131"/>
      <c r="X17" s="131"/>
    </row>
    <row r="18" spans="1:24">
      <c r="B18" s="24" t="s">
        <v>51</v>
      </c>
      <c r="D18" s="24"/>
      <c r="E18" s="24"/>
      <c r="F18" s="32"/>
      <c r="G18" s="32"/>
      <c r="H18" s="32"/>
      <c r="I18" s="32"/>
      <c r="J18" s="32"/>
      <c r="K18" s="32"/>
      <c r="L18" s="32"/>
      <c r="M18" s="32"/>
      <c r="N18" s="32"/>
      <c r="O18" s="32"/>
      <c r="P18" s="32"/>
      <c r="Q18" s="32"/>
      <c r="R18" s="32"/>
      <c r="S18" s="32"/>
      <c r="T18" s="32"/>
      <c r="U18" s="229"/>
      <c r="V18" s="131"/>
      <c r="W18" s="131"/>
      <c r="X18" s="131"/>
    </row>
    <row r="19" spans="1:24">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c r="U19" s="229">
        <v>79634</v>
      </c>
      <c r="V19" s="131">
        <v>63460</v>
      </c>
      <c r="W19" s="131">
        <v>64414</v>
      </c>
      <c r="X19" s="131">
        <v>51519</v>
      </c>
    </row>
    <row r="20" spans="1:24">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c r="U20" s="229">
        <v>840</v>
      </c>
      <c r="V20" s="131">
        <v>994</v>
      </c>
      <c r="W20" s="131">
        <v>944</v>
      </c>
      <c r="X20" s="131">
        <v>959</v>
      </c>
    </row>
    <row r="21" spans="1:24"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c r="U21" s="230">
        <v>0</v>
      </c>
      <c r="V21" s="133">
        <v>1</v>
      </c>
      <c r="W21" s="133">
        <v>0</v>
      </c>
      <c r="X21" s="133">
        <v>0</v>
      </c>
    </row>
    <row r="22" spans="1:24">
      <c r="A22" s="22">
        <v>8</v>
      </c>
      <c r="B22" s="24" t="s">
        <v>15</v>
      </c>
      <c r="C22" s="24"/>
      <c r="F22" s="32">
        <f t="shared" ref="F22:S22" si="3">SUM(F19:F21)</f>
        <v>57782</v>
      </c>
      <c r="G22" s="32">
        <f t="shared" si="3"/>
        <v>107261</v>
      </c>
      <c r="H22" s="32">
        <f t="shared" si="3"/>
        <v>110630</v>
      </c>
      <c r="I22" s="32">
        <f t="shared" si="3"/>
        <v>97408</v>
      </c>
      <c r="J22" s="32">
        <f t="shared" si="3"/>
        <v>114740</v>
      </c>
      <c r="K22" s="32">
        <f t="shared" si="3"/>
        <v>159495</v>
      </c>
      <c r="L22" s="32">
        <f t="shared" si="3"/>
        <v>150455</v>
      </c>
      <c r="M22" s="32">
        <f t="shared" si="3"/>
        <v>223439</v>
      </c>
      <c r="N22" s="32">
        <f t="shared" si="3"/>
        <v>301175</v>
      </c>
      <c r="O22" s="32">
        <f t="shared" si="3"/>
        <v>205790</v>
      </c>
      <c r="P22" s="32">
        <f t="shared" si="3"/>
        <v>194972</v>
      </c>
      <c r="Q22" s="32">
        <f t="shared" si="3"/>
        <v>183815</v>
      </c>
      <c r="R22" s="32">
        <f t="shared" si="3"/>
        <v>143555</v>
      </c>
      <c r="S22" s="32">
        <f t="shared" si="3"/>
        <v>77692</v>
      </c>
      <c r="T22" s="32">
        <f t="shared" ref="T22" si="4">SUM(T19:T21)</f>
        <v>84966</v>
      </c>
      <c r="U22" s="229">
        <v>80474</v>
      </c>
      <c r="V22" s="131">
        <f t="shared" ref="V22:X22" si="5">SUM(V19:V21)</f>
        <v>64455</v>
      </c>
      <c r="W22" s="131">
        <f t="shared" si="5"/>
        <v>65358</v>
      </c>
      <c r="X22" s="131">
        <f t="shared" si="5"/>
        <v>52478</v>
      </c>
    </row>
    <row r="23" spans="1:24">
      <c r="B23" s="24"/>
      <c r="C23" s="24"/>
      <c r="F23" s="32"/>
      <c r="G23" s="32"/>
      <c r="H23" s="32"/>
      <c r="I23" s="32"/>
      <c r="J23" s="32"/>
      <c r="K23" s="32"/>
      <c r="L23" s="32"/>
      <c r="M23" s="32"/>
      <c r="N23" s="32"/>
      <c r="O23" s="32"/>
      <c r="P23" s="32"/>
      <c r="Q23" s="32"/>
      <c r="R23" s="32"/>
      <c r="S23" s="32"/>
      <c r="T23" s="32"/>
      <c r="U23" s="229"/>
      <c r="V23" s="131"/>
      <c r="W23" s="131"/>
      <c r="X23" s="131"/>
    </row>
    <row r="24" spans="1:24">
      <c r="B24" s="24" t="s">
        <v>16</v>
      </c>
      <c r="D24" s="24"/>
      <c r="E24" s="24"/>
      <c r="F24" s="32"/>
      <c r="G24" s="32"/>
      <c r="H24" s="32"/>
      <c r="I24" s="32"/>
      <c r="J24" s="32"/>
      <c r="K24" s="32"/>
      <c r="L24" s="32"/>
      <c r="M24" s="32"/>
      <c r="N24" s="32"/>
      <c r="O24" s="32"/>
      <c r="P24" s="32"/>
      <c r="Q24" s="32"/>
      <c r="R24" s="32"/>
      <c r="S24" s="32"/>
      <c r="T24" s="32"/>
      <c r="U24" s="229"/>
      <c r="V24" s="131"/>
      <c r="W24" s="131"/>
      <c r="X24" s="131"/>
    </row>
    <row r="25" spans="1:24">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c r="U25" s="229">
        <v>857</v>
      </c>
      <c r="V25" s="131">
        <v>974</v>
      </c>
      <c r="W25" s="131">
        <v>1032</v>
      </c>
      <c r="X25" s="131">
        <v>1532</v>
      </c>
    </row>
    <row r="26" spans="1:24">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c r="U26" s="229">
        <v>439</v>
      </c>
      <c r="V26" s="131">
        <v>492</v>
      </c>
      <c r="W26" s="131">
        <v>537</v>
      </c>
      <c r="X26" s="131">
        <v>627</v>
      </c>
    </row>
    <row r="27" spans="1:24"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c r="U27" s="230">
        <v>196</v>
      </c>
      <c r="V27" s="133">
        <v>210</v>
      </c>
      <c r="W27" s="133">
        <v>85</v>
      </c>
      <c r="X27" s="133">
        <v>224</v>
      </c>
    </row>
    <row r="28" spans="1:24">
      <c r="A28" s="22">
        <v>12</v>
      </c>
      <c r="B28" s="24" t="s">
        <v>18</v>
      </c>
      <c r="C28" s="24"/>
      <c r="F28" s="32">
        <f t="shared" ref="F28:S28" si="6">SUM(F25:F27)</f>
        <v>737</v>
      </c>
      <c r="G28" s="32">
        <f t="shared" si="6"/>
        <v>744</v>
      </c>
      <c r="H28" s="32">
        <f t="shared" si="6"/>
        <v>774</v>
      </c>
      <c r="I28" s="32">
        <f t="shared" si="6"/>
        <v>769</v>
      </c>
      <c r="J28" s="32">
        <f t="shared" si="6"/>
        <v>810</v>
      </c>
      <c r="K28" s="32">
        <f t="shared" si="6"/>
        <v>875</v>
      </c>
      <c r="L28" s="32">
        <f t="shared" si="6"/>
        <v>926</v>
      </c>
      <c r="M28" s="32">
        <f t="shared" si="6"/>
        <v>856</v>
      </c>
      <c r="N28" s="32">
        <f t="shared" si="6"/>
        <v>825</v>
      </c>
      <c r="O28" s="32">
        <f t="shared" si="6"/>
        <v>917</v>
      </c>
      <c r="P28" s="32">
        <f t="shared" si="6"/>
        <v>844</v>
      </c>
      <c r="Q28" s="32">
        <f t="shared" si="6"/>
        <v>999</v>
      </c>
      <c r="R28" s="32">
        <f t="shared" si="6"/>
        <v>1167</v>
      </c>
      <c r="S28" s="32">
        <f t="shared" si="6"/>
        <v>1358</v>
      </c>
      <c r="T28" s="32">
        <f t="shared" ref="T28" si="7">SUM(T25:T27)</f>
        <v>1479</v>
      </c>
      <c r="U28" s="229">
        <v>1492</v>
      </c>
      <c r="V28" s="131">
        <f t="shared" ref="V28:X28" si="8">SUM(V25:V27)</f>
        <v>1676</v>
      </c>
      <c r="W28" s="131">
        <f t="shared" si="8"/>
        <v>1654</v>
      </c>
      <c r="X28" s="131">
        <f t="shared" si="8"/>
        <v>2383</v>
      </c>
    </row>
    <row r="29" spans="1:24">
      <c r="B29" s="24"/>
      <c r="C29" s="24"/>
      <c r="F29" s="32"/>
      <c r="G29" s="32"/>
      <c r="H29" s="32"/>
      <c r="I29" s="32"/>
      <c r="J29" s="32"/>
      <c r="K29" s="32"/>
      <c r="L29" s="32"/>
      <c r="M29" s="32"/>
      <c r="N29" s="32"/>
      <c r="O29" s="32"/>
      <c r="P29" s="32"/>
      <c r="Q29" s="32"/>
      <c r="R29" s="32"/>
      <c r="S29" s="32"/>
      <c r="T29" s="32"/>
      <c r="U29" s="229"/>
      <c r="V29" s="131"/>
      <c r="W29" s="131"/>
      <c r="X29" s="131"/>
    </row>
    <row r="30" spans="1:24" ht="11.25" customHeight="1">
      <c r="B30" s="24" t="s">
        <v>19</v>
      </c>
      <c r="D30" s="24"/>
      <c r="E30" s="24"/>
      <c r="F30" s="32"/>
      <c r="G30" s="32"/>
      <c r="H30" s="32"/>
      <c r="I30" s="32"/>
      <c r="J30" s="32"/>
      <c r="K30" s="32"/>
      <c r="L30" s="32"/>
      <c r="M30" s="32"/>
      <c r="N30" s="32"/>
      <c r="O30" s="32"/>
      <c r="P30" s="32"/>
      <c r="Q30" s="32"/>
      <c r="R30" s="32"/>
      <c r="S30" s="32"/>
      <c r="T30" s="32"/>
      <c r="U30" s="229"/>
      <c r="V30" s="131"/>
      <c r="W30" s="131"/>
      <c r="X30" s="131"/>
    </row>
    <row r="31" spans="1:24">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c r="U31" s="229">
        <v>12315</v>
      </c>
      <c r="V31" s="131">
        <v>12050</v>
      </c>
      <c r="W31" s="131">
        <v>12380</v>
      </c>
      <c r="X31" s="131">
        <v>12308</v>
      </c>
    </row>
    <row r="32" spans="1:24"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c r="U32" s="229">
        <v>9088</v>
      </c>
      <c r="V32" s="131">
        <v>9866</v>
      </c>
      <c r="W32" s="131">
        <v>10638</v>
      </c>
      <c r="X32" s="131">
        <v>11629</v>
      </c>
    </row>
    <row r="33" spans="1:24"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c r="U33" s="230">
        <v>8554</v>
      </c>
      <c r="V33" s="133">
        <v>8383</v>
      </c>
      <c r="W33" s="133">
        <v>9144</v>
      </c>
      <c r="X33" s="133">
        <v>9458</v>
      </c>
    </row>
    <row r="34" spans="1:24" ht="12.95" customHeight="1">
      <c r="A34" s="22">
        <v>16</v>
      </c>
      <c r="B34" s="24" t="s">
        <v>20</v>
      </c>
      <c r="C34" s="137"/>
      <c r="F34" s="32">
        <f t="shared" ref="F34:S34" si="9">SUM(F31:F33)</f>
        <v>13059</v>
      </c>
      <c r="G34" s="32">
        <f t="shared" si="9"/>
        <v>16360</v>
      </c>
      <c r="H34" s="32">
        <f t="shared" si="9"/>
        <v>18048</v>
      </c>
      <c r="I34" s="32">
        <f t="shared" si="9"/>
        <v>17674</v>
      </c>
      <c r="J34" s="32">
        <f t="shared" si="9"/>
        <v>19073</v>
      </c>
      <c r="K34" s="32">
        <f t="shared" si="9"/>
        <v>19745</v>
      </c>
      <c r="L34" s="32">
        <f t="shared" si="9"/>
        <v>21185</v>
      </c>
      <c r="M34" s="32">
        <f t="shared" si="9"/>
        <v>21916</v>
      </c>
      <c r="N34" s="32">
        <f t="shared" si="9"/>
        <v>20737</v>
      </c>
      <c r="O34" s="32">
        <f t="shared" si="9"/>
        <v>22510</v>
      </c>
      <c r="P34" s="32">
        <f t="shared" si="9"/>
        <v>21286</v>
      </c>
      <c r="Q34" s="32">
        <f t="shared" si="9"/>
        <v>23553.674327000001</v>
      </c>
      <c r="R34" s="32">
        <f t="shared" si="9"/>
        <v>24314</v>
      </c>
      <c r="S34" s="32">
        <f t="shared" si="9"/>
        <v>26861</v>
      </c>
      <c r="T34" s="32">
        <f t="shared" ref="T34" si="10">SUM(T31:T33)</f>
        <v>27936</v>
      </c>
      <c r="U34" s="229">
        <v>29957</v>
      </c>
      <c r="V34" s="131">
        <f t="shared" ref="V34:X34" si="11">SUM(V31:V33)</f>
        <v>30299</v>
      </c>
      <c r="W34" s="131">
        <f t="shared" si="11"/>
        <v>32162</v>
      </c>
      <c r="X34" s="131">
        <f t="shared" si="11"/>
        <v>33395</v>
      </c>
    </row>
    <row r="35" spans="1:24">
      <c r="C35" s="24"/>
      <c r="D35" s="24"/>
      <c r="E35" s="24"/>
      <c r="F35" s="32"/>
      <c r="G35" s="32"/>
      <c r="H35" s="32"/>
      <c r="I35" s="32"/>
      <c r="J35" s="32"/>
      <c r="K35" s="32"/>
      <c r="L35" s="32"/>
      <c r="M35" s="32"/>
      <c r="N35" s="32"/>
      <c r="O35" s="32"/>
      <c r="P35" s="32"/>
      <c r="Q35" s="32"/>
      <c r="R35" s="32"/>
      <c r="S35" s="32"/>
      <c r="T35" s="32"/>
      <c r="U35" s="229"/>
      <c r="V35" s="131"/>
      <c r="W35" s="131"/>
      <c r="X35" s="131"/>
    </row>
    <row r="36" spans="1:24">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c r="U36" s="229">
        <v>6632</v>
      </c>
      <c r="V36" s="131">
        <v>6811</v>
      </c>
      <c r="W36" s="131">
        <v>6991</v>
      </c>
      <c r="X36" s="131">
        <v>6967</v>
      </c>
    </row>
    <row r="37" spans="1:24"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c r="U37" s="229">
        <v>837</v>
      </c>
      <c r="V37" s="131">
        <v>964</v>
      </c>
      <c r="W37" s="131">
        <v>1000</v>
      </c>
      <c r="X37" s="131">
        <v>1232</v>
      </c>
    </row>
    <row r="38" spans="1:24">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c r="U38" s="229">
        <v>0</v>
      </c>
      <c r="V38" s="131">
        <v>0</v>
      </c>
      <c r="W38" s="131">
        <v>0</v>
      </c>
      <c r="X38" s="131">
        <v>0</v>
      </c>
    </row>
    <row r="39" spans="1:24">
      <c r="C39" s="24"/>
      <c r="D39" s="24"/>
      <c r="E39" s="24"/>
      <c r="F39" s="32"/>
      <c r="G39" s="32"/>
      <c r="H39" s="32"/>
      <c r="I39" s="32"/>
      <c r="J39" s="32"/>
      <c r="K39" s="32"/>
      <c r="L39" s="32"/>
      <c r="M39" s="32"/>
      <c r="N39" s="32"/>
      <c r="O39" s="32"/>
      <c r="P39" s="32"/>
      <c r="Q39" s="32"/>
      <c r="R39" s="32"/>
      <c r="S39" s="32"/>
      <c r="T39" s="32"/>
      <c r="U39" s="229"/>
      <c r="V39" s="131"/>
      <c r="W39" s="131"/>
      <c r="X39" s="131"/>
    </row>
    <row r="40" spans="1:24">
      <c r="B40" s="3" t="s">
        <v>24</v>
      </c>
      <c r="C40" s="24"/>
      <c r="D40" s="24"/>
      <c r="E40" s="24"/>
      <c r="F40" s="32"/>
      <c r="G40" s="32"/>
      <c r="H40" s="32"/>
      <c r="I40" s="32"/>
      <c r="J40" s="32"/>
      <c r="K40" s="32"/>
      <c r="L40" s="32"/>
      <c r="M40" s="32"/>
      <c r="N40" s="32"/>
      <c r="O40" s="32"/>
      <c r="P40" s="32"/>
      <c r="Q40" s="32"/>
      <c r="R40" s="32"/>
      <c r="S40" s="32"/>
      <c r="T40" s="32"/>
      <c r="U40" s="229"/>
      <c r="V40" s="131"/>
      <c r="W40" s="131"/>
      <c r="X40" s="131"/>
    </row>
    <row r="41" spans="1:24">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c r="U41" s="229">
        <v>14007</v>
      </c>
      <c r="V41" s="131">
        <v>13267</v>
      </c>
      <c r="W41" s="131">
        <v>13375</v>
      </c>
      <c r="X41" s="131">
        <v>14612</v>
      </c>
    </row>
    <row r="42" spans="1:24">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c r="U42" s="229">
        <v>5649</v>
      </c>
      <c r="V42" s="131">
        <v>6260</v>
      </c>
      <c r="W42" s="32">
        <v>6864</v>
      </c>
      <c r="X42" s="32">
        <v>7965</v>
      </c>
    </row>
    <row r="43" spans="1:24">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c r="U43" s="229">
        <v>-2087</v>
      </c>
      <c r="V43" s="131">
        <v>1079</v>
      </c>
      <c r="W43" s="32">
        <v>917</v>
      </c>
      <c r="X43" s="32">
        <v>51</v>
      </c>
    </row>
    <row r="44" spans="1:24"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c r="U44" s="230">
        <v>0</v>
      </c>
      <c r="V44" s="133">
        <v>0</v>
      </c>
      <c r="W44" s="133">
        <v>0</v>
      </c>
      <c r="X44" s="133">
        <v>0</v>
      </c>
    </row>
    <row r="45" spans="1:24" ht="10.9" customHeight="1">
      <c r="A45" s="22">
        <v>24</v>
      </c>
      <c r="B45" s="24" t="s">
        <v>25</v>
      </c>
      <c r="C45" s="24"/>
      <c r="F45" s="33">
        <f t="shared" ref="F45:S45" si="12">SUM(F41:F44)</f>
        <v>9053</v>
      </c>
      <c r="G45" s="33">
        <f t="shared" si="12"/>
        <v>8786</v>
      </c>
      <c r="H45" s="33">
        <f t="shared" si="12"/>
        <v>10882</v>
      </c>
      <c r="I45" s="33">
        <f t="shared" si="12"/>
        <v>11373</v>
      </c>
      <c r="J45" s="33">
        <f t="shared" si="12"/>
        <v>10284</v>
      </c>
      <c r="K45" s="33">
        <f t="shared" si="12"/>
        <v>10562</v>
      </c>
      <c r="L45" s="33">
        <f t="shared" si="12"/>
        <v>9699</v>
      </c>
      <c r="M45" s="33">
        <f t="shared" si="12"/>
        <v>9604</v>
      </c>
      <c r="N45" s="33">
        <f t="shared" si="12"/>
        <v>11284</v>
      </c>
      <c r="O45" s="33">
        <f t="shared" si="12"/>
        <v>12228</v>
      </c>
      <c r="P45" s="33">
        <f t="shared" si="12"/>
        <v>14035</v>
      </c>
      <c r="Q45" s="33">
        <f t="shared" si="12"/>
        <v>14133.118</v>
      </c>
      <c r="R45" s="33">
        <f t="shared" si="12"/>
        <v>16865</v>
      </c>
      <c r="S45" s="33">
        <f t="shared" si="12"/>
        <v>15821</v>
      </c>
      <c r="T45" s="33">
        <f t="shared" ref="T45" si="13">SUM(T41:T44)</f>
        <v>17075</v>
      </c>
      <c r="U45" s="230">
        <v>17569</v>
      </c>
      <c r="V45" s="133">
        <f t="shared" ref="V45:X45" si="14">SUM(V41:V44)</f>
        <v>20606</v>
      </c>
      <c r="W45" s="133">
        <f t="shared" si="14"/>
        <v>21156</v>
      </c>
      <c r="X45" s="133">
        <f t="shared" si="14"/>
        <v>22628</v>
      </c>
    </row>
    <row r="46" spans="1:24" ht="12.95" customHeight="1">
      <c r="A46" s="22">
        <v>25</v>
      </c>
      <c r="B46" s="3" t="s">
        <v>26</v>
      </c>
      <c r="C46" s="24"/>
      <c r="D46" s="24"/>
      <c r="E46" s="24"/>
      <c r="F46" s="33">
        <f t="shared" ref="F46:S46" si="15">F22+F28+F34+F36+F37+F38+F45</f>
        <v>85016</v>
      </c>
      <c r="G46" s="33">
        <f t="shared" si="15"/>
        <v>138476</v>
      </c>
      <c r="H46" s="33">
        <f t="shared" si="15"/>
        <v>147069</v>
      </c>
      <c r="I46" s="33">
        <f t="shared" si="15"/>
        <v>134584</v>
      </c>
      <c r="J46" s="33">
        <f t="shared" si="15"/>
        <v>150151</v>
      </c>
      <c r="K46" s="33">
        <f t="shared" si="15"/>
        <v>198769</v>
      </c>
      <c r="L46" s="33">
        <f t="shared" si="15"/>
        <v>188047</v>
      </c>
      <c r="M46" s="33">
        <f t="shared" si="15"/>
        <v>265476</v>
      </c>
      <c r="N46" s="33">
        <f t="shared" si="15"/>
        <v>344324</v>
      </c>
      <c r="O46" s="33">
        <f t="shared" si="15"/>
        <v>255137</v>
      </c>
      <c r="P46" s="33">
        <f t="shared" si="15"/>
        <v>245981</v>
      </c>
      <c r="Q46" s="33">
        <f t="shared" si="15"/>
        <v>238020.52726899998</v>
      </c>
      <c r="R46" s="33">
        <f t="shared" si="15"/>
        <v>198655</v>
      </c>
      <c r="S46" s="33">
        <f t="shared" si="15"/>
        <v>128988</v>
      </c>
      <c r="T46" s="33">
        <f t="shared" ref="T46" si="16">T22+T28+T34+T36+T37+T38+T45</f>
        <v>138429</v>
      </c>
      <c r="U46" s="230">
        <v>136961</v>
      </c>
      <c r="V46" s="133">
        <f t="shared" ref="V46" si="17">V22+V28+V34+V36+V37+V38+V45</f>
        <v>124811</v>
      </c>
      <c r="W46" s="133">
        <f>W22+W28+W34+W36+W37+W38+W45</f>
        <v>128321</v>
      </c>
      <c r="X46" s="133">
        <f t="shared" ref="X46" si="18">X22+X28+X34+X36+X37+X38+X45</f>
        <v>119083</v>
      </c>
    </row>
    <row r="47" spans="1:24" ht="9" customHeight="1">
      <c r="C47" s="24"/>
      <c r="D47" s="24"/>
      <c r="E47" s="24"/>
      <c r="F47" s="32"/>
      <c r="G47" s="32"/>
      <c r="H47" s="32"/>
      <c r="I47" s="32"/>
      <c r="J47" s="32"/>
      <c r="K47" s="32"/>
      <c r="L47" s="32"/>
      <c r="M47" s="32"/>
      <c r="N47" s="32"/>
      <c r="O47" s="32"/>
      <c r="P47" s="32"/>
      <c r="Q47" s="32"/>
      <c r="R47" s="32"/>
      <c r="S47" s="32"/>
      <c r="T47" s="32"/>
      <c r="U47" s="229"/>
      <c r="V47" s="131"/>
      <c r="W47" s="131"/>
      <c r="X47" s="131"/>
    </row>
    <row r="48" spans="1:24" ht="12.95" customHeight="1">
      <c r="A48" s="22">
        <v>26</v>
      </c>
      <c r="B48" s="3" t="s">
        <v>27</v>
      </c>
      <c r="C48" s="24"/>
      <c r="D48" s="24"/>
      <c r="E48" s="24"/>
      <c r="F48" s="32">
        <f t="shared" ref="F48:L48" si="19">F15-F46</f>
        <v>11408</v>
      </c>
      <c r="G48" s="32">
        <f t="shared" si="19"/>
        <v>12913</v>
      </c>
      <c r="H48" s="32">
        <f t="shared" si="19"/>
        <v>7729</v>
      </c>
      <c r="I48" s="32">
        <f t="shared" si="19"/>
        <v>8022</v>
      </c>
      <c r="J48" s="32">
        <f t="shared" si="19"/>
        <v>14124</v>
      </c>
      <c r="K48" s="32">
        <f t="shared" si="19"/>
        <v>13526</v>
      </c>
      <c r="L48" s="32">
        <f t="shared" si="19"/>
        <v>15257</v>
      </c>
      <c r="M48" s="32">
        <f t="shared" ref="M48:S48" si="20">M15-M46</f>
        <v>15389</v>
      </c>
      <c r="N48" s="32">
        <f t="shared" si="20"/>
        <v>15865</v>
      </c>
      <c r="O48" s="32">
        <f t="shared" si="20"/>
        <v>14929</v>
      </c>
      <c r="P48" s="32">
        <f t="shared" si="20"/>
        <v>14801</v>
      </c>
      <c r="Q48" s="32">
        <f t="shared" si="20"/>
        <v>16725.472731000016</v>
      </c>
      <c r="R48" s="32">
        <f t="shared" si="20"/>
        <v>15127</v>
      </c>
      <c r="S48" s="32">
        <f t="shared" si="20"/>
        <v>19587</v>
      </c>
      <c r="T48" s="32">
        <f t="shared" ref="T48" si="21">T15-T46</f>
        <v>20409</v>
      </c>
      <c r="U48" s="229">
        <v>24087</v>
      </c>
      <c r="V48" s="131">
        <f t="shared" ref="V48:X48" si="22">V15-V46</f>
        <v>31656</v>
      </c>
      <c r="W48" s="131">
        <f t="shared" si="22"/>
        <v>33647</v>
      </c>
      <c r="X48" s="131">
        <f t="shared" si="22"/>
        <v>28531</v>
      </c>
    </row>
    <row r="49" spans="1:24">
      <c r="C49" s="24"/>
      <c r="D49" s="24"/>
      <c r="E49" s="24"/>
      <c r="F49" s="32"/>
      <c r="G49" s="32"/>
      <c r="H49" s="32"/>
      <c r="I49" s="32"/>
      <c r="J49" s="32"/>
      <c r="K49" s="32"/>
      <c r="L49" s="32"/>
      <c r="M49" s="32"/>
      <c r="N49" s="32"/>
      <c r="O49" s="32"/>
      <c r="P49" s="32"/>
      <c r="Q49" s="32"/>
      <c r="R49" s="32"/>
      <c r="S49" s="32"/>
      <c r="T49" s="32"/>
      <c r="U49" s="229"/>
      <c r="V49" s="131"/>
      <c r="W49" s="131"/>
      <c r="X49" s="131"/>
    </row>
    <row r="50" spans="1:24">
      <c r="B50" s="3" t="s">
        <v>28</v>
      </c>
      <c r="C50" s="24"/>
      <c r="D50" s="24"/>
      <c r="E50" s="24"/>
      <c r="F50" s="32"/>
      <c r="G50" s="32"/>
      <c r="H50" s="32"/>
      <c r="I50" s="32"/>
      <c r="J50" s="32"/>
      <c r="K50" s="32"/>
      <c r="L50" s="32"/>
      <c r="M50" s="32"/>
      <c r="N50" s="32"/>
      <c r="O50" s="32"/>
      <c r="P50" s="32"/>
      <c r="Q50" s="32"/>
      <c r="R50" s="32"/>
      <c r="S50" s="32"/>
      <c r="T50" s="32"/>
      <c r="U50" s="229"/>
      <c r="V50" s="131"/>
      <c r="W50" s="131"/>
      <c r="X50" s="131"/>
    </row>
    <row r="51" spans="1:24">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c r="U51" s="229">
        <v>-729</v>
      </c>
      <c r="V51" s="131">
        <v>-1133</v>
      </c>
      <c r="W51" s="131">
        <v>2629.7000000000003</v>
      </c>
      <c r="X51" s="131">
        <v>2893.41</v>
      </c>
    </row>
    <row r="52" spans="1:24">
      <c r="A52" s="22">
        <v>28</v>
      </c>
      <c r="B52" s="24" t="s">
        <v>46</v>
      </c>
      <c r="D52" s="24"/>
      <c r="E52" s="24"/>
      <c r="F52" s="32"/>
      <c r="G52" s="32"/>
      <c r="H52" s="32"/>
      <c r="I52" s="32"/>
      <c r="J52" s="32"/>
      <c r="K52" s="32"/>
      <c r="L52" s="32"/>
      <c r="M52" s="32"/>
      <c r="N52" s="32"/>
      <c r="O52" s="32"/>
      <c r="P52" s="32"/>
      <c r="Q52" s="32">
        <v>62.982525000000003</v>
      </c>
      <c r="R52" s="32">
        <v>3</v>
      </c>
      <c r="S52" s="32">
        <v>-56</v>
      </c>
      <c r="T52" s="32">
        <v>-137</v>
      </c>
      <c r="U52" s="229">
        <v>-37</v>
      </c>
      <c r="V52" s="131">
        <v>11</v>
      </c>
      <c r="W52" s="131">
        <v>13.222891499999999</v>
      </c>
      <c r="X52" s="131">
        <v>43.336355999999995</v>
      </c>
    </row>
    <row r="53" spans="1:24">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c r="U53" s="229">
        <v>7842</v>
      </c>
      <c r="V53" s="131">
        <v>9923</v>
      </c>
      <c r="W53" s="131">
        <v>6462</v>
      </c>
      <c r="X53" s="131">
        <v>393</v>
      </c>
    </row>
    <row r="54" spans="1:24"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c r="U54" s="230">
        <v>-20</v>
      </c>
      <c r="V54" s="133">
        <v>-17</v>
      </c>
      <c r="W54" s="133">
        <v>-15</v>
      </c>
      <c r="X54" s="133">
        <v>-15</v>
      </c>
    </row>
    <row r="55" spans="1:24" ht="12.75" customHeight="1">
      <c r="F55" s="32"/>
      <c r="G55" s="32"/>
      <c r="H55" s="32"/>
      <c r="I55" s="32"/>
      <c r="J55" s="32"/>
      <c r="K55" s="32"/>
      <c r="L55" s="32"/>
      <c r="M55" s="32"/>
      <c r="N55" s="32"/>
      <c r="O55" s="32"/>
      <c r="P55" s="32"/>
      <c r="Q55" s="32"/>
      <c r="R55" s="32"/>
      <c r="S55" s="32"/>
      <c r="T55" s="32"/>
      <c r="U55" s="229"/>
      <c r="V55" s="131"/>
      <c r="W55" s="131"/>
      <c r="X55" s="131"/>
    </row>
    <row r="56" spans="1:24" ht="12.75" customHeight="1" thickBot="1">
      <c r="A56" s="22">
        <v>31</v>
      </c>
      <c r="B56" s="23" t="s">
        <v>32</v>
      </c>
      <c r="C56" s="23"/>
      <c r="D56" s="23"/>
      <c r="E56" s="23"/>
      <c r="F56" s="38">
        <f t="shared" ref="F56:L56" si="23">F48-F51-F52-F53-F54</f>
        <v>9609</v>
      </c>
      <c r="G56" s="38">
        <f t="shared" si="23"/>
        <v>10121</v>
      </c>
      <c r="H56" s="38">
        <f t="shared" si="23"/>
        <v>7113</v>
      </c>
      <c r="I56" s="38">
        <f t="shared" si="23"/>
        <v>7077</v>
      </c>
      <c r="J56" s="38">
        <f t="shared" si="23"/>
        <v>11160</v>
      </c>
      <c r="K56" s="38">
        <f t="shared" si="23"/>
        <v>11144</v>
      </c>
      <c r="L56" s="38">
        <f t="shared" si="23"/>
        <v>11666</v>
      </c>
      <c r="M56" s="38">
        <f t="shared" ref="M56:S56" si="24">M48-M51-M52-M53-M54</f>
        <v>11852</v>
      </c>
      <c r="N56" s="38">
        <f t="shared" si="24"/>
        <v>12070</v>
      </c>
      <c r="O56" s="38">
        <f t="shared" si="24"/>
        <v>11253</v>
      </c>
      <c r="P56" s="38">
        <f t="shared" si="24"/>
        <v>11047</v>
      </c>
      <c r="Q56" s="38">
        <f t="shared" si="24"/>
        <v>11905.924750150018</v>
      </c>
      <c r="R56" s="38">
        <f t="shared" si="24"/>
        <v>11301</v>
      </c>
      <c r="S56" s="38">
        <f t="shared" si="24"/>
        <v>14011</v>
      </c>
      <c r="T56" s="38">
        <f t="shared" ref="T56" si="25">T48-T51-T52-T53-T54</f>
        <v>14406</v>
      </c>
      <c r="U56" s="231">
        <v>17031</v>
      </c>
      <c r="V56" s="159">
        <f>V48-V51-V52-V53-V54</f>
        <v>22872</v>
      </c>
      <c r="W56" s="159">
        <f t="shared" ref="W56:X56" si="26">W48-W51-W52-W53-W54</f>
        <v>24557.077108499998</v>
      </c>
      <c r="X56" s="159">
        <f t="shared" si="26"/>
        <v>25216.253644</v>
      </c>
    </row>
    <row r="57" spans="1:24" ht="12.75" customHeight="1" thickTop="1">
      <c r="B57" s="23"/>
      <c r="C57" s="23"/>
      <c r="D57" s="23"/>
      <c r="E57" s="23"/>
      <c r="F57" s="112"/>
      <c r="G57" s="112"/>
      <c r="H57" s="112"/>
      <c r="I57" s="112"/>
      <c r="J57" s="112"/>
      <c r="K57" s="112"/>
      <c r="L57" s="112"/>
      <c r="M57" s="112"/>
      <c r="N57" s="112"/>
      <c r="O57" s="112"/>
      <c r="P57" s="112"/>
      <c r="Q57" s="112"/>
      <c r="R57" s="112"/>
      <c r="U57" s="232"/>
    </row>
    <row r="58" spans="1:24" ht="12.6" customHeight="1">
      <c r="B58" s="23"/>
      <c r="C58" s="23"/>
      <c r="D58" s="113" t="s">
        <v>144</v>
      </c>
      <c r="E58" s="23"/>
      <c r="F58" s="112"/>
      <c r="G58" s="112"/>
      <c r="H58" s="112"/>
      <c r="I58" s="112"/>
      <c r="J58" s="112"/>
      <c r="K58" s="112"/>
      <c r="L58" s="112"/>
      <c r="M58" s="112"/>
      <c r="N58" s="112"/>
      <c r="O58" s="112"/>
      <c r="P58" s="112"/>
      <c r="Q58" s="112"/>
      <c r="R58" s="112"/>
      <c r="U58" s="232"/>
    </row>
    <row r="59" spans="1:24" ht="28.9" customHeight="1">
      <c r="A59" s="350"/>
      <c r="B59" s="350"/>
      <c r="C59" s="350"/>
      <c r="D59" s="350"/>
      <c r="E59" s="350"/>
      <c r="F59" s="350"/>
      <c r="G59" s="350"/>
      <c r="H59" s="350"/>
      <c r="I59" s="350"/>
      <c r="J59" s="350"/>
      <c r="K59" s="350"/>
      <c r="L59" s="350"/>
      <c r="M59" s="350"/>
      <c r="N59" s="350"/>
      <c r="O59" s="350"/>
      <c r="P59" s="350"/>
      <c r="Q59" s="350"/>
      <c r="R59" s="350"/>
      <c r="U59" s="232"/>
    </row>
    <row r="60" spans="1:24" ht="39.75" customHeight="1">
      <c r="A60" s="118" t="s">
        <v>43</v>
      </c>
      <c r="R60" s="4"/>
      <c r="U60" s="232"/>
    </row>
    <row r="61" spans="1:24" ht="14.25" customHeight="1">
      <c r="A61" s="118" t="s">
        <v>48</v>
      </c>
      <c r="E61" s="351" t="str">
        <f>E4</f>
        <v>Commission Basis Results of Operations</v>
      </c>
      <c r="F61" s="351"/>
      <c r="G61" s="351"/>
      <c r="H61" s="351"/>
      <c r="I61" s="351"/>
      <c r="J61" s="351"/>
      <c r="K61" s="351"/>
      <c r="L61" s="351"/>
      <c r="M61" s="351"/>
      <c r="N61" s="351"/>
      <c r="O61" s="351"/>
      <c r="P61" s="351"/>
      <c r="Q61" s="351"/>
      <c r="R61" s="351"/>
      <c r="U61" s="232"/>
    </row>
    <row r="62" spans="1:24" ht="0.75" customHeight="1">
      <c r="A62" s="118"/>
      <c r="R62" s="4"/>
      <c r="U62" s="232"/>
    </row>
    <row r="63" spans="1:24" s="6" customFormat="1" ht="13.9" customHeight="1">
      <c r="A63" s="118" t="s">
        <v>39</v>
      </c>
      <c r="B63" s="2"/>
      <c r="C63" s="2"/>
      <c r="D63" s="2"/>
      <c r="E63" s="2"/>
      <c r="F63" s="4"/>
      <c r="G63" s="4"/>
      <c r="H63" s="4"/>
      <c r="I63" s="4"/>
      <c r="J63" s="4"/>
      <c r="K63" s="4"/>
      <c r="L63" s="4"/>
      <c r="M63" s="4"/>
      <c r="N63" s="4"/>
      <c r="O63" s="4"/>
      <c r="P63" s="4"/>
      <c r="Q63" s="4"/>
      <c r="R63" s="4"/>
      <c r="S63" s="24"/>
      <c r="T63" s="162"/>
      <c r="U63" s="233"/>
      <c r="V63" s="171"/>
    </row>
    <row r="64" spans="1:24" s="6" customFormat="1" ht="5.25" customHeight="1">
      <c r="A64" s="2"/>
      <c r="B64" s="3"/>
      <c r="C64" s="3"/>
      <c r="D64" s="3"/>
      <c r="E64" s="3"/>
      <c r="F64" s="4"/>
      <c r="G64" s="4"/>
      <c r="H64" s="4"/>
      <c r="I64" s="4"/>
      <c r="J64" s="4"/>
      <c r="K64" s="4"/>
      <c r="L64" s="4"/>
      <c r="M64" s="4"/>
      <c r="N64" s="4"/>
      <c r="O64" s="4"/>
      <c r="P64" s="4"/>
      <c r="Q64" s="4"/>
      <c r="R64" s="4"/>
      <c r="U64" s="233"/>
      <c r="V64" s="171"/>
    </row>
    <row r="65" spans="1:24" s="6" customFormat="1" ht="6.75" customHeight="1">
      <c r="A65" s="5"/>
      <c r="F65" s="7"/>
      <c r="G65" s="7"/>
      <c r="H65" s="7"/>
      <c r="I65" s="7"/>
      <c r="J65" s="7"/>
      <c r="K65" s="7"/>
      <c r="L65" s="7"/>
      <c r="M65" s="7"/>
      <c r="N65" s="7"/>
      <c r="O65" s="7"/>
      <c r="P65" s="7"/>
      <c r="Q65" s="7"/>
      <c r="R65" s="7"/>
      <c r="U65" s="233"/>
      <c r="V65" s="171"/>
    </row>
    <row r="66" spans="1:24"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c r="U66" s="224">
        <v>12.201499999999999</v>
      </c>
      <c r="V66" s="39">
        <v>2016</v>
      </c>
      <c r="W66" s="272" t="s">
        <v>258</v>
      </c>
      <c r="X66" s="272" t="s">
        <v>259</v>
      </c>
    </row>
    <row r="67" spans="1:24">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c r="U67" s="225" t="s">
        <v>1</v>
      </c>
      <c r="V67" s="16" t="s">
        <v>1</v>
      </c>
      <c r="W67" s="273" t="s">
        <v>1</v>
      </c>
      <c r="X67" s="273" t="s">
        <v>1</v>
      </c>
    </row>
    <row r="68" spans="1:24">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c r="U68" s="226" t="s">
        <v>5</v>
      </c>
      <c r="V68" s="21" t="s">
        <v>5</v>
      </c>
      <c r="W68" s="274" t="s">
        <v>5</v>
      </c>
      <c r="X68" s="274" t="s">
        <v>5</v>
      </c>
    </row>
    <row r="69" spans="1:24" ht="8.25" customHeight="1">
      <c r="F69" s="32"/>
      <c r="G69" s="32"/>
      <c r="H69" s="32"/>
      <c r="I69" s="32"/>
      <c r="J69" s="32"/>
      <c r="K69" s="32"/>
      <c r="L69" s="32"/>
      <c r="M69" s="32"/>
      <c r="N69" s="32"/>
      <c r="O69" s="32"/>
      <c r="P69" s="32"/>
      <c r="Q69" s="32"/>
      <c r="R69" s="32"/>
      <c r="S69" s="32"/>
      <c r="T69" s="32"/>
      <c r="U69" s="229"/>
      <c r="V69" s="134"/>
    </row>
    <row r="70" spans="1:24">
      <c r="B70" s="3" t="s">
        <v>40</v>
      </c>
      <c r="F70" s="32"/>
      <c r="G70" s="32"/>
      <c r="H70" s="32"/>
      <c r="I70" s="32"/>
      <c r="J70" s="32"/>
      <c r="K70" s="32"/>
      <c r="L70" s="32"/>
      <c r="M70" s="32"/>
      <c r="N70" s="32"/>
      <c r="O70" s="32"/>
      <c r="P70" s="32"/>
      <c r="Q70" s="32"/>
      <c r="R70" s="32"/>
      <c r="S70" s="32"/>
      <c r="T70" s="32"/>
      <c r="U70" s="229"/>
      <c r="V70" s="134"/>
    </row>
    <row r="71" spans="1:24">
      <c r="B71" s="3" t="s">
        <v>41</v>
      </c>
      <c r="F71" s="32"/>
      <c r="G71" s="32"/>
      <c r="H71" s="32"/>
      <c r="I71" s="32"/>
      <c r="J71" s="32"/>
      <c r="K71" s="32"/>
      <c r="L71" s="32"/>
      <c r="M71" s="32"/>
      <c r="N71" s="32"/>
      <c r="O71" s="32"/>
      <c r="P71" s="32"/>
      <c r="Q71" s="32"/>
      <c r="R71" s="32"/>
      <c r="S71" s="32"/>
      <c r="T71" s="32"/>
      <c r="U71" s="229"/>
      <c r="V71" s="134"/>
    </row>
    <row r="72" spans="1:24">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c r="U72" s="228">
        <v>25720</v>
      </c>
      <c r="V72" s="132">
        <v>26868</v>
      </c>
      <c r="W72" s="132">
        <v>27138</v>
      </c>
      <c r="X72" s="132">
        <v>28442</v>
      </c>
    </row>
    <row r="73" spans="1:24"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131">
        <f>'Reg Amort and Other RB'!R36-'Reg Amort and Other RB'!R66</f>
        <v>313469</v>
      </c>
      <c r="T73" s="131">
        <f>'Reg Amort and Other RB'!S36-'Reg Amort and Other RB'!S66</f>
        <v>337894</v>
      </c>
      <c r="U73" s="229">
        <v>360612</v>
      </c>
      <c r="V73" s="131">
        <v>390508</v>
      </c>
      <c r="W73" s="131">
        <v>422774</v>
      </c>
      <c r="X73" s="131">
        <v>455595</v>
      </c>
    </row>
    <row r="74" spans="1:24"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c r="U74" s="230">
        <v>75514</v>
      </c>
      <c r="V74" s="133">
        <v>82624</v>
      </c>
      <c r="W74" s="133">
        <v>93491</v>
      </c>
      <c r="X74" s="133">
        <v>114053</v>
      </c>
    </row>
    <row r="75" spans="1:24">
      <c r="A75" s="22">
        <v>35</v>
      </c>
      <c r="B75" s="24" t="s">
        <v>35</v>
      </c>
      <c r="C75" s="24"/>
      <c r="F75" s="32">
        <f t="shared" ref="F75:S75" si="27">SUM(F72:F74)</f>
        <v>197478</v>
      </c>
      <c r="G75" s="32">
        <f t="shared" si="27"/>
        <v>207536</v>
      </c>
      <c r="H75" s="32">
        <f t="shared" si="27"/>
        <v>214121</v>
      </c>
      <c r="I75" s="32">
        <f t="shared" si="27"/>
        <v>221794</v>
      </c>
      <c r="J75" s="32">
        <f t="shared" si="27"/>
        <v>230210</v>
      </c>
      <c r="K75" s="32">
        <f t="shared" si="27"/>
        <v>239982</v>
      </c>
      <c r="L75" s="32">
        <f t="shared" si="27"/>
        <v>253932</v>
      </c>
      <c r="M75" s="131">
        <f t="shared" si="27"/>
        <v>264883</v>
      </c>
      <c r="N75" s="131">
        <f t="shared" si="27"/>
        <v>280294</v>
      </c>
      <c r="O75" s="131">
        <f t="shared" si="27"/>
        <v>305521</v>
      </c>
      <c r="P75" s="131">
        <f t="shared" si="27"/>
        <v>322917</v>
      </c>
      <c r="Q75" s="131">
        <f t="shared" si="27"/>
        <v>342258</v>
      </c>
      <c r="R75" s="131">
        <f t="shared" si="27"/>
        <v>365326</v>
      </c>
      <c r="S75" s="131">
        <f t="shared" si="27"/>
        <v>390403</v>
      </c>
      <c r="T75" s="131">
        <f t="shared" ref="T75" si="28">SUM(T72:T74)</f>
        <v>422298</v>
      </c>
      <c r="U75" s="229">
        <v>461846</v>
      </c>
      <c r="V75" s="131">
        <f>SUM(V72:V74)</f>
        <v>500000</v>
      </c>
      <c r="W75" s="131">
        <f t="shared" ref="W75:X75" si="29">SUM(W72:W74)</f>
        <v>543403</v>
      </c>
      <c r="X75" s="131">
        <f t="shared" si="29"/>
        <v>598090</v>
      </c>
    </row>
    <row r="76" spans="1:24">
      <c r="B76" s="24"/>
      <c r="C76" s="24"/>
      <c r="F76" s="32"/>
      <c r="G76" s="32"/>
      <c r="H76" s="32"/>
      <c r="I76" s="32"/>
      <c r="J76" s="32"/>
      <c r="K76" s="32"/>
      <c r="L76" s="32"/>
      <c r="M76" s="131"/>
      <c r="N76" s="131"/>
      <c r="O76" s="131"/>
      <c r="P76" s="131"/>
      <c r="Q76" s="131"/>
      <c r="R76" s="131"/>
      <c r="S76" s="131"/>
      <c r="T76" s="131"/>
      <c r="U76" s="229"/>
      <c r="V76" s="131"/>
      <c r="W76" s="131"/>
      <c r="X76" s="131"/>
    </row>
    <row r="77" spans="1:24">
      <c r="B77" s="24" t="s">
        <v>49</v>
      </c>
      <c r="C77" s="24"/>
      <c r="D77" s="24"/>
      <c r="E77" s="24"/>
      <c r="F77" s="32"/>
      <c r="G77" s="32"/>
      <c r="H77" s="32"/>
      <c r="I77" s="32"/>
      <c r="J77" s="32"/>
      <c r="K77" s="32"/>
      <c r="L77" s="32"/>
      <c r="M77" s="131"/>
      <c r="N77" s="131"/>
      <c r="O77" s="131"/>
      <c r="P77" s="131"/>
      <c r="Q77" s="131"/>
      <c r="R77" s="131"/>
      <c r="S77" s="131"/>
      <c r="T77" s="131"/>
      <c r="U77" s="229"/>
      <c r="V77" s="131"/>
      <c r="W77" s="131"/>
      <c r="X77" s="131"/>
    </row>
    <row r="78" spans="1:24">
      <c r="A78" s="22">
        <v>36</v>
      </c>
      <c r="B78" s="24"/>
      <c r="C78" s="24" t="s">
        <v>16</v>
      </c>
      <c r="D78" s="24"/>
      <c r="E78" s="24"/>
      <c r="F78" s="32">
        <v>6192</v>
      </c>
      <c r="G78" s="32">
        <v>6220</v>
      </c>
      <c r="H78" s="32">
        <v>6115</v>
      </c>
      <c r="I78" s="32">
        <v>6495</v>
      </c>
      <c r="J78" s="32">
        <v>6659</v>
      </c>
      <c r="K78" s="32">
        <v>6924</v>
      </c>
      <c r="L78" s="32">
        <v>7249</v>
      </c>
      <c r="M78" s="131">
        <v>7427</v>
      </c>
      <c r="N78" s="131">
        <v>7581</v>
      </c>
      <c r="O78" s="131">
        <v>7807</v>
      </c>
      <c r="P78" s="131">
        <v>7912</v>
      </c>
      <c r="Q78" s="131">
        <v>8286</v>
      </c>
      <c r="R78" s="131">
        <v>8677</v>
      </c>
      <c r="S78" s="131">
        <v>9088</v>
      </c>
      <c r="T78" s="131">
        <v>9521</v>
      </c>
      <c r="U78" s="229">
        <v>9906</v>
      </c>
      <c r="V78" s="131">
        <v>10318</v>
      </c>
      <c r="W78" s="131">
        <v>10493</v>
      </c>
      <c r="X78" s="131">
        <v>11051</v>
      </c>
    </row>
    <row r="79" spans="1:24">
      <c r="A79" s="22">
        <v>37</v>
      </c>
      <c r="B79" s="24"/>
      <c r="C79" s="24" t="s">
        <v>33</v>
      </c>
      <c r="D79" s="24"/>
      <c r="E79" s="24"/>
      <c r="F79" s="32">
        <v>47423</v>
      </c>
      <c r="G79" s="32">
        <v>51645</v>
      </c>
      <c r="H79" s="32">
        <v>55845</v>
      </c>
      <c r="I79" s="32">
        <v>60239</v>
      </c>
      <c r="J79" s="32">
        <v>64817</v>
      </c>
      <c r="K79" s="32">
        <v>69428</v>
      </c>
      <c r="L79" s="32">
        <v>74019</v>
      </c>
      <c r="M79" s="131">
        <v>77997</v>
      </c>
      <c r="N79" s="131">
        <v>81405</v>
      </c>
      <c r="O79" s="131">
        <v>84021</v>
      </c>
      <c r="P79" s="131">
        <v>89620</v>
      </c>
      <c r="Q79" s="131">
        <v>97489</v>
      </c>
      <c r="R79" s="131">
        <v>102678</v>
      </c>
      <c r="S79" s="131">
        <v>108662</v>
      </c>
      <c r="T79" s="131">
        <v>114795</v>
      </c>
      <c r="U79" s="229">
        <v>121623</v>
      </c>
      <c r="V79" s="131">
        <v>129098</v>
      </c>
      <c r="W79" s="131">
        <v>136840</v>
      </c>
      <c r="X79" s="131">
        <v>144969</v>
      </c>
    </row>
    <row r="80" spans="1:24">
      <c r="A80" s="22">
        <v>38</v>
      </c>
      <c r="B80" s="24"/>
      <c r="C80" s="24" t="s">
        <v>34</v>
      </c>
      <c r="D80" s="24"/>
      <c r="E80" s="24"/>
      <c r="F80" s="32">
        <v>5661</v>
      </c>
      <c r="G80" s="32">
        <v>5695</v>
      </c>
      <c r="H80" s="32">
        <v>6442</v>
      </c>
      <c r="I80" s="32">
        <v>7446</v>
      </c>
      <c r="J80" s="32">
        <v>6984</v>
      </c>
      <c r="K80" s="32">
        <v>7208</v>
      </c>
      <c r="L80" s="32">
        <v>7230</v>
      </c>
      <c r="M80" s="131">
        <v>7136</v>
      </c>
      <c r="N80" s="131">
        <v>8309</v>
      </c>
      <c r="O80" s="131">
        <v>8882</v>
      </c>
      <c r="P80" s="131">
        <v>10722</v>
      </c>
      <c r="Q80" s="131">
        <v>10926</v>
      </c>
      <c r="R80" s="131">
        <v>12186</v>
      </c>
      <c r="S80" s="131">
        <v>14724</v>
      </c>
      <c r="T80" s="131">
        <v>17429</v>
      </c>
      <c r="U80" s="229">
        <v>20741</v>
      </c>
      <c r="V80" s="131">
        <v>23473</v>
      </c>
      <c r="W80" s="131">
        <v>27497</v>
      </c>
      <c r="X80" s="131">
        <v>32354</v>
      </c>
    </row>
    <row r="81" spans="1:24" s="27" customFormat="1" ht="18.95" customHeight="1">
      <c r="A81" s="22">
        <v>39</v>
      </c>
      <c r="B81" s="24" t="s">
        <v>53</v>
      </c>
      <c r="C81" s="24"/>
      <c r="D81" s="3"/>
      <c r="E81" s="3"/>
      <c r="F81" s="34">
        <f t="shared" ref="F81:S81" si="30">SUM(F78:F80)</f>
        <v>59276</v>
      </c>
      <c r="G81" s="34">
        <f t="shared" si="30"/>
        <v>63560</v>
      </c>
      <c r="H81" s="34">
        <f t="shared" si="30"/>
        <v>68402</v>
      </c>
      <c r="I81" s="34">
        <f t="shared" si="30"/>
        <v>74180</v>
      </c>
      <c r="J81" s="34">
        <f t="shared" si="30"/>
        <v>78460</v>
      </c>
      <c r="K81" s="34">
        <f t="shared" si="30"/>
        <v>83560</v>
      </c>
      <c r="L81" s="34">
        <f t="shared" si="30"/>
        <v>88498</v>
      </c>
      <c r="M81" s="158">
        <f t="shared" si="30"/>
        <v>92560</v>
      </c>
      <c r="N81" s="158">
        <f t="shared" si="30"/>
        <v>97295</v>
      </c>
      <c r="O81" s="158">
        <f t="shared" si="30"/>
        <v>100710</v>
      </c>
      <c r="P81" s="158">
        <f t="shared" si="30"/>
        <v>108254</v>
      </c>
      <c r="Q81" s="158">
        <f t="shared" si="30"/>
        <v>116701</v>
      </c>
      <c r="R81" s="158">
        <f t="shared" si="30"/>
        <v>123541</v>
      </c>
      <c r="S81" s="158">
        <f t="shared" si="30"/>
        <v>132474</v>
      </c>
      <c r="T81" s="158">
        <f t="shared" ref="T81" si="31">SUM(T78:T80)</f>
        <v>141745</v>
      </c>
      <c r="U81" s="234">
        <v>152270</v>
      </c>
      <c r="V81" s="269">
        <f t="shared" ref="V81:X81" si="32">SUM(V78:V80)</f>
        <v>162889</v>
      </c>
      <c r="W81" s="269">
        <f t="shared" si="32"/>
        <v>174830</v>
      </c>
      <c r="X81" s="269">
        <f t="shared" si="32"/>
        <v>188374</v>
      </c>
    </row>
    <row r="82" spans="1:24" s="27" customFormat="1" ht="18.95" customHeight="1">
      <c r="A82" s="22">
        <v>40</v>
      </c>
      <c r="B82" s="24" t="s">
        <v>44</v>
      </c>
      <c r="C82" s="24"/>
      <c r="D82" s="24"/>
      <c r="E82" s="24"/>
      <c r="F82" s="35">
        <f t="shared" ref="F82:S82" si="33">F75-F81</f>
        <v>138202</v>
      </c>
      <c r="G82" s="35">
        <f t="shared" si="33"/>
        <v>143976</v>
      </c>
      <c r="H82" s="35">
        <f t="shared" si="33"/>
        <v>145719</v>
      </c>
      <c r="I82" s="35">
        <f t="shared" si="33"/>
        <v>147614</v>
      </c>
      <c r="J82" s="35">
        <f t="shared" si="33"/>
        <v>151750</v>
      </c>
      <c r="K82" s="35">
        <f t="shared" si="33"/>
        <v>156422</v>
      </c>
      <c r="L82" s="35">
        <f t="shared" si="33"/>
        <v>165434</v>
      </c>
      <c r="M82" s="134">
        <f t="shared" si="33"/>
        <v>172323</v>
      </c>
      <c r="N82" s="134">
        <f t="shared" si="33"/>
        <v>182999</v>
      </c>
      <c r="O82" s="134">
        <f t="shared" si="33"/>
        <v>204811</v>
      </c>
      <c r="P82" s="134">
        <f t="shared" si="33"/>
        <v>214663</v>
      </c>
      <c r="Q82" s="134">
        <f t="shared" si="33"/>
        <v>225557</v>
      </c>
      <c r="R82" s="134">
        <f t="shared" si="33"/>
        <v>241785</v>
      </c>
      <c r="S82" s="134">
        <f t="shared" si="33"/>
        <v>257929</v>
      </c>
      <c r="T82" s="134">
        <f t="shared" ref="T82" si="34">T75-T81</f>
        <v>280553</v>
      </c>
      <c r="U82" s="235">
        <v>309576</v>
      </c>
      <c r="V82" s="134">
        <f>V75-V81</f>
        <v>337111</v>
      </c>
      <c r="W82" s="134">
        <f t="shared" ref="W82:X82" si="35">W75-W81</f>
        <v>368573</v>
      </c>
      <c r="X82" s="134">
        <f t="shared" si="35"/>
        <v>409716</v>
      </c>
    </row>
    <row r="83" spans="1:24">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133">
        <f>'Reg Amort and Other RB'!L46-'Reg Amort and Other RB'!L67</f>
        <v>-26823</v>
      </c>
      <c r="N83" s="133">
        <f>'Reg Amort and Other RB'!M46-'Reg Amort and Other RB'!M67</f>
        <v>-28945</v>
      </c>
      <c r="O83" s="133">
        <f>'Reg Amort and Other RB'!N46-'Reg Amort and Other RB'!N67</f>
        <v>-31005</v>
      </c>
      <c r="P83" s="133">
        <f>'Reg Amort and Other RB'!O46-'Reg Amort and Other RB'!O67</f>
        <v>-36762</v>
      </c>
      <c r="Q83" s="133">
        <f>'Reg Amort and Other RB'!P46-'Reg Amort and Other RB'!P67</f>
        <v>-42004</v>
      </c>
      <c r="R83" s="133">
        <f>'Reg Amort and Other RB'!Q46-'Reg Amort and Other RB'!Q67</f>
        <v>-46498</v>
      </c>
      <c r="S83" s="133">
        <f>'Reg Amort and Other RB'!R46-'Reg Amort and Other RB'!R67</f>
        <v>-50170</v>
      </c>
      <c r="T83" s="133">
        <f>'Reg Amort and Other RB'!S46-'Reg Amort and Other RB'!S67</f>
        <v>-54652</v>
      </c>
      <c r="U83" s="230">
        <v>-64929</v>
      </c>
      <c r="V83" s="133">
        <v>-74181</v>
      </c>
      <c r="W83" s="133">
        <v>-83133</v>
      </c>
      <c r="X83" s="133">
        <v>-89585</v>
      </c>
    </row>
    <row r="84" spans="1:24" s="27" customFormat="1">
      <c r="A84" s="25">
        <v>42</v>
      </c>
      <c r="B84" s="26" t="s">
        <v>50</v>
      </c>
      <c r="C84" s="26"/>
      <c r="D84" s="26"/>
      <c r="E84" s="26"/>
      <c r="F84" s="35">
        <f t="shared" ref="F84:S84" si="36">F82+F83</f>
        <v>124885</v>
      </c>
      <c r="G84" s="35">
        <f t="shared" si="36"/>
        <v>129500</v>
      </c>
      <c r="H84" s="35">
        <f t="shared" si="36"/>
        <v>129740</v>
      </c>
      <c r="I84" s="35">
        <f t="shared" si="36"/>
        <v>125044</v>
      </c>
      <c r="J84" s="35">
        <f t="shared" si="36"/>
        <v>124950</v>
      </c>
      <c r="K84" s="35">
        <f t="shared" si="36"/>
        <v>132617</v>
      </c>
      <c r="L84" s="35">
        <f t="shared" si="36"/>
        <v>140789</v>
      </c>
      <c r="M84" s="134">
        <f t="shared" si="36"/>
        <v>145500</v>
      </c>
      <c r="N84" s="134">
        <f t="shared" si="36"/>
        <v>154054</v>
      </c>
      <c r="O84" s="134">
        <f t="shared" si="36"/>
        <v>173806</v>
      </c>
      <c r="P84" s="134">
        <f t="shared" si="36"/>
        <v>177901</v>
      </c>
      <c r="Q84" s="134">
        <f t="shared" si="36"/>
        <v>183553</v>
      </c>
      <c r="R84" s="134">
        <f t="shared" si="36"/>
        <v>195287</v>
      </c>
      <c r="S84" s="134">
        <f t="shared" si="36"/>
        <v>207759</v>
      </c>
      <c r="T84" s="134">
        <f t="shared" ref="T84" si="37">T82+T83</f>
        <v>225901</v>
      </c>
      <c r="U84" s="235">
        <v>244647</v>
      </c>
      <c r="V84" s="134">
        <f>V82+V83</f>
        <v>262930</v>
      </c>
      <c r="W84" s="134">
        <f t="shared" ref="W84:X84" si="38">W82+W83</f>
        <v>285440</v>
      </c>
      <c r="X84" s="134">
        <f t="shared" si="38"/>
        <v>320131</v>
      </c>
    </row>
    <row r="85" spans="1:24" s="27" customFormat="1">
      <c r="A85" s="22">
        <v>43</v>
      </c>
      <c r="B85" s="24" t="s">
        <v>36</v>
      </c>
      <c r="C85" s="24"/>
      <c r="D85" s="24"/>
      <c r="E85" s="24"/>
      <c r="F85" s="32">
        <v>2810</v>
      </c>
      <c r="G85" s="32">
        <v>3190</v>
      </c>
      <c r="H85" s="32">
        <v>4191</v>
      </c>
      <c r="I85" s="32">
        <v>4568</v>
      </c>
      <c r="J85" s="32">
        <v>4807</v>
      </c>
      <c r="K85" s="32">
        <v>6936</v>
      </c>
      <c r="L85" s="32">
        <v>7628</v>
      </c>
      <c r="M85" s="131">
        <v>5607</v>
      </c>
      <c r="N85" s="131">
        <v>15327</v>
      </c>
      <c r="O85" s="131">
        <v>8440</v>
      </c>
      <c r="P85" s="131">
        <v>10226</v>
      </c>
      <c r="Q85" s="131">
        <v>13753</v>
      </c>
      <c r="R85" s="131">
        <v>13107</v>
      </c>
      <c r="S85" s="131">
        <v>11702</v>
      </c>
      <c r="T85" s="131">
        <v>14762</v>
      </c>
      <c r="U85" s="229">
        <v>12740</v>
      </c>
      <c r="V85" s="131">
        <v>9116</v>
      </c>
      <c r="W85" s="131">
        <v>10595</v>
      </c>
      <c r="X85" s="131">
        <v>8355</v>
      </c>
    </row>
    <row r="86" spans="1:24">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c r="U86" s="235">
        <v>0</v>
      </c>
      <c r="V86" s="134">
        <v>0</v>
      </c>
      <c r="W86" s="134">
        <v>0</v>
      </c>
      <c r="X86" s="134">
        <v>0</v>
      </c>
    </row>
    <row r="87" spans="1:24"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134">
        <f>'Reg Amort and Other RB'!R64</f>
        <v>-332</v>
      </c>
      <c r="T87" s="134">
        <f>'Reg Amort and Other RB'!S64</f>
        <v>-479</v>
      </c>
      <c r="U87" s="235">
        <v>-485</v>
      </c>
      <c r="V87" s="134">
        <v>-249</v>
      </c>
      <c r="W87" s="134">
        <v>2064</v>
      </c>
      <c r="X87" s="134">
        <v>5331</v>
      </c>
    </row>
    <row r="88" spans="1:24"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c r="U88" s="230">
        <v>16069</v>
      </c>
      <c r="V88" s="133">
        <v>14800</v>
      </c>
      <c r="W88" s="133">
        <v>15075</v>
      </c>
      <c r="X88" s="133">
        <v>7549</v>
      </c>
    </row>
    <row r="89" spans="1:24" s="37" customFormat="1">
      <c r="A89" s="22"/>
      <c r="B89" s="3"/>
      <c r="C89" s="3"/>
      <c r="D89" s="3"/>
      <c r="E89" s="3"/>
      <c r="F89" s="4"/>
      <c r="G89" s="4"/>
      <c r="H89" s="4"/>
      <c r="I89" s="4"/>
      <c r="J89" s="4"/>
      <c r="K89" s="4"/>
      <c r="L89" s="4"/>
      <c r="M89" s="4"/>
      <c r="N89" s="4"/>
      <c r="O89" s="4"/>
      <c r="P89" s="4"/>
      <c r="Q89" s="4"/>
      <c r="R89" s="4"/>
      <c r="S89" s="4"/>
      <c r="T89" s="4"/>
      <c r="U89" s="227"/>
      <c r="V89" s="29"/>
      <c r="W89" s="29"/>
      <c r="X89" s="29"/>
    </row>
    <row r="90" spans="1:24" s="28" customFormat="1">
      <c r="A90" s="22"/>
      <c r="B90" s="3"/>
      <c r="C90" s="3"/>
      <c r="D90" s="3"/>
      <c r="E90" s="3"/>
      <c r="F90" s="32"/>
      <c r="G90" s="32"/>
      <c r="H90" s="32"/>
      <c r="I90" s="32"/>
      <c r="J90" s="32"/>
      <c r="K90" s="32"/>
      <c r="L90" s="32"/>
      <c r="M90" s="32"/>
      <c r="N90" s="32"/>
      <c r="O90" s="32"/>
      <c r="P90" s="32"/>
      <c r="Q90" s="32"/>
      <c r="R90" s="32"/>
      <c r="S90" s="32"/>
      <c r="T90" s="32"/>
      <c r="U90" s="229"/>
      <c r="V90" s="131"/>
      <c r="W90" s="131"/>
      <c r="X90" s="131"/>
    </row>
    <row r="91" spans="1:24" s="28" customFormat="1" ht="12.75" thickBot="1">
      <c r="A91" s="5">
        <v>47</v>
      </c>
      <c r="B91" s="37" t="s">
        <v>38</v>
      </c>
      <c r="C91" s="37"/>
      <c r="D91" s="37"/>
      <c r="E91" s="37"/>
      <c r="F91" s="38">
        <f t="shared" ref="F91:L91" si="39">SUM(F84:F88)</f>
        <v>130920</v>
      </c>
      <c r="G91" s="38">
        <f t="shared" si="39"/>
        <v>135524</v>
      </c>
      <c r="H91" s="38">
        <f t="shared" si="39"/>
        <v>136362</v>
      </c>
      <c r="I91" s="38">
        <f t="shared" si="39"/>
        <v>131627</v>
      </c>
      <c r="J91" s="38">
        <f t="shared" si="39"/>
        <v>130718</v>
      </c>
      <c r="K91" s="38">
        <f t="shared" si="39"/>
        <v>140796</v>
      </c>
      <c r="L91" s="38">
        <f t="shared" si="39"/>
        <v>149362</v>
      </c>
      <c r="M91" s="38">
        <f t="shared" ref="M91:S91" si="40">SUM(M84:M88)</f>
        <v>151699</v>
      </c>
      <c r="N91" s="38">
        <f t="shared" si="40"/>
        <v>169681</v>
      </c>
      <c r="O91" s="38">
        <f t="shared" si="40"/>
        <v>180778</v>
      </c>
      <c r="P91" s="38">
        <f t="shared" si="40"/>
        <v>186920</v>
      </c>
      <c r="Q91" s="38">
        <f t="shared" si="40"/>
        <v>196280</v>
      </c>
      <c r="R91" s="38">
        <f t="shared" si="40"/>
        <v>207578</v>
      </c>
      <c r="S91" s="38">
        <f t="shared" si="40"/>
        <v>224824</v>
      </c>
      <c r="T91" s="38">
        <f t="shared" ref="T91" si="41">SUM(T84:T88)</f>
        <v>250257</v>
      </c>
      <c r="U91" s="231">
        <v>272971</v>
      </c>
      <c r="V91" s="159">
        <f t="shared" ref="V91:X91" si="42">SUM(V84:V88)</f>
        <v>286597</v>
      </c>
      <c r="W91" s="159">
        <f t="shared" si="42"/>
        <v>313174</v>
      </c>
      <c r="X91" s="159">
        <f t="shared" si="42"/>
        <v>341366</v>
      </c>
    </row>
    <row r="92" spans="1:24" s="28" customFormat="1" ht="12.75" thickTop="1">
      <c r="A92" s="5"/>
      <c r="B92" s="37"/>
      <c r="C92" s="37"/>
      <c r="D92" s="37"/>
      <c r="E92" s="37"/>
      <c r="F92" s="112"/>
      <c r="G92" s="112"/>
      <c r="H92" s="112"/>
      <c r="I92" s="112"/>
      <c r="J92" s="112"/>
      <c r="K92" s="112"/>
      <c r="L92" s="112"/>
      <c r="M92" s="112"/>
      <c r="N92" s="112"/>
      <c r="O92" s="112"/>
      <c r="P92" s="112"/>
      <c r="Q92" s="112"/>
      <c r="R92" s="112"/>
      <c r="U92" s="232"/>
    </row>
    <row r="93" spans="1:24" s="28" customFormat="1">
      <c r="A93" s="30"/>
      <c r="D93" s="113" t="s">
        <v>120</v>
      </c>
      <c r="E93" s="31"/>
      <c r="F93" s="29"/>
      <c r="G93" s="29"/>
      <c r="H93" s="29"/>
      <c r="I93" s="29"/>
      <c r="J93" s="29"/>
      <c r="K93" s="29"/>
      <c r="L93" s="29"/>
      <c r="M93" s="29"/>
      <c r="N93" s="29"/>
      <c r="O93" s="29"/>
      <c r="P93" s="29"/>
      <c r="Q93" s="29"/>
      <c r="R93" s="29"/>
      <c r="U93" s="232"/>
      <c r="V93" s="142"/>
    </row>
    <row r="94" spans="1:24" s="28" customFormat="1" ht="5.45" customHeight="1">
      <c r="A94" s="30"/>
      <c r="D94" s="113"/>
      <c r="E94" s="31"/>
      <c r="F94" s="29"/>
      <c r="G94" s="29"/>
      <c r="H94" s="29"/>
      <c r="I94" s="29"/>
      <c r="J94" s="29"/>
      <c r="K94" s="29"/>
      <c r="L94" s="29"/>
      <c r="M94" s="29"/>
      <c r="N94" s="29"/>
      <c r="O94" s="29"/>
      <c r="P94" s="29"/>
      <c r="Q94" s="29"/>
      <c r="R94" s="29"/>
      <c r="U94" s="232"/>
      <c r="V94" s="142"/>
    </row>
    <row r="95" spans="1:24" s="28" customFormat="1" ht="12.75">
      <c r="A95" s="119" t="s">
        <v>43</v>
      </c>
      <c r="D95" s="113"/>
      <c r="E95" s="31"/>
      <c r="F95" s="29"/>
      <c r="G95" s="29"/>
      <c r="H95" s="29"/>
      <c r="I95" s="29"/>
      <c r="J95" s="29"/>
      <c r="K95" s="29"/>
      <c r="L95" s="29"/>
      <c r="M95" s="29"/>
      <c r="N95" s="29"/>
      <c r="O95" s="29"/>
      <c r="P95" s="29"/>
      <c r="Q95" s="29"/>
      <c r="R95" s="29"/>
      <c r="U95" s="232"/>
      <c r="V95" s="142"/>
    </row>
    <row r="96" spans="1:24" s="28" customFormat="1" ht="12.75">
      <c r="A96" s="119" t="s">
        <v>48</v>
      </c>
      <c r="D96" s="113"/>
      <c r="E96" s="31"/>
      <c r="F96" s="29"/>
      <c r="G96" s="29"/>
      <c r="H96" s="29"/>
      <c r="I96" s="29"/>
      <c r="J96" s="29"/>
      <c r="K96" s="29"/>
      <c r="L96" s="29"/>
      <c r="M96" s="29"/>
      <c r="N96" s="29"/>
      <c r="O96" s="29"/>
      <c r="P96" s="29"/>
      <c r="Q96" s="29"/>
      <c r="R96" s="29"/>
      <c r="U96" s="232"/>
      <c r="V96" s="142"/>
    </row>
    <row r="97" spans="1:24" s="28" customFormat="1" ht="12.75">
      <c r="A97" s="119" t="s">
        <v>39</v>
      </c>
      <c r="D97" s="113"/>
      <c r="E97" s="31"/>
      <c r="F97" s="29"/>
      <c r="G97" s="29"/>
      <c r="H97" s="29"/>
      <c r="I97" s="29"/>
      <c r="J97" s="29"/>
      <c r="K97" s="29"/>
      <c r="L97" s="29"/>
      <c r="M97" s="29"/>
      <c r="N97" s="29"/>
      <c r="O97" s="29"/>
      <c r="P97" s="29"/>
      <c r="Q97" s="29"/>
      <c r="R97" s="29"/>
      <c r="U97" s="232"/>
      <c r="V97" s="142"/>
    </row>
    <row r="98" spans="1:24" s="28" customFormat="1" ht="14.25" customHeight="1">
      <c r="A98" s="30"/>
      <c r="D98" s="113"/>
      <c r="E98" s="347" t="s">
        <v>133</v>
      </c>
      <c r="F98" s="347"/>
      <c r="G98" s="347"/>
      <c r="H98" s="347"/>
      <c r="I98" s="347"/>
      <c r="J98" s="347"/>
      <c r="K98" s="347"/>
      <c r="L98" s="347"/>
      <c r="M98" s="347"/>
      <c r="N98" s="347"/>
      <c r="O98" s="347"/>
      <c r="P98" s="347"/>
      <c r="Q98" s="347"/>
      <c r="R98" s="347"/>
      <c r="T98" s="162"/>
      <c r="U98" s="233"/>
      <c r="V98" s="171"/>
    </row>
    <row r="99" spans="1:24" s="28" customFormat="1" ht="3" customHeight="1">
      <c r="A99" s="30"/>
      <c r="D99" s="113"/>
      <c r="E99" s="31"/>
      <c r="F99" s="114"/>
      <c r="G99" s="114"/>
      <c r="H99" s="114"/>
      <c r="I99" s="114"/>
      <c r="J99" s="114"/>
      <c r="K99" s="114"/>
      <c r="L99" s="114"/>
      <c r="M99" s="114"/>
      <c r="N99" s="114"/>
      <c r="O99" s="114"/>
      <c r="P99" s="114"/>
      <c r="Q99" s="114"/>
      <c r="R99" s="114"/>
      <c r="U99" s="232"/>
      <c r="V99" s="142"/>
    </row>
    <row r="100" spans="1:24" s="28" customFormat="1" ht="12" customHeight="1">
      <c r="A100" s="30"/>
      <c r="D100" s="113"/>
      <c r="E100" s="31"/>
      <c r="F100" s="127">
        <f>F8</f>
        <v>2000</v>
      </c>
      <c r="G100" s="127">
        <f t="shared" ref="G100:R100" si="43">G8</f>
        <v>2001</v>
      </c>
      <c r="H100" s="127">
        <f t="shared" si="43"/>
        <v>2002</v>
      </c>
      <c r="I100" s="127">
        <f t="shared" si="43"/>
        <v>2003</v>
      </c>
      <c r="J100" s="127">
        <f t="shared" si="43"/>
        <v>2004</v>
      </c>
      <c r="K100" s="127">
        <f t="shared" si="43"/>
        <v>2005</v>
      </c>
      <c r="L100" s="127">
        <f t="shared" si="43"/>
        <v>2006</v>
      </c>
      <c r="M100" s="127">
        <f t="shared" si="43"/>
        <v>2007</v>
      </c>
      <c r="N100" s="127">
        <f t="shared" si="43"/>
        <v>2008</v>
      </c>
      <c r="O100" s="127">
        <f t="shared" si="43"/>
        <v>2009</v>
      </c>
      <c r="P100" s="127">
        <f t="shared" si="43"/>
        <v>2010</v>
      </c>
      <c r="Q100" s="127">
        <f t="shared" si="43"/>
        <v>2011</v>
      </c>
      <c r="R100" s="127">
        <f t="shared" si="43"/>
        <v>2012</v>
      </c>
      <c r="S100" s="127">
        <f>S8</f>
        <v>2013</v>
      </c>
      <c r="T100" s="127">
        <f>T8</f>
        <v>2014</v>
      </c>
      <c r="U100" s="236">
        <v>2015</v>
      </c>
      <c r="V100" s="127">
        <f>V8</f>
        <v>2016</v>
      </c>
      <c r="W100" s="64">
        <v>2017</v>
      </c>
      <c r="X100" s="64">
        <v>2018</v>
      </c>
    </row>
    <row r="101" spans="1:24" s="28" customFormat="1" ht="24">
      <c r="A101" s="120" t="s">
        <v>137</v>
      </c>
      <c r="D101" s="126" t="s">
        <v>152</v>
      </c>
      <c r="E101" s="31"/>
      <c r="F101" s="29"/>
      <c r="G101" s="29"/>
      <c r="H101" s="29"/>
      <c r="I101" s="29"/>
      <c r="J101" s="29"/>
      <c r="K101" s="29"/>
      <c r="L101" s="29"/>
      <c r="M101" s="29"/>
      <c r="N101" s="29"/>
      <c r="O101" s="29"/>
      <c r="P101" s="29"/>
      <c r="Q101" s="29"/>
      <c r="R101" s="29"/>
      <c r="S101" s="29"/>
      <c r="T101" s="29"/>
      <c r="U101" s="227"/>
      <c r="V101" s="136"/>
    </row>
    <row r="102" spans="1:24" s="28" customFormat="1">
      <c r="A102" s="30">
        <v>1</v>
      </c>
      <c r="C102" s="28" t="s">
        <v>16</v>
      </c>
      <c r="E102" s="115" t="s">
        <v>121</v>
      </c>
      <c r="F102" s="72">
        <f>F25</f>
        <v>312</v>
      </c>
      <c r="G102" s="72">
        <f t="shared" ref="G102:R102" si="44">G25</f>
        <v>322</v>
      </c>
      <c r="H102" s="72">
        <f t="shared" si="44"/>
        <v>357</v>
      </c>
      <c r="I102" s="72">
        <f t="shared" si="44"/>
        <v>342</v>
      </c>
      <c r="J102" s="72">
        <f t="shared" si="44"/>
        <v>381</v>
      </c>
      <c r="K102" s="72">
        <f t="shared" si="44"/>
        <v>450</v>
      </c>
      <c r="L102" s="72">
        <f t="shared" si="44"/>
        <v>492</v>
      </c>
      <c r="M102" s="72">
        <f t="shared" si="44"/>
        <v>451</v>
      </c>
      <c r="N102" s="72">
        <f t="shared" si="44"/>
        <v>436</v>
      </c>
      <c r="O102" s="72">
        <f t="shared" si="44"/>
        <v>403</v>
      </c>
      <c r="P102" s="72">
        <f t="shared" si="44"/>
        <v>380</v>
      </c>
      <c r="Q102" s="72">
        <f t="shared" si="44"/>
        <v>585</v>
      </c>
      <c r="R102" s="72">
        <f t="shared" si="44"/>
        <v>712</v>
      </c>
      <c r="S102" s="72">
        <f>S25</f>
        <v>820</v>
      </c>
      <c r="T102" s="72">
        <f>T25</f>
        <v>893</v>
      </c>
      <c r="U102" s="237">
        <v>857</v>
      </c>
      <c r="V102" s="72">
        <f>V25</f>
        <v>974</v>
      </c>
      <c r="W102" s="72">
        <f t="shared" ref="W102:X102" si="45">W25</f>
        <v>1032</v>
      </c>
      <c r="X102" s="72">
        <f t="shared" si="45"/>
        <v>1532</v>
      </c>
    </row>
    <row r="103" spans="1:24" s="28" customFormat="1">
      <c r="A103" s="30">
        <v>2</v>
      </c>
      <c r="C103" s="28" t="s">
        <v>19</v>
      </c>
      <c r="E103" s="115" t="s">
        <v>125</v>
      </c>
      <c r="F103" s="72">
        <f>F31</f>
        <v>3956</v>
      </c>
      <c r="G103" s="72">
        <f t="shared" ref="G103:R103" si="46">G31</f>
        <v>4655</v>
      </c>
      <c r="H103" s="72">
        <f t="shared" si="46"/>
        <v>5482</v>
      </c>
      <c r="I103" s="72">
        <f t="shared" si="46"/>
        <v>5762</v>
      </c>
      <c r="J103" s="72">
        <f t="shared" si="46"/>
        <v>5958</v>
      </c>
      <c r="K103" s="72">
        <f t="shared" si="46"/>
        <v>6084</v>
      </c>
      <c r="L103" s="72">
        <f t="shared" si="46"/>
        <v>6359</v>
      </c>
      <c r="M103" s="72">
        <f t="shared" si="46"/>
        <v>6467</v>
      </c>
      <c r="N103" s="72">
        <f t="shared" si="46"/>
        <v>6123</v>
      </c>
      <c r="O103" s="72">
        <f t="shared" si="46"/>
        <v>7700</v>
      </c>
      <c r="P103" s="72">
        <f t="shared" si="46"/>
        <v>7696</v>
      </c>
      <c r="Q103" s="72">
        <f t="shared" si="46"/>
        <v>8854</v>
      </c>
      <c r="R103" s="72">
        <f t="shared" si="46"/>
        <v>9511</v>
      </c>
      <c r="S103" s="72">
        <f>S31</f>
        <v>10820</v>
      </c>
      <c r="T103" s="72">
        <f>T31</f>
        <v>10704</v>
      </c>
      <c r="U103" s="237">
        <v>12315</v>
      </c>
      <c r="V103" s="72">
        <f>V31</f>
        <v>12050</v>
      </c>
      <c r="W103" s="72">
        <f t="shared" ref="W103:X103" si="47">W31</f>
        <v>12380</v>
      </c>
      <c r="X103" s="72">
        <f t="shared" si="47"/>
        <v>12308</v>
      </c>
    </row>
    <row r="104" spans="1:24" s="28" customFormat="1">
      <c r="A104" s="30">
        <v>3</v>
      </c>
      <c r="C104" s="28" t="s">
        <v>21</v>
      </c>
      <c r="E104" s="115" t="s">
        <v>126</v>
      </c>
      <c r="F104" s="72">
        <f>F36</f>
        <v>3175</v>
      </c>
      <c r="G104" s="72">
        <f t="shared" ref="G104:R104" si="48">G36</f>
        <v>3367</v>
      </c>
      <c r="H104" s="72">
        <f t="shared" si="48"/>
        <v>4108</v>
      </c>
      <c r="I104" s="72">
        <f t="shared" si="48"/>
        <v>4121</v>
      </c>
      <c r="J104" s="72">
        <f t="shared" si="48"/>
        <v>4337</v>
      </c>
      <c r="K104" s="72">
        <f t="shared" si="48"/>
        <v>4249</v>
      </c>
      <c r="L104" s="72">
        <f t="shared" si="48"/>
        <v>4225</v>
      </c>
      <c r="M104" s="72">
        <f t="shared" si="48"/>
        <v>4487</v>
      </c>
      <c r="N104" s="72">
        <f t="shared" si="48"/>
        <v>4692</v>
      </c>
      <c r="O104" s="72">
        <f t="shared" si="48"/>
        <v>5586</v>
      </c>
      <c r="P104" s="72">
        <f t="shared" si="48"/>
        <v>5234</v>
      </c>
      <c r="Q104" s="72">
        <f t="shared" si="48"/>
        <v>5739.734942</v>
      </c>
      <c r="R104" s="72">
        <f t="shared" si="48"/>
        <v>5796</v>
      </c>
      <c r="S104" s="72">
        <f t="shared" ref="S104:T106" si="49">S36</f>
        <v>6270</v>
      </c>
      <c r="T104" s="72">
        <f t="shared" si="49"/>
        <v>6108</v>
      </c>
      <c r="U104" s="237">
        <v>6632</v>
      </c>
      <c r="V104" s="72">
        <f t="shared" ref="V104:X106" si="50">V36</f>
        <v>6811</v>
      </c>
      <c r="W104" s="72">
        <f t="shared" si="50"/>
        <v>6991</v>
      </c>
      <c r="X104" s="72">
        <f t="shared" si="50"/>
        <v>6967</v>
      </c>
    </row>
    <row r="105" spans="1:24" s="28" customFormat="1">
      <c r="A105" s="30">
        <v>4</v>
      </c>
      <c r="C105" s="28" t="s">
        <v>122</v>
      </c>
      <c r="E105" s="115" t="s">
        <v>127</v>
      </c>
      <c r="F105" s="72">
        <f t="shared" ref="F105:R106" si="51">F37</f>
        <v>507</v>
      </c>
      <c r="G105" s="72">
        <f t="shared" si="51"/>
        <v>1513</v>
      </c>
      <c r="H105" s="72">
        <f t="shared" si="51"/>
        <v>2252</v>
      </c>
      <c r="I105" s="72">
        <f t="shared" si="51"/>
        <v>2747</v>
      </c>
      <c r="J105" s="72">
        <f t="shared" si="51"/>
        <v>480</v>
      </c>
      <c r="K105" s="72">
        <f t="shared" si="51"/>
        <v>3523</v>
      </c>
      <c r="L105" s="72">
        <f t="shared" si="51"/>
        <v>1061</v>
      </c>
      <c r="M105" s="72">
        <f t="shared" si="51"/>
        <v>4658</v>
      </c>
      <c r="N105" s="72">
        <f t="shared" si="51"/>
        <v>5169</v>
      </c>
      <c r="O105" s="72">
        <f t="shared" si="51"/>
        <v>7609</v>
      </c>
      <c r="P105" s="72">
        <f t="shared" si="51"/>
        <v>9505</v>
      </c>
      <c r="Q105" s="72">
        <f t="shared" si="51"/>
        <v>9777</v>
      </c>
      <c r="R105" s="72">
        <f t="shared" si="51"/>
        <v>6955</v>
      </c>
      <c r="S105" s="72">
        <f t="shared" si="49"/>
        <v>983</v>
      </c>
      <c r="T105" s="72">
        <f t="shared" si="49"/>
        <v>865</v>
      </c>
      <c r="U105" s="237">
        <v>837</v>
      </c>
      <c r="V105" s="72">
        <f t="shared" si="50"/>
        <v>964</v>
      </c>
      <c r="W105" s="72">
        <f t="shared" si="50"/>
        <v>1000</v>
      </c>
      <c r="X105" s="72">
        <f t="shared" si="50"/>
        <v>1232</v>
      </c>
    </row>
    <row r="106" spans="1:24" s="28" customFormat="1">
      <c r="A106" s="30">
        <v>5</v>
      </c>
      <c r="C106" s="28" t="s">
        <v>123</v>
      </c>
      <c r="E106" s="115" t="s">
        <v>128</v>
      </c>
      <c r="F106" s="72">
        <f t="shared" si="51"/>
        <v>703</v>
      </c>
      <c r="G106" s="72">
        <f t="shared" si="51"/>
        <v>445</v>
      </c>
      <c r="H106" s="72">
        <f t="shared" si="51"/>
        <v>375</v>
      </c>
      <c r="I106" s="72">
        <f t="shared" si="51"/>
        <v>492</v>
      </c>
      <c r="J106" s="72">
        <f t="shared" si="51"/>
        <v>427</v>
      </c>
      <c r="K106" s="72">
        <f t="shared" si="51"/>
        <v>320</v>
      </c>
      <c r="L106" s="72">
        <f t="shared" si="51"/>
        <v>496</v>
      </c>
      <c r="M106" s="72">
        <f t="shared" si="51"/>
        <v>516</v>
      </c>
      <c r="N106" s="72">
        <f t="shared" si="51"/>
        <v>442</v>
      </c>
      <c r="O106" s="72">
        <f t="shared" si="51"/>
        <v>497</v>
      </c>
      <c r="P106" s="72">
        <f t="shared" si="51"/>
        <v>105</v>
      </c>
      <c r="Q106" s="72">
        <f t="shared" si="51"/>
        <v>3</v>
      </c>
      <c r="R106" s="72">
        <f t="shared" si="51"/>
        <v>3</v>
      </c>
      <c r="S106" s="72">
        <f t="shared" si="49"/>
        <v>3</v>
      </c>
      <c r="T106" s="72">
        <f t="shared" si="49"/>
        <v>0</v>
      </c>
      <c r="U106" s="237">
        <v>0</v>
      </c>
      <c r="V106" s="72">
        <f t="shared" si="50"/>
        <v>0</v>
      </c>
      <c r="W106" s="72">
        <f t="shared" si="50"/>
        <v>0</v>
      </c>
      <c r="X106" s="72">
        <f t="shared" si="50"/>
        <v>0</v>
      </c>
    </row>
    <row r="107" spans="1:24" s="28" customFormat="1">
      <c r="A107" s="30">
        <v>6</v>
      </c>
      <c r="C107" s="28" t="s">
        <v>124</v>
      </c>
      <c r="E107" s="115" t="s">
        <v>129</v>
      </c>
      <c r="F107" s="72">
        <f>F41</f>
        <v>8004</v>
      </c>
      <c r="G107" s="72">
        <f t="shared" ref="G107:R107" si="52">G41</f>
        <v>7578</v>
      </c>
      <c r="H107" s="72">
        <f t="shared" si="52"/>
        <v>9399</v>
      </c>
      <c r="I107" s="72">
        <f t="shared" si="52"/>
        <v>9827</v>
      </c>
      <c r="J107" s="72">
        <f t="shared" si="52"/>
        <v>8911</v>
      </c>
      <c r="K107" s="72">
        <f t="shared" si="52"/>
        <v>9196</v>
      </c>
      <c r="L107" s="72">
        <f t="shared" si="52"/>
        <v>8393</v>
      </c>
      <c r="M107" s="72">
        <f t="shared" si="52"/>
        <v>8901</v>
      </c>
      <c r="N107" s="72">
        <f t="shared" si="52"/>
        <v>9706</v>
      </c>
      <c r="O107" s="72">
        <f t="shared" si="52"/>
        <v>9770</v>
      </c>
      <c r="P107" s="72">
        <f t="shared" si="52"/>
        <v>11383</v>
      </c>
      <c r="Q107" s="72">
        <f t="shared" si="52"/>
        <v>11585.118</v>
      </c>
      <c r="R107" s="72">
        <f t="shared" si="52"/>
        <v>13419</v>
      </c>
      <c r="S107" s="72">
        <f>S41</f>
        <v>11862</v>
      </c>
      <c r="T107" s="72">
        <f>T41</f>
        <v>12777</v>
      </c>
      <c r="U107" s="237">
        <v>14007</v>
      </c>
      <c r="V107" s="72">
        <f>V41</f>
        <v>13267</v>
      </c>
      <c r="W107" s="72">
        <f t="shared" ref="W107:X107" si="53">W41</f>
        <v>13375</v>
      </c>
      <c r="X107" s="72">
        <f t="shared" si="53"/>
        <v>14612</v>
      </c>
    </row>
    <row r="108" spans="1:24" s="28" customFormat="1">
      <c r="A108" s="30">
        <v>7</v>
      </c>
      <c r="B108" s="28" t="s">
        <v>66</v>
      </c>
      <c r="F108" s="116">
        <f>SUM(F102:F107)</f>
        <v>16657</v>
      </c>
      <c r="G108" s="116">
        <f t="shared" ref="G108:R108" si="54">SUM(G102:G107)</f>
        <v>17880</v>
      </c>
      <c r="H108" s="116">
        <f t="shared" si="54"/>
        <v>21973</v>
      </c>
      <c r="I108" s="116">
        <f t="shared" si="54"/>
        <v>23291</v>
      </c>
      <c r="J108" s="116">
        <f t="shared" si="54"/>
        <v>20494</v>
      </c>
      <c r="K108" s="116">
        <f t="shared" si="54"/>
        <v>23822</v>
      </c>
      <c r="L108" s="116">
        <f t="shared" si="54"/>
        <v>21026</v>
      </c>
      <c r="M108" s="116">
        <f t="shared" si="54"/>
        <v>25480</v>
      </c>
      <c r="N108" s="116">
        <f t="shared" si="54"/>
        <v>26568</v>
      </c>
      <c r="O108" s="116">
        <f t="shared" si="54"/>
        <v>31565</v>
      </c>
      <c r="P108" s="116">
        <f t="shared" si="54"/>
        <v>34303</v>
      </c>
      <c r="Q108" s="116">
        <f t="shared" si="54"/>
        <v>36543.852941999998</v>
      </c>
      <c r="R108" s="116">
        <f t="shared" si="54"/>
        <v>36396</v>
      </c>
      <c r="S108" s="116">
        <f>SUM(S102:S107)</f>
        <v>30758</v>
      </c>
      <c r="T108" s="116">
        <f>SUM(T102:T107)</f>
        <v>31347</v>
      </c>
      <c r="U108" s="238">
        <v>34648</v>
      </c>
      <c r="V108" s="270">
        <f>SUM(V102:V107)</f>
        <v>34066</v>
      </c>
      <c r="W108" s="270">
        <f t="shared" ref="W108:X108" si="55">SUM(W102:W107)</f>
        <v>34778</v>
      </c>
      <c r="X108" s="270">
        <f t="shared" si="55"/>
        <v>36651</v>
      </c>
    </row>
    <row r="109" spans="1:24" s="28" customFormat="1">
      <c r="A109" s="30">
        <v>8</v>
      </c>
      <c r="C109" s="28" t="s">
        <v>115</v>
      </c>
      <c r="F109" s="72">
        <f>'Riders and Gas Cost Revenue'!H63</f>
        <v>163</v>
      </c>
      <c r="G109" s="72">
        <f>'Riders and Gas Cost Revenue'!J63</f>
        <v>232</v>
      </c>
      <c r="H109" s="72">
        <f>'Riders and Gas Cost Revenue'!L63</f>
        <v>261</v>
      </c>
      <c r="I109" s="72">
        <f>'Riders and Gas Cost Revenue'!N63</f>
        <v>285</v>
      </c>
      <c r="J109" s="72">
        <f>'Riders and Gas Cost Revenue'!P63</f>
        <v>369</v>
      </c>
      <c r="K109" s="72">
        <f>'Riders and Gas Cost Revenue'!R63</f>
        <v>651</v>
      </c>
      <c r="L109" s="72">
        <f>'Riders and Gas Cost Revenue'!T63</f>
        <v>653</v>
      </c>
      <c r="M109" s="72">
        <f>'Riders and Gas Cost Revenue'!W63</f>
        <v>792</v>
      </c>
      <c r="N109" s="72">
        <f>'Riders and Gas Cost Revenue'!Z63</f>
        <v>783</v>
      </c>
      <c r="O109" s="72">
        <f>'Riders and Gas Cost Revenue'!AC63</f>
        <v>802</v>
      </c>
      <c r="P109" s="72">
        <f>'Riders and Gas Cost Revenue'!AF63</f>
        <v>800</v>
      </c>
      <c r="Q109" s="72">
        <f>'Riders and Gas Cost Revenue'!AI63</f>
        <v>981</v>
      </c>
      <c r="R109" s="72">
        <f>'Riders and Gas Cost Revenue'!AL63</f>
        <v>928</v>
      </c>
      <c r="S109" s="72">
        <f>'Riders and Gas Cost Revenue'!AO63</f>
        <v>891</v>
      </c>
      <c r="T109" s="72">
        <f>'Riders and Gas Cost Revenue'!AR63</f>
        <v>779</v>
      </c>
      <c r="U109" s="237">
        <v>840</v>
      </c>
      <c r="V109" s="72">
        <v>994</v>
      </c>
      <c r="W109" s="72">
        <v>944</v>
      </c>
      <c r="X109" s="72">
        <v>959</v>
      </c>
    </row>
    <row r="110" spans="1:24" s="28" customFormat="1" ht="12" customHeight="1">
      <c r="A110" s="30">
        <v>9</v>
      </c>
      <c r="C110" s="28" t="s">
        <v>149</v>
      </c>
      <c r="F110" s="72">
        <f>SUM('Riders and Gas Cost Revenue'!H35:H40)</f>
        <v>-410</v>
      </c>
      <c r="G110" s="72">
        <f>SUM('Riders and Gas Cost Revenue'!J35:J40)</f>
        <v>-764</v>
      </c>
      <c r="H110" s="72">
        <f>SUM('Riders and Gas Cost Revenue'!L35:L40)</f>
        <v>-788</v>
      </c>
      <c r="I110" s="72">
        <f>SUM('Riders and Gas Cost Revenue'!N35:N40)</f>
        <v>-694</v>
      </c>
      <c r="J110" s="72">
        <f>SUM('Riders and Gas Cost Revenue'!P35:P40)</f>
        <v>-818</v>
      </c>
      <c r="K110" s="72">
        <f>SUM('Riders and Gas Cost Revenue'!R35:R40)</f>
        <v>-933</v>
      </c>
      <c r="L110" s="72">
        <f>SUM('Riders and Gas Cost Revenue'!T35:T40)</f>
        <v>-1071</v>
      </c>
      <c r="M110" s="72">
        <f>SUM('Riders and Gas Cost Revenue'!W35:W40)</f>
        <v>-1115</v>
      </c>
      <c r="N110" s="72">
        <f>SUM('Riders and Gas Cost Revenue'!Z35:Z40)</f>
        <v>-1054</v>
      </c>
      <c r="O110" s="72">
        <f>SUM('Riders and Gas Cost Revenue'!AC35:AC40)</f>
        <v>-865</v>
      </c>
      <c r="P110" s="72">
        <f>SUM('Riders and Gas Cost Revenue'!AF35:AF40)</f>
        <v>-564</v>
      </c>
      <c r="Q110" s="72">
        <f>SUM('Riders and Gas Cost Revenue'!AI35:AI40)</f>
        <v>-601</v>
      </c>
      <c r="R110" s="72">
        <f>SUM('Riders and Gas Cost Revenue'!AL35:AL40)</f>
        <v>-535</v>
      </c>
      <c r="S110" s="72">
        <f>SUM('Riders and Gas Cost Revenue'!AO35:AO40)</f>
        <v>-549</v>
      </c>
      <c r="T110" s="72">
        <f>SUM('Riders and Gas Cost Revenue'!AR35:AR40)</f>
        <v>-602</v>
      </c>
      <c r="U110" s="237">
        <v>-730</v>
      </c>
      <c r="V110" s="72">
        <v>-454</v>
      </c>
      <c r="W110" s="72">
        <v>-461</v>
      </c>
      <c r="X110" s="72">
        <v>-312</v>
      </c>
    </row>
    <row r="111" spans="1:24" s="28" customFormat="1">
      <c r="A111" s="30">
        <v>10</v>
      </c>
      <c r="C111" s="28" t="s">
        <v>150</v>
      </c>
      <c r="F111" s="72">
        <f>'Riders and Gas Cost Revenue'!G35+'Riders and Gas Cost Revenue'!G36+'Riders and Gas Cost Revenue'!G40</f>
        <v>0</v>
      </c>
      <c r="G111" s="72">
        <f>'Riders and Gas Cost Revenue'!I35+'Riders and Gas Cost Revenue'!I36+'Riders and Gas Cost Revenue'!I40</f>
        <v>-956</v>
      </c>
      <c r="H111" s="72">
        <f>'Riders and Gas Cost Revenue'!K35+'Riders and Gas Cost Revenue'!K36+'Riders and Gas Cost Revenue'!K40</f>
        <v>-1709</v>
      </c>
      <c r="I111" s="72">
        <f>'Riders and Gas Cost Revenue'!M35+'Riders and Gas Cost Revenue'!M36+'Riders and Gas Cost Revenue'!M40</f>
        <v>-2043</v>
      </c>
      <c r="J111" s="72">
        <f>'Riders and Gas Cost Revenue'!O35+'Riders and Gas Cost Revenue'!O36+'Riders and Gas Cost Revenue'!O40</f>
        <v>0</v>
      </c>
      <c r="K111" s="72">
        <f>'Riders and Gas Cost Revenue'!Q35+'Riders and Gas Cost Revenue'!Q36+'Riders and Gas Cost Revenue'!Q40</f>
        <v>-2862</v>
      </c>
      <c r="L111" s="72">
        <f>'Riders and Gas Cost Revenue'!S35+'Riders and Gas Cost Revenue'!S36+'Riders and Gas Cost Revenue'!S40</f>
        <v>0</v>
      </c>
      <c r="M111" s="72">
        <f>'Riders and Gas Cost Revenue'!U35+'Riders and Gas Cost Revenue'!U36+'Riders and Gas Cost Revenue'!U40</f>
        <v>-3862</v>
      </c>
      <c r="N111" s="72">
        <f>'Riders and Gas Cost Revenue'!X35+'Riders and Gas Cost Revenue'!X36+'Riders and Gas Cost Revenue'!X40</f>
        <v>-4412</v>
      </c>
      <c r="O111" s="72">
        <f>'Riders and Gas Cost Revenue'!AA35+'Riders and Gas Cost Revenue'!AA36+'Riders and Gas Cost Revenue'!AA40</f>
        <v>-6825</v>
      </c>
      <c r="P111" s="72">
        <f>'Riders and Gas Cost Revenue'!AD35+'Riders and Gas Cost Revenue'!AD36+'Riders and Gas Cost Revenue'!AD40</f>
        <v>-8477</v>
      </c>
      <c r="Q111" s="72">
        <f>'Riders and Gas Cost Revenue'!AG35+'Riders and Gas Cost Revenue'!AG36+'Riders and Gas Cost Revenue'!AG40</f>
        <v>-9017</v>
      </c>
      <c r="R111" s="72">
        <f>'Riders and Gas Cost Revenue'!AJ35+'Riders and Gas Cost Revenue'!AJ36+'Riders and Gas Cost Revenue'!AJ40</f>
        <v>-5984</v>
      </c>
      <c r="S111" s="72">
        <f>'Riders and Gas Cost Revenue'!AM35+'Riders and Gas Cost Revenue'!AM36+'Riders and Gas Cost Revenue'!AM40</f>
        <v>0</v>
      </c>
      <c r="T111" s="72">
        <f>'Riders and Gas Cost Revenue'!AP35+'Riders and Gas Cost Revenue'!AP36+'Riders and Gas Cost Revenue'!AP40</f>
        <v>0</v>
      </c>
      <c r="U111" s="237">
        <v>0</v>
      </c>
      <c r="V111" s="72">
        <v>0</v>
      </c>
      <c r="W111" s="72">
        <v>0</v>
      </c>
      <c r="X111" s="72">
        <v>0</v>
      </c>
    </row>
    <row r="112" spans="1:24">
      <c r="A112" s="30">
        <v>11</v>
      </c>
      <c r="B112" s="28"/>
      <c r="C112" s="28" t="s">
        <v>151</v>
      </c>
      <c r="D112" s="28"/>
      <c r="E112" s="28"/>
      <c r="F112" s="117">
        <v>0</v>
      </c>
      <c r="G112" s="117">
        <v>0</v>
      </c>
      <c r="H112" s="117">
        <v>0</v>
      </c>
      <c r="I112" s="117">
        <v>0</v>
      </c>
      <c r="J112" s="117">
        <v>0</v>
      </c>
      <c r="K112" s="117">
        <v>0</v>
      </c>
      <c r="L112" s="117">
        <v>0</v>
      </c>
      <c r="M112" s="117">
        <f>'Riders and Gas Cost Revenue'!V35+'Riders and Gas Cost Revenue'!V40</f>
        <v>0</v>
      </c>
      <c r="N112" s="117">
        <f>'Riders and Gas Cost Revenue'!Y35+'Riders and Gas Cost Revenue'!Y40</f>
        <v>-3</v>
      </c>
      <c r="O112" s="117">
        <f>'Riders and Gas Cost Revenue'!AB35+'Riders and Gas Cost Revenue'!AB40</f>
        <v>-5</v>
      </c>
      <c r="P112" s="117">
        <f>'Riders and Gas Cost Revenue'!AE35+'Riders and Gas Cost Revenue'!AE40</f>
        <v>-3</v>
      </c>
      <c r="Q112" s="117">
        <f>'Riders and Gas Cost Revenue'!AH35+'Riders and Gas Cost Revenue'!AH40</f>
        <v>-3</v>
      </c>
      <c r="R112" s="117">
        <f>'Riders and Gas Cost Revenue'!AK35+'Riders and Gas Cost Revenue'!AK40</f>
        <v>-1</v>
      </c>
      <c r="S112" s="117">
        <f>'Riders and Gas Cost Revenue'!AN35+'Riders and Gas Cost Revenue'!AN40</f>
        <v>0</v>
      </c>
      <c r="T112" s="117">
        <f>'Riders and Gas Cost Revenue'!AQ35+'Riders and Gas Cost Revenue'!AQ40</f>
        <v>0</v>
      </c>
      <c r="U112" s="239">
        <v>0</v>
      </c>
      <c r="V112" s="117">
        <v>0</v>
      </c>
      <c r="W112" s="117">
        <v>0</v>
      </c>
      <c r="X112" s="117">
        <v>0</v>
      </c>
    </row>
    <row r="113" spans="1:24" ht="12.75" thickBot="1">
      <c r="A113" s="30">
        <v>12</v>
      </c>
      <c r="B113" s="64" t="s">
        <v>148</v>
      </c>
      <c r="C113" s="64"/>
      <c r="D113" s="64"/>
      <c r="E113" s="64"/>
      <c r="F113" s="61">
        <f>SUM(F103:F112)</f>
        <v>32755</v>
      </c>
      <c r="G113" s="61">
        <f>SUM(G108:G112)</f>
        <v>16392</v>
      </c>
      <c r="H113" s="61">
        <f t="shared" ref="H113:S113" si="56">SUM(H108:H112)</f>
        <v>19737</v>
      </c>
      <c r="I113" s="61">
        <f t="shared" si="56"/>
        <v>20839</v>
      </c>
      <c r="J113" s="61">
        <f t="shared" si="56"/>
        <v>20045</v>
      </c>
      <c r="K113" s="61">
        <f t="shared" si="56"/>
        <v>20678</v>
      </c>
      <c r="L113" s="61">
        <f t="shared" si="56"/>
        <v>20608</v>
      </c>
      <c r="M113" s="61">
        <f t="shared" si="56"/>
        <v>21295</v>
      </c>
      <c r="N113" s="61">
        <f t="shared" si="56"/>
        <v>21882</v>
      </c>
      <c r="O113" s="61">
        <f t="shared" si="56"/>
        <v>24672</v>
      </c>
      <c r="P113" s="61">
        <f t="shared" si="56"/>
        <v>26059</v>
      </c>
      <c r="Q113" s="61">
        <f t="shared" si="56"/>
        <v>27903.852941999998</v>
      </c>
      <c r="R113" s="61">
        <f t="shared" si="56"/>
        <v>30804</v>
      </c>
      <c r="S113" s="61">
        <f t="shared" si="56"/>
        <v>31100</v>
      </c>
      <c r="T113" s="61">
        <f t="shared" ref="T113" si="57">SUM(T108:T112)</f>
        <v>31524</v>
      </c>
      <c r="U113" s="240">
        <v>34758</v>
      </c>
      <c r="V113" s="61">
        <f t="shared" ref="V113" si="58">SUM(V108:V112)</f>
        <v>34606</v>
      </c>
      <c r="W113" s="61">
        <f t="shared" ref="W113:X113" si="59">SUM(W108:W112)</f>
        <v>35261</v>
      </c>
      <c r="X113" s="61">
        <f t="shared" si="59"/>
        <v>37298</v>
      </c>
    </row>
    <row r="114" spans="1:24" ht="12.75" thickTop="1">
      <c r="A114" s="30"/>
      <c r="D114" s="3" t="s">
        <v>139</v>
      </c>
      <c r="G114" s="101">
        <f>(G113-F113)/F113</f>
        <v>-0.49955731949320714</v>
      </c>
      <c r="H114" s="101">
        <f t="shared" ref="H114:T114" si="60">(H113-G113)/G113</f>
        <v>0.20406295754026355</v>
      </c>
      <c r="I114" s="101">
        <f t="shared" si="60"/>
        <v>5.5834219992906726E-2</v>
      </c>
      <c r="J114" s="101">
        <f t="shared" si="60"/>
        <v>-3.8101636354911463E-2</v>
      </c>
      <c r="K114" s="101">
        <f t="shared" si="60"/>
        <v>3.1578947368421054E-2</v>
      </c>
      <c r="L114" s="101">
        <f t="shared" si="60"/>
        <v>-3.3852403520649968E-3</v>
      </c>
      <c r="M114" s="101">
        <f t="shared" si="60"/>
        <v>3.3336568322981368E-2</v>
      </c>
      <c r="N114" s="101">
        <f t="shared" si="60"/>
        <v>2.7565156139938953E-2</v>
      </c>
      <c r="O114" s="101">
        <f t="shared" si="60"/>
        <v>0.12750205648478202</v>
      </c>
      <c r="P114" s="101">
        <f t="shared" si="60"/>
        <v>5.6217574578469522E-2</v>
      </c>
      <c r="Q114" s="101">
        <f t="shared" si="60"/>
        <v>7.079523166660262E-2</v>
      </c>
      <c r="R114" s="101">
        <f t="shared" si="60"/>
        <v>0.10393357017857532</v>
      </c>
      <c r="S114" s="101">
        <f t="shared" si="60"/>
        <v>9.6091416699129982E-3</v>
      </c>
      <c r="T114" s="101">
        <f t="shared" si="60"/>
        <v>1.3633440514469453E-2</v>
      </c>
      <c r="U114" s="241">
        <v>0.10856669005549531</v>
      </c>
      <c r="V114" s="271">
        <f>(V113-U113)/U113</f>
        <v>-4.3730939639795158E-3</v>
      </c>
    </row>
    <row r="115" spans="1:24" ht="4.5" customHeight="1">
      <c r="A115" s="30"/>
      <c r="E115" s="28"/>
      <c r="F115" s="29"/>
      <c r="G115" s="29"/>
      <c r="R115" s="4"/>
      <c r="S115" s="4"/>
      <c r="T115" s="4"/>
      <c r="U115" s="227"/>
      <c r="V115" s="136"/>
    </row>
    <row r="116" spans="1:24">
      <c r="A116" s="30"/>
      <c r="D116" s="125" t="s">
        <v>47</v>
      </c>
      <c r="R116" s="4"/>
      <c r="S116" s="4"/>
      <c r="T116" s="4"/>
      <c r="U116" s="227"/>
      <c r="V116" s="136"/>
    </row>
    <row r="117" spans="1:24">
      <c r="A117" s="30">
        <v>13</v>
      </c>
      <c r="C117" s="28" t="s">
        <v>16</v>
      </c>
      <c r="D117" s="125"/>
      <c r="E117" s="115" t="s">
        <v>140</v>
      </c>
      <c r="F117" s="124">
        <f>F26</f>
        <v>314</v>
      </c>
      <c r="G117" s="124">
        <f t="shared" ref="G117:R117" si="61">G26</f>
        <v>314</v>
      </c>
      <c r="H117" s="124">
        <f t="shared" si="61"/>
        <v>297</v>
      </c>
      <c r="I117" s="124">
        <f t="shared" si="61"/>
        <v>309</v>
      </c>
      <c r="J117" s="124">
        <f t="shared" si="61"/>
        <v>309</v>
      </c>
      <c r="K117" s="124">
        <f t="shared" si="61"/>
        <v>310</v>
      </c>
      <c r="L117" s="124">
        <f t="shared" si="61"/>
        <v>312</v>
      </c>
      <c r="M117" s="124">
        <f t="shared" si="61"/>
        <v>310</v>
      </c>
      <c r="N117" s="124">
        <f t="shared" si="61"/>
        <v>276</v>
      </c>
      <c r="O117" s="124">
        <f t="shared" si="61"/>
        <v>393</v>
      </c>
      <c r="P117" s="124">
        <f t="shared" si="61"/>
        <v>348</v>
      </c>
      <c r="Q117" s="124">
        <f t="shared" si="61"/>
        <v>395</v>
      </c>
      <c r="R117" s="124">
        <f t="shared" si="61"/>
        <v>438</v>
      </c>
      <c r="S117" s="124">
        <f>S26</f>
        <v>380</v>
      </c>
      <c r="T117" s="124">
        <f>T26</f>
        <v>402</v>
      </c>
      <c r="U117" s="237">
        <v>439</v>
      </c>
      <c r="V117" s="72">
        <f>V26</f>
        <v>492</v>
      </c>
      <c r="W117" s="72">
        <f t="shared" ref="W117:X117" si="62">W26</f>
        <v>537</v>
      </c>
      <c r="X117" s="72">
        <f t="shared" si="62"/>
        <v>627</v>
      </c>
    </row>
    <row r="118" spans="1:24">
      <c r="A118" s="30">
        <v>14</v>
      </c>
      <c r="C118" s="28" t="s">
        <v>19</v>
      </c>
      <c r="E118" s="115" t="s">
        <v>141</v>
      </c>
      <c r="F118" s="124">
        <f>F32</f>
        <v>4184</v>
      </c>
      <c r="G118" s="124">
        <f t="shared" ref="G118:R118" si="63">G32</f>
        <v>4390</v>
      </c>
      <c r="H118" s="124">
        <f t="shared" si="63"/>
        <v>4496</v>
      </c>
      <c r="I118" s="124">
        <f t="shared" si="63"/>
        <v>4707</v>
      </c>
      <c r="J118" s="124">
        <f t="shared" si="63"/>
        <v>4902</v>
      </c>
      <c r="K118" s="124">
        <f t="shared" si="63"/>
        <v>5088</v>
      </c>
      <c r="L118" s="124">
        <f t="shared" si="63"/>
        <v>5369</v>
      </c>
      <c r="M118" s="124">
        <f t="shared" si="63"/>
        <v>5605</v>
      </c>
      <c r="N118" s="124">
        <f t="shared" si="63"/>
        <v>5673</v>
      </c>
      <c r="O118" s="124">
        <f t="shared" si="63"/>
        <v>6064</v>
      </c>
      <c r="P118" s="124">
        <f t="shared" si="63"/>
        <v>6367</v>
      </c>
      <c r="Q118" s="124">
        <f t="shared" si="63"/>
        <v>6649</v>
      </c>
      <c r="R118" s="124">
        <f t="shared" si="63"/>
        <v>6978</v>
      </c>
      <c r="S118" s="124">
        <f>S32</f>
        <v>7925</v>
      </c>
      <c r="T118" s="124">
        <f>T32</f>
        <v>8513</v>
      </c>
      <c r="U118" s="237">
        <v>9088</v>
      </c>
      <c r="V118" s="72">
        <f>V32</f>
        <v>9866</v>
      </c>
      <c r="W118" s="72">
        <f t="shared" ref="W118:X118" si="64">W32</f>
        <v>10638</v>
      </c>
      <c r="X118" s="72">
        <f t="shared" si="64"/>
        <v>11629</v>
      </c>
    </row>
    <row r="119" spans="1:24">
      <c r="A119" s="30">
        <v>15</v>
      </c>
      <c r="C119" s="3" t="s">
        <v>24</v>
      </c>
      <c r="E119" s="115" t="s">
        <v>142</v>
      </c>
      <c r="F119" s="124">
        <f>F42</f>
        <v>1027</v>
      </c>
      <c r="G119" s="124">
        <f t="shared" ref="G119:R119" si="65">G42</f>
        <v>1020</v>
      </c>
      <c r="H119" s="124">
        <f t="shared" si="65"/>
        <v>1275</v>
      </c>
      <c r="I119" s="124">
        <f t="shared" si="65"/>
        <v>1363</v>
      </c>
      <c r="J119" s="124">
        <f t="shared" si="65"/>
        <v>1180</v>
      </c>
      <c r="K119" s="124">
        <f t="shared" si="65"/>
        <v>1343</v>
      </c>
      <c r="L119" s="124">
        <f t="shared" si="65"/>
        <v>1282</v>
      </c>
      <c r="M119" s="124">
        <f t="shared" si="65"/>
        <v>1498</v>
      </c>
      <c r="N119" s="124">
        <f t="shared" si="65"/>
        <v>1803</v>
      </c>
      <c r="O119" s="124">
        <f t="shared" si="65"/>
        <v>1999</v>
      </c>
      <c r="P119" s="124">
        <f t="shared" si="65"/>
        <v>2412</v>
      </c>
      <c r="Q119" s="124">
        <f t="shared" si="65"/>
        <v>2734</v>
      </c>
      <c r="R119" s="124">
        <f t="shared" si="65"/>
        <v>3276</v>
      </c>
      <c r="S119" s="124">
        <f>S42</f>
        <v>3868</v>
      </c>
      <c r="T119" s="124">
        <f>T42</f>
        <v>4389</v>
      </c>
      <c r="U119" s="237">
        <v>5649</v>
      </c>
      <c r="V119" s="72">
        <f>V42</f>
        <v>6260</v>
      </c>
      <c r="W119" s="72">
        <f t="shared" ref="W119:X119" si="66">W42</f>
        <v>6864</v>
      </c>
      <c r="X119" s="72">
        <f t="shared" si="66"/>
        <v>7965</v>
      </c>
    </row>
    <row r="120" spans="1:24" ht="12.75" thickBot="1">
      <c r="A120" s="30">
        <v>16</v>
      </c>
      <c r="B120" s="129" t="s">
        <v>138</v>
      </c>
      <c r="E120" s="115"/>
      <c r="F120" s="62">
        <f>SUM(F117:F119)</f>
        <v>5525</v>
      </c>
      <c r="G120" s="62">
        <f t="shared" ref="G120:R120" si="67">SUM(G117:G119)</f>
        <v>5724</v>
      </c>
      <c r="H120" s="62">
        <f t="shared" si="67"/>
        <v>6068</v>
      </c>
      <c r="I120" s="62">
        <f t="shared" si="67"/>
        <v>6379</v>
      </c>
      <c r="J120" s="62">
        <f t="shared" si="67"/>
        <v>6391</v>
      </c>
      <c r="K120" s="62">
        <f t="shared" si="67"/>
        <v>6741</v>
      </c>
      <c r="L120" s="62">
        <f t="shared" si="67"/>
        <v>6963</v>
      </c>
      <c r="M120" s="62">
        <f t="shared" si="67"/>
        <v>7413</v>
      </c>
      <c r="N120" s="62">
        <f t="shared" si="67"/>
        <v>7752</v>
      </c>
      <c r="O120" s="62">
        <f t="shared" si="67"/>
        <v>8456</v>
      </c>
      <c r="P120" s="62">
        <f t="shared" si="67"/>
        <v>9127</v>
      </c>
      <c r="Q120" s="62">
        <f t="shared" si="67"/>
        <v>9778</v>
      </c>
      <c r="R120" s="62">
        <f t="shared" si="67"/>
        <v>10692</v>
      </c>
      <c r="S120" s="62">
        <f>SUM(S117:S119)</f>
        <v>12173</v>
      </c>
      <c r="T120" s="62">
        <f>SUM(T117:T119)</f>
        <v>13304</v>
      </c>
      <c r="U120" s="240">
        <v>15176</v>
      </c>
      <c r="V120" s="61">
        <f>SUM(V117:V119)</f>
        <v>16618</v>
      </c>
      <c r="W120" s="61">
        <f t="shared" ref="W120:X120" si="68">SUM(W117:W119)</f>
        <v>18039</v>
      </c>
      <c r="X120" s="61">
        <f t="shared" si="68"/>
        <v>20221</v>
      </c>
    </row>
    <row r="121" spans="1:24" ht="12.75" thickTop="1">
      <c r="A121" s="30"/>
      <c r="B121" s="125"/>
      <c r="D121" s="3" t="s">
        <v>139</v>
      </c>
      <c r="E121" s="115"/>
      <c r="F121" s="74"/>
      <c r="G121" s="101">
        <f>(G120-F120)/F120</f>
        <v>3.6018099547511312E-2</v>
      </c>
      <c r="H121" s="101">
        <f t="shared" ref="H121:T121" si="69">(H120-G120)/G120</f>
        <v>6.0097833682739341E-2</v>
      </c>
      <c r="I121" s="101">
        <f t="shared" si="69"/>
        <v>5.1252471984179301E-2</v>
      </c>
      <c r="J121" s="101">
        <f t="shared" si="69"/>
        <v>1.8811725975858284E-3</v>
      </c>
      <c r="K121" s="101">
        <f t="shared" si="69"/>
        <v>5.4764512595837894E-2</v>
      </c>
      <c r="L121" s="101">
        <f t="shared" si="69"/>
        <v>3.2932799287939477E-2</v>
      </c>
      <c r="M121" s="101">
        <f t="shared" si="69"/>
        <v>6.4627315812149935E-2</v>
      </c>
      <c r="N121" s="101">
        <f t="shared" si="69"/>
        <v>4.5730473492513156E-2</v>
      </c>
      <c r="O121" s="101">
        <f t="shared" si="69"/>
        <v>9.0815273477812181E-2</v>
      </c>
      <c r="P121" s="101">
        <f t="shared" si="69"/>
        <v>7.9351939451277206E-2</v>
      </c>
      <c r="Q121" s="101">
        <f t="shared" si="69"/>
        <v>7.1326832475073959E-2</v>
      </c>
      <c r="R121" s="101">
        <f t="shared" si="69"/>
        <v>9.3475148292084267E-2</v>
      </c>
      <c r="S121" s="101">
        <f t="shared" si="69"/>
        <v>0.1385147774036663</v>
      </c>
      <c r="T121" s="101">
        <f t="shared" si="69"/>
        <v>9.2910539719050361E-2</v>
      </c>
      <c r="U121" s="241">
        <v>0.1407095610342754</v>
      </c>
      <c r="V121" s="271">
        <f t="shared" ref="V121:W121" si="70">(V120-U120)/U120</f>
        <v>9.5018450184501849E-2</v>
      </c>
      <c r="W121" s="271">
        <f t="shared" si="70"/>
        <v>8.5509688289806235E-2</v>
      </c>
      <c r="X121" s="271">
        <f>(X120-W120)/W120</f>
        <v>0.12096014191474029</v>
      </c>
    </row>
    <row r="122" spans="1:24">
      <c r="A122" s="30"/>
      <c r="E122" s="115"/>
      <c r="F122" s="124"/>
      <c r="R122" s="4"/>
      <c r="S122" s="4"/>
      <c r="T122" s="4"/>
      <c r="U122" s="227"/>
      <c r="V122" s="29"/>
    </row>
    <row r="123" spans="1:24">
      <c r="A123" s="30"/>
      <c r="D123" s="3" t="s">
        <v>146</v>
      </c>
      <c r="E123" s="115"/>
      <c r="F123" s="124"/>
      <c r="R123" s="4"/>
      <c r="S123" s="4"/>
      <c r="T123" s="4"/>
      <c r="U123" s="227"/>
      <c r="V123" s="29"/>
    </row>
    <row r="124" spans="1:24">
      <c r="A124" s="30">
        <v>17</v>
      </c>
      <c r="B124" s="125" t="s">
        <v>52</v>
      </c>
      <c r="D124" s="125"/>
      <c r="E124" s="115" t="s">
        <v>143</v>
      </c>
      <c r="F124" s="124">
        <f>F43</f>
        <v>0</v>
      </c>
      <c r="G124" s="124">
        <f t="shared" ref="G124:R124" si="71">G43</f>
        <v>167</v>
      </c>
      <c r="H124" s="124">
        <f t="shared" si="71"/>
        <v>185</v>
      </c>
      <c r="I124" s="124">
        <f t="shared" si="71"/>
        <v>159</v>
      </c>
      <c r="J124" s="124">
        <f t="shared" si="71"/>
        <v>169</v>
      </c>
      <c r="K124" s="124">
        <f t="shared" si="71"/>
        <v>0</v>
      </c>
      <c r="L124" s="124">
        <f t="shared" si="71"/>
        <v>0</v>
      </c>
      <c r="M124" s="124">
        <f t="shared" si="71"/>
        <v>-815</v>
      </c>
      <c r="N124" s="124">
        <f t="shared" si="71"/>
        <v>-242</v>
      </c>
      <c r="O124" s="124">
        <f t="shared" si="71"/>
        <v>440</v>
      </c>
      <c r="P124" s="124">
        <f t="shared" si="71"/>
        <v>216</v>
      </c>
      <c r="Q124" s="124">
        <f t="shared" si="71"/>
        <v>-186</v>
      </c>
      <c r="R124" s="124">
        <f t="shared" si="71"/>
        <v>171</v>
      </c>
      <c r="S124" s="72">
        <f>S43</f>
        <v>91</v>
      </c>
      <c r="T124" s="72">
        <f>T43</f>
        <v>-91</v>
      </c>
      <c r="U124" s="237">
        <v>-2087</v>
      </c>
      <c r="V124" s="72">
        <f>V43</f>
        <v>1079</v>
      </c>
      <c r="W124" s="72">
        <f t="shared" ref="W124" si="72">W43</f>
        <v>917</v>
      </c>
      <c r="X124" s="72">
        <f>X43</f>
        <v>51</v>
      </c>
    </row>
    <row r="125" spans="1:24">
      <c r="A125" s="30">
        <v>18</v>
      </c>
      <c r="B125" s="28"/>
      <c r="C125" s="28" t="str">
        <f>C112</f>
        <v>Deduct Decoupling Surcharge/Rebate Expenses</v>
      </c>
      <c r="F125" s="124">
        <f>-'Reg Amort and Other RB'!E22</f>
        <v>0</v>
      </c>
      <c r="G125" s="124">
        <f>-'Reg Amort and Other RB'!F22</f>
        <v>0</v>
      </c>
      <c r="H125" s="124">
        <f>-'Reg Amort and Other RB'!G22</f>
        <v>0</v>
      </c>
      <c r="I125" s="124">
        <f>-'Reg Amort and Other RB'!H22</f>
        <v>0</v>
      </c>
      <c r="J125" s="124">
        <f>-'Reg Amort and Other RB'!I22</f>
        <v>0</v>
      </c>
      <c r="K125" s="124">
        <f>-'Reg Amort and Other RB'!J22</f>
        <v>0</v>
      </c>
      <c r="L125" s="124">
        <f>-'Reg Amort and Other RB'!K22</f>
        <v>0</v>
      </c>
      <c r="M125" s="124">
        <f>-'Reg Amort and Other RB'!L22</f>
        <v>-85</v>
      </c>
      <c r="N125" s="124">
        <f>-'Reg Amort and Other RB'!M22</f>
        <v>-432</v>
      </c>
      <c r="O125" s="124">
        <f>-'Reg Amort and Other RB'!N22</f>
        <v>-710</v>
      </c>
      <c r="P125" s="124">
        <f>-'Reg Amort and Other RB'!O22</f>
        <v>-494</v>
      </c>
      <c r="Q125" s="124">
        <f>-'Reg Amort and Other RB'!P22</f>
        <v>-494</v>
      </c>
      <c r="R125" s="124">
        <f>-'Reg Amort and Other RB'!Q22</f>
        <v>-184</v>
      </c>
      <c r="S125" s="72">
        <f>-'Reg Amort and Other RB'!R22</f>
        <v>0</v>
      </c>
      <c r="T125" s="72">
        <f>-'Reg Amort and Other RB'!S22</f>
        <v>0</v>
      </c>
      <c r="U125" s="237">
        <v>0</v>
      </c>
      <c r="V125" s="72">
        <v>0</v>
      </c>
      <c r="W125" s="72">
        <v>0</v>
      </c>
      <c r="X125" s="72">
        <v>0</v>
      </c>
    </row>
    <row r="126" spans="1:24" ht="12.75" thickBot="1">
      <c r="A126" s="30">
        <v>19</v>
      </c>
      <c r="B126" s="64" t="s">
        <v>147</v>
      </c>
      <c r="C126" s="64"/>
      <c r="D126" s="65"/>
      <c r="E126" s="65"/>
      <c r="F126" s="62">
        <f t="shared" ref="F126:R126" si="73">SUM(F124:F125)</f>
        <v>0</v>
      </c>
      <c r="G126" s="62">
        <f t="shared" si="73"/>
        <v>167</v>
      </c>
      <c r="H126" s="62">
        <f t="shared" si="73"/>
        <v>185</v>
      </c>
      <c r="I126" s="62">
        <f t="shared" si="73"/>
        <v>159</v>
      </c>
      <c r="J126" s="62">
        <f t="shared" si="73"/>
        <v>169</v>
      </c>
      <c r="K126" s="62">
        <f t="shared" si="73"/>
        <v>0</v>
      </c>
      <c r="L126" s="62">
        <f t="shared" si="73"/>
        <v>0</v>
      </c>
      <c r="M126" s="62">
        <f t="shared" si="73"/>
        <v>-900</v>
      </c>
      <c r="N126" s="62">
        <f t="shared" si="73"/>
        <v>-674</v>
      </c>
      <c r="O126" s="62">
        <f t="shared" si="73"/>
        <v>-270</v>
      </c>
      <c r="P126" s="62">
        <f t="shared" si="73"/>
        <v>-278</v>
      </c>
      <c r="Q126" s="62">
        <f t="shared" si="73"/>
        <v>-680</v>
      </c>
      <c r="R126" s="62">
        <f t="shared" si="73"/>
        <v>-13</v>
      </c>
      <c r="S126" s="61">
        <f>SUM(S124:S125)</f>
        <v>91</v>
      </c>
      <c r="T126" s="61">
        <f>SUM(T124:T125)</f>
        <v>-91</v>
      </c>
      <c r="U126" s="240">
        <v>-2087</v>
      </c>
      <c r="V126" s="61">
        <f>SUM(V124:V125)</f>
        <v>1079</v>
      </c>
      <c r="W126" s="61">
        <f t="shared" ref="W126:X126" si="74">SUM(W124:W125)</f>
        <v>917</v>
      </c>
      <c r="X126" s="61">
        <f t="shared" si="74"/>
        <v>51</v>
      </c>
    </row>
    <row r="127" spans="1:24" ht="3" customHeight="1" thickTop="1">
      <c r="A127" s="30"/>
      <c r="R127" s="4"/>
      <c r="S127" s="4"/>
      <c r="T127" s="4"/>
      <c r="U127" s="227"/>
      <c r="V127" s="29"/>
      <c r="W127" s="29"/>
      <c r="X127" s="29"/>
    </row>
    <row r="128" spans="1:24">
      <c r="A128" s="30"/>
      <c r="D128" s="3" t="s">
        <v>153</v>
      </c>
      <c r="R128" s="4"/>
      <c r="S128" s="4"/>
      <c r="T128" s="4"/>
      <c r="U128" s="227"/>
      <c r="V128" s="29"/>
      <c r="W128" s="29"/>
      <c r="X128" s="29"/>
    </row>
    <row r="129" spans="1:24">
      <c r="A129" s="30">
        <v>20</v>
      </c>
      <c r="C129" s="28" t="s">
        <v>16</v>
      </c>
      <c r="D129" s="125"/>
      <c r="E129" s="115" t="s">
        <v>155</v>
      </c>
      <c r="F129" s="124">
        <f>F27</f>
        <v>111</v>
      </c>
      <c r="G129" s="124">
        <f t="shared" ref="G129:R129" si="75">G27</f>
        <v>108</v>
      </c>
      <c r="H129" s="124">
        <f t="shared" si="75"/>
        <v>120</v>
      </c>
      <c r="I129" s="124">
        <f t="shared" si="75"/>
        <v>118</v>
      </c>
      <c r="J129" s="124">
        <f t="shared" si="75"/>
        <v>120</v>
      </c>
      <c r="K129" s="124">
        <f t="shared" si="75"/>
        <v>115</v>
      </c>
      <c r="L129" s="124">
        <f t="shared" si="75"/>
        <v>122</v>
      </c>
      <c r="M129" s="124">
        <f t="shared" si="75"/>
        <v>95</v>
      </c>
      <c r="N129" s="124">
        <f t="shared" si="75"/>
        <v>113</v>
      </c>
      <c r="O129" s="124">
        <f t="shared" si="75"/>
        <v>121</v>
      </c>
      <c r="P129" s="124">
        <f t="shared" si="75"/>
        <v>116</v>
      </c>
      <c r="Q129" s="124">
        <f t="shared" si="75"/>
        <v>19</v>
      </c>
      <c r="R129" s="124">
        <f t="shared" si="75"/>
        <v>17</v>
      </c>
      <c r="S129" s="124">
        <f>S27</f>
        <v>158</v>
      </c>
      <c r="T129" s="124">
        <f>T27</f>
        <v>184</v>
      </c>
      <c r="U129" s="237">
        <v>196</v>
      </c>
      <c r="V129" s="72">
        <f>V27</f>
        <v>210</v>
      </c>
      <c r="W129" s="72">
        <f t="shared" ref="W129:X129" si="76">W27</f>
        <v>85</v>
      </c>
      <c r="X129" s="72">
        <f t="shared" si="76"/>
        <v>224</v>
      </c>
    </row>
    <row r="130" spans="1:24">
      <c r="A130" s="30">
        <v>21</v>
      </c>
      <c r="C130" s="28" t="s">
        <v>19</v>
      </c>
      <c r="E130" s="115" t="s">
        <v>156</v>
      </c>
      <c r="F130" s="124">
        <f>F33</f>
        <v>4919</v>
      </c>
      <c r="G130" s="124">
        <f t="shared" ref="G130:R130" si="77">G33</f>
        <v>7315</v>
      </c>
      <c r="H130" s="124">
        <f t="shared" si="77"/>
        <v>8070</v>
      </c>
      <c r="I130" s="124">
        <f t="shared" si="77"/>
        <v>7205</v>
      </c>
      <c r="J130" s="124">
        <f t="shared" si="77"/>
        <v>8213</v>
      </c>
      <c r="K130" s="124">
        <f t="shared" si="77"/>
        <v>8573</v>
      </c>
      <c r="L130" s="124">
        <f t="shared" si="77"/>
        <v>9457</v>
      </c>
      <c r="M130" s="124">
        <f t="shared" si="77"/>
        <v>9844</v>
      </c>
      <c r="N130" s="124">
        <f t="shared" si="77"/>
        <v>8941</v>
      </c>
      <c r="O130" s="124">
        <f t="shared" si="77"/>
        <v>8746</v>
      </c>
      <c r="P130" s="124">
        <f t="shared" si="77"/>
        <v>7223</v>
      </c>
      <c r="Q130" s="124">
        <f t="shared" si="77"/>
        <v>8050.6743270000006</v>
      </c>
      <c r="R130" s="124">
        <f t="shared" si="77"/>
        <v>7825</v>
      </c>
      <c r="S130" s="124">
        <f>S33</f>
        <v>8116</v>
      </c>
      <c r="T130" s="124">
        <f>T33</f>
        <v>8719</v>
      </c>
      <c r="U130" s="237">
        <v>8554</v>
      </c>
      <c r="V130" s="72">
        <f>V33</f>
        <v>8383</v>
      </c>
      <c r="W130" s="72">
        <f t="shared" ref="W130:X130" si="78">W33</f>
        <v>9144</v>
      </c>
      <c r="X130" s="72">
        <f t="shared" si="78"/>
        <v>9458</v>
      </c>
    </row>
    <row r="131" spans="1:24">
      <c r="A131" s="30">
        <v>22</v>
      </c>
      <c r="C131" s="3" t="s">
        <v>24</v>
      </c>
      <c r="E131" s="115" t="s">
        <v>157</v>
      </c>
      <c r="F131" s="124">
        <f>F44</f>
        <v>22</v>
      </c>
      <c r="G131" s="124">
        <f t="shared" ref="G131:R131" si="79">G44</f>
        <v>21</v>
      </c>
      <c r="H131" s="124">
        <f t="shared" si="79"/>
        <v>23</v>
      </c>
      <c r="I131" s="124">
        <f t="shared" si="79"/>
        <v>24</v>
      </c>
      <c r="J131" s="124">
        <f t="shared" si="79"/>
        <v>24</v>
      </c>
      <c r="K131" s="124">
        <f t="shared" si="79"/>
        <v>23</v>
      </c>
      <c r="L131" s="124">
        <f t="shared" si="79"/>
        <v>24</v>
      </c>
      <c r="M131" s="124">
        <f t="shared" si="79"/>
        <v>20</v>
      </c>
      <c r="N131" s="124">
        <f t="shared" si="79"/>
        <v>17</v>
      </c>
      <c r="O131" s="124">
        <f t="shared" si="79"/>
        <v>19</v>
      </c>
      <c r="P131" s="124">
        <f t="shared" si="79"/>
        <v>24</v>
      </c>
      <c r="Q131" s="124">
        <f t="shared" si="79"/>
        <v>0</v>
      </c>
      <c r="R131" s="124">
        <f t="shared" si="79"/>
        <v>-1</v>
      </c>
      <c r="S131" s="124">
        <f>S44</f>
        <v>0</v>
      </c>
      <c r="T131" s="124">
        <f>T44</f>
        <v>0</v>
      </c>
      <c r="U131" s="237">
        <v>0</v>
      </c>
      <c r="V131" s="72">
        <f>V44</f>
        <v>0</v>
      </c>
      <c r="W131" s="72">
        <f t="shared" ref="W131:X131" si="80">W44</f>
        <v>0</v>
      </c>
      <c r="X131" s="72">
        <f t="shared" si="80"/>
        <v>0</v>
      </c>
    </row>
    <row r="132" spans="1:24">
      <c r="A132" s="30">
        <v>23</v>
      </c>
      <c r="B132" s="3" t="s">
        <v>158</v>
      </c>
      <c r="F132" s="123">
        <f>F27+F33+F44</f>
        <v>5052</v>
      </c>
      <c r="G132" s="123">
        <f t="shared" ref="G132:R132" si="81">G27+G33+G44</f>
        <v>7444</v>
      </c>
      <c r="H132" s="123">
        <f t="shared" si="81"/>
        <v>8213</v>
      </c>
      <c r="I132" s="123">
        <f t="shared" si="81"/>
        <v>7347</v>
      </c>
      <c r="J132" s="123">
        <f t="shared" si="81"/>
        <v>8357</v>
      </c>
      <c r="K132" s="123">
        <f t="shared" si="81"/>
        <v>8711</v>
      </c>
      <c r="L132" s="123">
        <f t="shared" si="81"/>
        <v>9603</v>
      </c>
      <c r="M132" s="123">
        <f t="shared" si="81"/>
        <v>9959</v>
      </c>
      <c r="N132" s="123">
        <f t="shared" si="81"/>
        <v>9071</v>
      </c>
      <c r="O132" s="123">
        <f t="shared" si="81"/>
        <v>8886</v>
      </c>
      <c r="P132" s="123">
        <f t="shared" si="81"/>
        <v>7363</v>
      </c>
      <c r="Q132" s="123">
        <f t="shared" si="81"/>
        <v>8069.6743270000006</v>
      </c>
      <c r="R132" s="123">
        <f t="shared" si="81"/>
        <v>7841</v>
      </c>
      <c r="S132" s="123">
        <f>S27+S33+S44</f>
        <v>8274</v>
      </c>
      <c r="T132" s="123">
        <f>T27+T33+T44</f>
        <v>8903</v>
      </c>
      <c r="U132" s="238">
        <v>8750</v>
      </c>
      <c r="V132" s="270">
        <f>V27+V33+V44</f>
        <v>8593</v>
      </c>
      <c r="W132" s="270">
        <f t="shared" ref="W132:X132" si="82">W27+W33+W44</f>
        <v>9229</v>
      </c>
      <c r="X132" s="270">
        <f t="shared" si="82"/>
        <v>9682</v>
      </c>
    </row>
    <row r="133" spans="1:24">
      <c r="A133" s="30">
        <v>24</v>
      </c>
      <c r="B133" s="28"/>
      <c r="C133" s="28" t="s">
        <v>160</v>
      </c>
      <c r="F133" s="72">
        <f>'Riders and Gas Cost Revenue'!H32</f>
        <v>-2304</v>
      </c>
      <c r="G133" s="72">
        <f>'Riders and Gas Cost Revenue'!J32</f>
        <v>-4287</v>
      </c>
      <c r="H133" s="72">
        <f>'Riders and Gas Cost Revenue'!L32</f>
        <v>-4425</v>
      </c>
      <c r="I133" s="72">
        <f>'Riders and Gas Cost Revenue'!N32</f>
        <v>-3899</v>
      </c>
      <c r="J133" s="72">
        <f>'Riders and Gas Cost Revenue'!P32</f>
        <v>-4592</v>
      </c>
      <c r="K133" s="72">
        <f>'Riders and Gas Cost Revenue'!R32</f>
        <v>-5240</v>
      </c>
      <c r="L133" s="72">
        <f>'Riders and Gas Cost Revenue'!T32</f>
        <v>-6014</v>
      </c>
      <c r="M133" s="72">
        <f>'Riders and Gas Cost Revenue'!W32</f>
        <v>-6261</v>
      </c>
      <c r="N133" s="72">
        <f>'Riders and Gas Cost Revenue'!Z32</f>
        <v>-5917</v>
      </c>
      <c r="O133" s="72">
        <f>'Riders and Gas Cost Revenue'!AC32</f>
        <v>-4858</v>
      </c>
      <c r="P133" s="72">
        <f>'Riders and Gas Cost Revenue'!AF32</f>
        <v>-3171</v>
      </c>
      <c r="Q133" s="72">
        <f>'Riders and Gas Cost Revenue'!AI32</f>
        <v>-3374</v>
      </c>
      <c r="R133" s="72">
        <f>'Riders and Gas Cost Revenue'!AL32</f>
        <v>-3003</v>
      </c>
      <c r="S133" s="72">
        <f>'Riders and Gas Cost Revenue'!AO32</f>
        <v>-3083</v>
      </c>
      <c r="T133" s="72">
        <f>'Riders and Gas Cost Revenue'!AR32</f>
        <v>-3380</v>
      </c>
      <c r="U133" s="237">
        <v>-3197</v>
      </c>
      <c r="V133" s="72">
        <v>-2548</v>
      </c>
      <c r="W133" s="72">
        <v>-2586</v>
      </c>
      <c r="X133" s="72">
        <v>-2068</v>
      </c>
    </row>
    <row r="134" spans="1:24">
      <c r="A134" s="30">
        <v>25</v>
      </c>
      <c r="C134" s="3" t="s">
        <v>159</v>
      </c>
      <c r="F134" s="124">
        <f>'Riders and Gas Cost Revenue'!G32</f>
        <v>0</v>
      </c>
      <c r="G134" s="124">
        <f>'Riders and Gas Cost Revenue'!I32</f>
        <v>-38</v>
      </c>
      <c r="H134" s="124">
        <f>'Riders and Gas Cost Revenue'!K32</f>
        <v>-68</v>
      </c>
      <c r="I134" s="124">
        <f>'Riders and Gas Cost Revenue'!M32</f>
        <v>-81</v>
      </c>
      <c r="J134" s="124">
        <f>'Riders and Gas Cost Revenue'!O32</f>
        <v>0</v>
      </c>
      <c r="K134" s="124">
        <f>'Riders and Gas Cost Revenue'!Q32</f>
        <v>-114</v>
      </c>
      <c r="L134" s="124">
        <f>'Riders and Gas Cost Revenue'!S32</f>
        <v>0</v>
      </c>
      <c r="M134" s="124">
        <f>'Riders and Gas Cost Revenue'!U32</f>
        <v>-154</v>
      </c>
      <c r="N134" s="124">
        <f>'Riders and Gas Cost Revenue'!X32</f>
        <v>-176</v>
      </c>
      <c r="O134" s="124">
        <f>'Riders and Gas Cost Revenue'!AA32</f>
        <v>-272</v>
      </c>
      <c r="P134" s="124">
        <f>'Riders and Gas Cost Revenue'!AD32</f>
        <v>-338</v>
      </c>
      <c r="Q134" s="124">
        <f>'Riders and Gas Cost Revenue'!AG32</f>
        <v>-359</v>
      </c>
      <c r="R134" s="124">
        <f>'Riders and Gas Cost Revenue'!AJ32</f>
        <v>-239</v>
      </c>
      <c r="S134" s="124">
        <f>'Riders and Gas Cost Revenue'!AM32</f>
        <v>0</v>
      </c>
      <c r="T134" s="124">
        <f>'Riders and Gas Cost Revenue'!AP32</f>
        <v>0</v>
      </c>
      <c r="U134" s="237">
        <v>0</v>
      </c>
      <c r="V134" s="72">
        <v>0</v>
      </c>
      <c r="W134" s="72">
        <v>0</v>
      </c>
      <c r="X134" s="72">
        <v>0</v>
      </c>
    </row>
    <row r="135" spans="1:24">
      <c r="A135" s="30">
        <v>26</v>
      </c>
      <c r="C135" s="3" t="s">
        <v>161</v>
      </c>
      <c r="F135" s="122">
        <v>0</v>
      </c>
      <c r="G135" s="122">
        <v>0</v>
      </c>
      <c r="H135" s="122">
        <v>0</v>
      </c>
      <c r="I135" s="122">
        <v>0</v>
      </c>
      <c r="J135" s="122">
        <v>0</v>
      </c>
      <c r="K135" s="122">
        <v>0</v>
      </c>
      <c r="L135" s="122">
        <v>0</v>
      </c>
      <c r="M135" s="122">
        <f>'Riders and Gas Cost Revenue'!V32</f>
        <v>-3</v>
      </c>
      <c r="N135" s="122">
        <f>'Riders and Gas Cost Revenue'!Y32</f>
        <v>-17</v>
      </c>
      <c r="O135" s="122">
        <f>'Riders and Gas Cost Revenue'!AB32</f>
        <v>-28</v>
      </c>
      <c r="P135" s="122">
        <f>'Riders and Gas Cost Revenue'!AE32</f>
        <v>-20</v>
      </c>
      <c r="Q135" s="122">
        <f>'Riders and Gas Cost Revenue'!AH32</f>
        <v>-20</v>
      </c>
      <c r="R135" s="122">
        <f>'Riders and Gas Cost Revenue'!AK32</f>
        <v>-7</v>
      </c>
      <c r="S135" s="122">
        <f>'Riders and Gas Cost Revenue'!AN32</f>
        <v>0</v>
      </c>
      <c r="T135" s="122">
        <f>'Riders and Gas Cost Revenue'!AQ32</f>
        <v>0</v>
      </c>
      <c r="U135" s="239">
        <v>0</v>
      </c>
      <c r="V135" s="117">
        <v>0</v>
      </c>
      <c r="W135" s="117">
        <v>0</v>
      </c>
      <c r="X135" s="117">
        <v>0</v>
      </c>
    </row>
    <row r="136" spans="1:24" ht="12.75" thickBot="1">
      <c r="A136" s="30">
        <v>27</v>
      </c>
      <c r="B136" s="65" t="s">
        <v>154</v>
      </c>
      <c r="C136" s="65"/>
      <c r="D136" s="65"/>
      <c r="E136" s="65"/>
      <c r="F136" s="62">
        <f>SUM(F132:F135)</f>
        <v>2748</v>
      </c>
      <c r="G136" s="62">
        <f t="shared" ref="G136:L136" si="83">SUM(G132:G135)</f>
        <v>3119</v>
      </c>
      <c r="H136" s="62">
        <f t="shared" si="83"/>
        <v>3720</v>
      </c>
      <c r="I136" s="62">
        <f t="shared" si="83"/>
        <v>3367</v>
      </c>
      <c r="J136" s="62">
        <f t="shared" si="83"/>
        <v>3765</v>
      </c>
      <c r="K136" s="62">
        <f t="shared" si="83"/>
        <v>3357</v>
      </c>
      <c r="L136" s="62">
        <f t="shared" si="83"/>
        <v>3589</v>
      </c>
      <c r="M136" s="62">
        <f t="shared" ref="M136:S136" si="84">SUM(M132:M135)</f>
        <v>3541</v>
      </c>
      <c r="N136" s="62">
        <f t="shared" si="84"/>
        <v>2961</v>
      </c>
      <c r="O136" s="62">
        <f t="shared" si="84"/>
        <v>3728</v>
      </c>
      <c r="P136" s="62">
        <f t="shared" si="84"/>
        <v>3834</v>
      </c>
      <c r="Q136" s="62">
        <f t="shared" si="84"/>
        <v>4316.6743270000006</v>
      </c>
      <c r="R136" s="62">
        <f t="shared" si="84"/>
        <v>4592</v>
      </c>
      <c r="S136" s="62">
        <f t="shared" si="84"/>
        <v>5191</v>
      </c>
      <c r="T136" s="62">
        <f t="shared" ref="T136" si="85">SUM(T132:T135)</f>
        <v>5523</v>
      </c>
      <c r="U136" s="240">
        <v>5553</v>
      </c>
      <c r="V136" s="61">
        <f t="shared" ref="V136" si="86">SUM(V132:V135)</f>
        <v>6045</v>
      </c>
      <c r="W136" s="61">
        <f t="shared" ref="W136:X136" si="87">SUM(W132:W135)</f>
        <v>6643</v>
      </c>
      <c r="X136" s="61">
        <f t="shared" si="87"/>
        <v>7614</v>
      </c>
    </row>
    <row r="137" spans="1:24" ht="12.75" thickTop="1">
      <c r="A137" s="109"/>
      <c r="B137" s="65"/>
      <c r="C137" s="65"/>
      <c r="D137" s="3" t="s">
        <v>139</v>
      </c>
      <c r="E137" s="65"/>
      <c r="F137" s="74"/>
      <c r="G137" s="101">
        <f>(G136-F136)/F136</f>
        <v>0.13500727802037846</v>
      </c>
      <c r="H137" s="101">
        <f t="shared" ref="H137:T137" si="88">(H136-G136)/G136</f>
        <v>0.192689964732286</v>
      </c>
      <c r="I137" s="101">
        <f t="shared" si="88"/>
        <v>-9.4892473118279572E-2</v>
      </c>
      <c r="J137" s="101">
        <f t="shared" si="88"/>
        <v>0.1182061182061182</v>
      </c>
      <c r="K137" s="101">
        <f t="shared" si="88"/>
        <v>-0.10836653386454183</v>
      </c>
      <c r="L137" s="101">
        <f t="shared" si="88"/>
        <v>6.9109323801012812E-2</v>
      </c>
      <c r="M137" s="101">
        <f t="shared" si="88"/>
        <v>-1.337419894120925E-2</v>
      </c>
      <c r="N137" s="101">
        <f t="shared" si="88"/>
        <v>-0.16379553798362045</v>
      </c>
      <c r="O137" s="101">
        <f t="shared" si="88"/>
        <v>0.25903411009793986</v>
      </c>
      <c r="P137" s="101">
        <f t="shared" si="88"/>
        <v>2.8433476394849784E-2</v>
      </c>
      <c r="Q137" s="101">
        <f t="shared" si="88"/>
        <v>0.12589314736567569</v>
      </c>
      <c r="R137" s="101">
        <f t="shared" si="88"/>
        <v>6.3781896002181149E-2</v>
      </c>
      <c r="S137" s="101">
        <f t="shared" si="88"/>
        <v>0.13044425087108014</v>
      </c>
      <c r="T137" s="101">
        <f t="shared" si="88"/>
        <v>6.3956848391446733E-2</v>
      </c>
      <c r="U137" s="241">
        <v>5.4318305268875608E-3</v>
      </c>
      <c r="V137" s="271">
        <f t="shared" ref="V137:X137" si="89">(V136-U136)/U136</f>
        <v>8.8600756347920043E-2</v>
      </c>
      <c r="W137" s="271">
        <f t="shared" si="89"/>
        <v>9.8924731182795697E-2</v>
      </c>
      <c r="X137" s="271">
        <f t="shared" si="89"/>
        <v>0.14616889959355714</v>
      </c>
    </row>
    <row r="138" spans="1:24">
      <c r="A138" s="109"/>
      <c r="B138" s="65"/>
      <c r="C138" s="65"/>
      <c r="E138" s="65"/>
      <c r="F138" s="74"/>
      <c r="G138" s="101"/>
      <c r="H138" s="101"/>
      <c r="I138" s="101"/>
      <c r="J138" s="101"/>
      <c r="K138" s="101"/>
      <c r="L138" s="101"/>
      <c r="M138" s="101"/>
      <c r="N138" s="101"/>
      <c r="O138" s="101"/>
      <c r="P138" s="101"/>
      <c r="Q138" s="101"/>
      <c r="R138" s="101"/>
      <c r="S138" s="101"/>
      <c r="T138" s="101"/>
      <c r="U138" s="241"/>
      <c r="V138" s="174"/>
      <c r="W138" s="271"/>
      <c r="X138" s="271"/>
    </row>
    <row r="139" spans="1:24" ht="12.75" thickBot="1">
      <c r="A139" s="30">
        <v>28</v>
      </c>
      <c r="B139" s="65" t="s">
        <v>162</v>
      </c>
      <c r="C139" s="65"/>
      <c r="E139" s="115" t="s">
        <v>163</v>
      </c>
      <c r="F139" s="62">
        <f>F84</f>
        <v>124885</v>
      </c>
      <c r="G139" s="62">
        <f t="shared" ref="G139:R139" si="90">G84</f>
        <v>129500</v>
      </c>
      <c r="H139" s="62">
        <f t="shared" si="90"/>
        <v>129740</v>
      </c>
      <c r="I139" s="62">
        <f t="shared" si="90"/>
        <v>125044</v>
      </c>
      <c r="J139" s="62">
        <f t="shared" si="90"/>
        <v>124950</v>
      </c>
      <c r="K139" s="62">
        <f t="shared" si="90"/>
        <v>132617</v>
      </c>
      <c r="L139" s="62">
        <f t="shared" si="90"/>
        <v>140789</v>
      </c>
      <c r="M139" s="62">
        <f t="shared" si="90"/>
        <v>145500</v>
      </c>
      <c r="N139" s="62">
        <f t="shared" si="90"/>
        <v>154054</v>
      </c>
      <c r="O139" s="62">
        <f t="shared" si="90"/>
        <v>173806</v>
      </c>
      <c r="P139" s="62">
        <f t="shared" si="90"/>
        <v>177901</v>
      </c>
      <c r="Q139" s="62">
        <f t="shared" si="90"/>
        <v>183553</v>
      </c>
      <c r="R139" s="62">
        <f t="shared" si="90"/>
        <v>195287</v>
      </c>
      <c r="S139" s="62">
        <f>S84</f>
        <v>207759</v>
      </c>
      <c r="T139" s="62">
        <f>T84</f>
        <v>225901</v>
      </c>
      <c r="U139" s="240">
        <v>244647</v>
      </c>
      <c r="V139" s="61">
        <f>V84</f>
        <v>262930</v>
      </c>
      <c r="W139" s="61">
        <f t="shared" ref="W139:X139" si="91">W84</f>
        <v>285440</v>
      </c>
      <c r="X139" s="61">
        <f t="shared" si="91"/>
        <v>320131</v>
      </c>
    </row>
    <row r="140" spans="1:24" ht="12.75" thickTop="1">
      <c r="A140" s="109"/>
      <c r="B140" s="65"/>
      <c r="C140" s="65"/>
      <c r="D140" s="3" t="s">
        <v>139</v>
      </c>
      <c r="E140" s="65"/>
      <c r="F140" s="74"/>
      <c r="G140" s="101">
        <f>(G139-F139)/F139</f>
        <v>3.6953997677863636E-2</v>
      </c>
      <c r="H140" s="101">
        <f t="shared" ref="H140:T140" si="92">(H139-G139)/G139</f>
        <v>1.8532818532818532E-3</v>
      </c>
      <c r="I140" s="101">
        <f t="shared" si="92"/>
        <v>-3.619546785879451E-2</v>
      </c>
      <c r="J140" s="101">
        <f t="shared" si="92"/>
        <v>-7.5173538914302164E-4</v>
      </c>
      <c r="K140" s="101">
        <f t="shared" si="92"/>
        <v>6.1360544217687073E-2</v>
      </c>
      <c r="L140" s="101">
        <f t="shared" si="92"/>
        <v>6.1621059140230888E-2</v>
      </c>
      <c r="M140" s="101">
        <f t="shared" si="92"/>
        <v>3.3461420991696793E-2</v>
      </c>
      <c r="N140" s="101">
        <f t="shared" si="92"/>
        <v>5.8790378006872854E-2</v>
      </c>
      <c r="O140" s="101">
        <f t="shared" si="92"/>
        <v>0.12821478182974802</v>
      </c>
      <c r="P140" s="101">
        <f t="shared" si="92"/>
        <v>2.3560751642636043E-2</v>
      </c>
      <c r="Q140" s="101">
        <f t="shared" si="92"/>
        <v>3.177047908668304E-2</v>
      </c>
      <c r="R140" s="101">
        <f t="shared" si="92"/>
        <v>6.3927040146442723E-2</v>
      </c>
      <c r="S140" s="101">
        <f t="shared" si="92"/>
        <v>6.3864978211555304E-2</v>
      </c>
      <c r="T140" s="101">
        <f t="shared" si="92"/>
        <v>8.7322330199895076E-2</v>
      </c>
      <c r="U140" s="241">
        <v>8.2983253726189796E-2</v>
      </c>
      <c r="V140" s="174"/>
      <c r="W140" s="271">
        <f t="shared" ref="W140:X140" si="93">(W139-V139)/V139</f>
        <v>8.5612140113338148E-2</v>
      </c>
      <c r="X140" s="271">
        <f t="shared" si="93"/>
        <v>0.12153517376681615</v>
      </c>
    </row>
    <row r="141" spans="1:24">
      <c r="A141" s="109"/>
      <c r="B141" s="65"/>
      <c r="C141" s="65"/>
      <c r="E141" s="65"/>
      <c r="F141" s="74"/>
      <c r="G141" s="101"/>
      <c r="H141" s="101"/>
      <c r="I141" s="101"/>
      <c r="J141" s="101"/>
      <c r="K141" s="101"/>
      <c r="L141" s="101"/>
      <c r="M141" s="101"/>
      <c r="N141" s="101"/>
      <c r="O141" s="101"/>
      <c r="P141" s="101"/>
      <c r="Q141" s="101"/>
      <c r="R141" s="101"/>
      <c r="S141" s="101"/>
      <c r="T141" s="101"/>
      <c r="U141" s="241"/>
      <c r="V141" s="174"/>
    </row>
    <row r="142" spans="1:24" ht="12.75" thickBot="1">
      <c r="A142" s="30">
        <v>29</v>
      </c>
      <c r="B142" s="65" t="s">
        <v>164</v>
      </c>
      <c r="C142" s="65"/>
      <c r="E142" s="115" t="s">
        <v>165</v>
      </c>
      <c r="F142" s="62">
        <f>F91</f>
        <v>130920</v>
      </c>
      <c r="G142" s="62">
        <f t="shared" ref="G142:R142" si="94">G91</f>
        <v>135524</v>
      </c>
      <c r="H142" s="62">
        <f t="shared" si="94"/>
        <v>136362</v>
      </c>
      <c r="I142" s="62">
        <f t="shared" si="94"/>
        <v>131627</v>
      </c>
      <c r="J142" s="62">
        <f t="shared" si="94"/>
        <v>130718</v>
      </c>
      <c r="K142" s="62">
        <f t="shared" si="94"/>
        <v>140796</v>
      </c>
      <c r="L142" s="62">
        <f t="shared" si="94"/>
        <v>149362</v>
      </c>
      <c r="M142" s="62">
        <f t="shared" si="94"/>
        <v>151699</v>
      </c>
      <c r="N142" s="62">
        <f t="shared" si="94"/>
        <v>169681</v>
      </c>
      <c r="O142" s="62">
        <f t="shared" si="94"/>
        <v>180778</v>
      </c>
      <c r="P142" s="62">
        <f t="shared" si="94"/>
        <v>186920</v>
      </c>
      <c r="Q142" s="62">
        <f t="shared" si="94"/>
        <v>196280</v>
      </c>
      <c r="R142" s="62">
        <f t="shared" si="94"/>
        <v>207578</v>
      </c>
      <c r="S142" s="62">
        <f>S91</f>
        <v>224824</v>
      </c>
      <c r="T142" s="62">
        <f>T91</f>
        <v>250257</v>
      </c>
      <c r="U142" s="240">
        <v>272971</v>
      </c>
      <c r="V142" s="61">
        <f>V87</f>
        <v>-249</v>
      </c>
    </row>
    <row r="143" spans="1:24" ht="12.75" thickTop="1">
      <c r="A143" s="109"/>
      <c r="B143" s="65"/>
      <c r="C143" s="65"/>
      <c r="E143" s="65"/>
      <c r="F143" s="74"/>
      <c r="G143" s="101">
        <f>(G142-F142)/F142</f>
        <v>3.516651390161931E-2</v>
      </c>
      <c r="H143" s="101">
        <f t="shared" ref="H143:T143" si="95">(H142-G142)/G142</f>
        <v>6.1834066290841474E-3</v>
      </c>
      <c r="I143" s="101">
        <f t="shared" si="95"/>
        <v>-3.4723750018333555E-2</v>
      </c>
      <c r="J143" s="101">
        <f t="shared" si="95"/>
        <v>-6.9058779733641275E-3</v>
      </c>
      <c r="K143" s="101">
        <f t="shared" si="95"/>
        <v>7.709726281001851E-2</v>
      </c>
      <c r="L143" s="101">
        <f t="shared" si="95"/>
        <v>6.0839796585130258E-2</v>
      </c>
      <c r="M143" s="101">
        <f t="shared" si="95"/>
        <v>1.5646549992635341E-2</v>
      </c>
      <c r="N143" s="101">
        <f t="shared" si="95"/>
        <v>0.11853736675917442</v>
      </c>
      <c r="O143" s="101">
        <f t="shared" si="95"/>
        <v>6.5399190245224864E-2</v>
      </c>
      <c r="P143" s="101">
        <f t="shared" si="95"/>
        <v>3.3975373109559795E-2</v>
      </c>
      <c r="Q143" s="101">
        <f t="shared" si="95"/>
        <v>5.0074898352236254E-2</v>
      </c>
      <c r="R143" s="101">
        <f t="shared" si="95"/>
        <v>5.7560627674750356E-2</v>
      </c>
      <c r="S143" s="101">
        <f t="shared" si="95"/>
        <v>8.3082022179614412E-2</v>
      </c>
      <c r="T143" s="101">
        <f t="shared" si="95"/>
        <v>0.11312404369640251</v>
      </c>
      <c r="U143" s="241">
        <v>9.076269594856487E-2</v>
      </c>
      <c r="V143" s="174"/>
    </row>
    <row r="144" spans="1:24" ht="3" customHeight="1">
      <c r="A144" s="109"/>
      <c r="B144" s="65"/>
      <c r="C144" s="65"/>
      <c r="E144" s="65"/>
      <c r="F144" s="74"/>
      <c r="G144" s="101"/>
      <c r="H144" s="101"/>
      <c r="I144" s="101"/>
      <c r="J144" s="101"/>
      <c r="K144" s="101"/>
      <c r="L144" s="101"/>
      <c r="M144" s="101"/>
      <c r="N144" s="101"/>
      <c r="O144" s="101"/>
      <c r="P144" s="101"/>
      <c r="Q144" s="101"/>
      <c r="R144" s="101"/>
      <c r="S144" s="101"/>
      <c r="T144" s="101"/>
      <c r="U144" s="241"/>
      <c r="V144" s="174"/>
    </row>
    <row r="145" spans="1:22">
      <c r="A145" s="109"/>
      <c r="B145" s="65"/>
      <c r="C145" s="65"/>
      <c r="D145" s="3" t="s">
        <v>168</v>
      </c>
      <c r="E145" s="65"/>
      <c r="F145" s="74"/>
      <c r="G145" s="74"/>
      <c r="H145" s="74"/>
      <c r="I145" s="74"/>
      <c r="J145" s="74"/>
      <c r="K145" s="74"/>
      <c r="L145" s="74"/>
      <c r="M145" s="74"/>
      <c r="N145" s="74"/>
      <c r="O145" s="74"/>
      <c r="P145" s="74"/>
      <c r="Q145" s="74"/>
      <c r="R145" s="74"/>
      <c r="S145" s="74"/>
      <c r="T145" s="74"/>
      <c r="U145" s="242"/>
      <c r="V145" s="136"/>
    </row>
    <row r="146" spans="1:22">
      <c r="A146" s="30">
        <v>30</v>
      </c>
      <c r="B146" s="3" t="s">
        <v>170</v>
      </c>
      <c r="C146" s="65"/>
      <c r="D146" s="65"/>
      <c r="E146" s="115" t="s">
        <v>166</v>
      </c>
      <c r="F146" s="74">
        <f>F14</f>
        <v>2377</v>
      </c>
      <c r="G146" s="74">
        <f t="shared" ref="G146:R146" si="96">G14</f>
        <v>2541</v>
      </c>
      <c r="H146" s="74">
        <f t="shared" si="96"/>
        <v>2340</v>
      </c>
      <c r="I146" s="74">
        <f t="shared" si="96"/>
        <v>2183</v>
      </c>
      <c r="J146" s="74">
        <f t="shared" si="96"/>
        <v>2168</v>
      </c>
      <c r="K146" s="74">
        <f t="shared" si="96"/>
        <v>30131</v>
      </c>
      <c r="L146" s="74">
        <f t="shared" si="96"/>
        <v>2372</v>
      </c>
      <c r="M146" s="74">
        <f t="shared" si="96"/>
        <v>68416</v>
      </c>
      <c r="N146" s="74">
        <f t="shared" si="96"/>
        <v>153093</v>
      </c>
      <c r="O146" s="74">
        <f t="shared" si="96"/>
        <v>84085</v>
      </c>
      <c r="P146" s="74">
        <f t="shared" si="96"/>
        <v>115257</v>
      </c>
      <c r="Q146" s="74">
        <f t="shared" si="96"/>
        <v>98841</v>
      </c>
      <c r="R146" s="74">
        <f t="shared" si="96"/>
        <v>68107</v>
      </c>
      <c r="S146" s="74">
        <f>S14</f>
        <v>403</v>
      </c>
      <c r="T146" s="74">
        <f>T14</f>
        <v>332</v>
      </c>
      <c r="U146" s="242">
        <v>7129</v>
      </c>
      <c r="V146" s="74">
        <f>V14</f>
        <v>1020</v>
      </c>
    </row>
    <row r="147" spans="1:22">
      <c r="A147" s="30">
        <v>31</v>
      </c>
      <c r="B147" s="3" t="s">
        <v>167</v>
      </c>
      <c r="C147" s="65"/>
      <c r="D147" s="65"/>
      <c r="E147" s="65"/>
      <c r="F147" s="74">
        <f>'Riders and Gas Cost Revenue'!H13</f>
        <v>-242</v>
      </c>
      <c r="G147" s="74">
        <f>'Riders and Gas Cost Revenue'!J13</f>
        <v>-244</v>
      </c>
      <c r="H147" s="74">
        <f>'Riders and Gas Cost Revenue'!L13</f>
        <v>-144</v>
      </c>
      <c r="I147" s="74">
        <f>'Riders and Gas Cost Revenue'!N13</f>
        <v>0</v>
      </c>
      <c r="J147" s="74">
        <f>'Riders and Gas Cost Revenue'!P13</f>
        <v>0</v>
      </c>
      <c r="K147" s="74">
        <f>'Riders and Gas Cost Revenue'!R13</f>
        <v>-28334</v>
      </c>
      <c r="L147" s="74">
        <f>'Riders and Gas Cost Revenue'!T13</f>
        <v>0</v>
      </c>
      <c r="M147" s="74">
        <f>'Riders and Gas Cost Revenue'!W13</f>
        <v>-66686</v>
      </c>
      <c r="N147" s="74">
        <f>'Riders and Gas Cost Revenue'!Z13</f>
        <v>-153018</v>
      </c>
      <c r="O147" s="74">
        <f>'Riders and Gas Cost Revenue'!AC13</f>
        <v>-83992</v>
      </c>
      <c r="P147" s="74">
        <f>'Riders and Gas Cost Revenue'!AF13</f>
        <v>-115193</v>
      </c>
      <c r="Q147" s="74">
        <f>'Riders and Gas Cost Revenue'!AI13</f>
        <v>-98794</v>
      </c>
      <c r="R147" s="74">
        <f>'Riders and Gas Cost Revenue'!AL13</f>
        <v>-67822</v>
      </c>
      <c r="S147" s="136">
        <f>'Riders and Gas Cost Revenue'!AO13</f>
        <v>0</v>
      </c>
      <c r="T147" s="136">
        <f>'Riders and Gas Cost Revenue'!AR13</f>
        <v>0</v>
      </c>
      <c r="U147" s="242">
        <v>0</v>
      </c>
      <c r="V147" s="136"/>
    </row>
    <row r="148" spans="1:22">
      <c r="A148" s="30">
        <v>32</v>
      </c>
      <c r="B148" s="3" t="s">
        <v>171</v>
      </c>
      <c r="C148" s="65"/>
      <c r="D148" s="65"/>
      <c r="E148" s="65"/>
      <c r="F148" s="74">
        <v>-2130</v>
      </c>
      <c r="G148" s="74">
        <v>-2289</v>
      </c>
      <c r="H148" s="74">
        <v>-2187</v>
      </c>
      <c r="I148" s="74">
        <v>-2174</v>
      </c>
      <c r="J148" s="74">
        <v>-2156</v>
      </c>
      <c r="K148" s="74">
        <v>-1723</v>
      </c>
      <c r="L148" s="74">
        <v>-2361</v>
      </c>
      <c r="M148" s="74">
        <v>-1717</v>
      </c>
      <c r="N148" s="74">
        <v>0</v>
      </c>
      <c r="O148" s="74">
        <v>0</v>
      </c>
      <c r="P148" s="74">
        <v>0</v>
      </c>
      <c r="Q148" s="74">
        <v>0</v>
      </c>
      <c r="R148" s="74">
        <v>0</v>
      </c>
      <c r="S148" s="74">
        <v>0</v>
      </c>
      <c r="T148" s="74">
        <v>0</v>
      </c>
      <c r="U148" s="242">
        <v>0</v>
      </c>
      <c r="V148" s="136"/>
    </row>
    <row r="149" spans="1:22">
      <c r="A149" s="30">
        <v>33</v>
      </c>
      <c r="B149" s="3" t="s">
        <v>203</v>
      </c>
      <c r="C149" s="65"/>
      <c r="D149" s="65"/>
      <c r="E149" s="65"/>
      <c r="F149" s="74"/>
      <c r="G149" s="74"/>
      <c r="H149" s="74"/>
      <c r="I149" s="74"/>
      <c r="J149" s="74"/>
      <c r="K149" s="74"/>
      <c r="L149" s="74"/>
      <c r="M149" s="74"/>
      <c r="N149" s="74"/>
      <c r="O149" s="74"/>
      <c r="P149" s="74"/>
      <c r="Q149" s="74"/>
      <c r="R149" s="74"/>
      <c r="S149" s="74"/>
      <c r="T149" s="74"/>
      <c r="U149" s="242">
        <v>-6914</v>
      </c>
      <c r="V149" s="136"/>
    </row>
    <row r="150" spans="1:22" ht="12.75" thickBot="1">
      <c r="A150" s="30">
        <v>34</v>
      </c>
      <c r="B150" s="65" t="s">
        <v>169</v>
      </c>
      <c r="C150" s="65"/>
      <c r="D150" s="65"/>
      <c r="E150" s="65"/>
      <c r="F150" s="62">
        <f>SUM(F146:F148)</f>
        <v>5</v>
      </c>
      <c r="G150" s="62">
        <f t="shared" ref="G150:R150" si="97">SUM(G146:G148)</f>
        <v>8</v>
      </c>
      <c r="H150" s="62">
        <f t="shared" si="97"/>
        <v>9</v>
      </c>
      <c r="I150" s="62">
        <f t="shared" si="97"/>
        <v>9</v>
      </c>
      <c r="J150" s="62">
        <f t="shared" si="97"/>
        <v>12</v>
      </c>
      <c r="K150" s="62">
        <f t="shared" si="97"/>
        <v>74</v>
      </c>
      <c r="L150" s="62">
        <f t="shared" si="97"/>
        <v>11</v>
      </c>
      <c r="M150" s="62">
        <f t="shared" si="97"/>
        <v>13</v>
      </c>
      <c r="N150" s="62">
        <f t="shared" si="97"/>
        <v>75</v>
      </c>
      <c r="O150" s="62">
        <f t="shared" si="97"/>
        <v>93</v>
      </c>
      <c r="P150" s="62">
        <f t="shared" si="97"/>
        <v>64</v>
      </c>
      <c r="Q150" s="62">
        <f t="shared" si="97"/>
        <v>47</v>
      </c>
      <c r="R150" s="62">
        <f t="shared" si="97"/>
        <v>285</v>
      </c>
      <c r="S150" s="62">
        <f>SUM(S146:S148)</f>
        <v>403</v>
      </c>
      <c r="T150" s="62">
        <f>SUM(T146:T148)</f>
        <v>332</v>
      </c>
      <c r="U150" s="240">
        <v>215</v>
      </c>
      <c r="V150" s="136"/>
    </row>
    <row r="151" spans="1:22" ht="12.75" thickTop="1">
      <c r="A151" s="30"/>
      <c r="B151" s="65"/>
      <c r="C151" s="65"/>
      <c r="D151" s="3" t="s">
        <v>139</v>
      </c>
      <c r="E151" s="65"/>
      <c r="F151" s="74"/>
      <c r="G151" s="101">
        <f>(G150-F150)/F150</f>
        <v>0.6</v>
      </c>
      <c r="H151" s="101">
        <f t="shared" ref="H151:T151" si="98">(H150-G150)/G150</f>
        <v>0.125</v>
      </c>
      <c r="I151" s="101">
        <f t="shared" si="98"/>
        <v>0</v>
      </c>
      <c r="J151" s="101">
        <f t="shared" si="98"/>
        <v>0.33333333333333331</v>
      </c>
      <c r="K151" s="101">
        <f t="shared" si="98"/>
        <v>5.166666666666667</v>
      </c>
      <c r="L151" s="101">
        <f t="shared" si="98"/>
        <v>-0.85135135135135132</v>
      </c>
      <c r="M151" s="101">
        <f t="shared" si="98"/>
        <v>0.18181818181818182</v>
      </c>
      <c r="N151" s="101">
        <f t="shared" si="98"/>
        <v>4.7692307692307692</v>
      </c>
      <c r="O151" s="101">
        <f t="shared" si="98"/>
        <v>0.24</v>
      </c>
      <c r="P151" s="101">
        <f t="shared" si="98"/>
        <v>-0.31182795698924731</v>
      </c>
      <c r="Q151" s="101">
        <f t="shared" si="98"/>
        <v>-0.265625</v>
      </c>
      <c r="R151" s="101">
        <f t="shared" si="98"/>
        <v>5.0638297872340425</v>
      </c>
      <c r="S151" s="101">
        <f t="shared" si="98"/>
        <v>0.41403508771929826</v>
      </c>
      <c r="T151" s="101">
        <f t="shared" si="98"/>
        <v>-0.17617866004962779</v>
      </c>
      <c r="U151" s="241">
        <v>-0.35240963855421686</v>
      </c>
      <c r="V151" s="174"/>
    </row>
    <row r="152" spans="1:22" ht="6.75" customHeight="1">
      <c r="A152" s="109"/>
      <c r="B152" s="65"/>
      <c r="C152" s="65"/>
      <c r="D152" s="65"/>
      <c r="E152" s="65"/>
      <c r="F152" s="74"/>
      <c r="G152" s="74"/>
      <c r="H152" s="74"/>
      <c r="I152" s="74"/>
      <c r="J152" s="74"/>
      <c r="K152" s="74"/>
      <c r="L152" s="74"/>
      <c r="M152" s="74"/>
      <c r="N152" s="74"/>
      <c r="O152" s="74"/>
      <c r="P152" s="74"/>
      <c r="Q152" s="74"/>
      <c r="R152" s="74"/>
    </row>
    <row r="153" spans="1:22" ht="12.75">
      <c r="A153" s="119" t="s">
        <v>43</v>
      </c>
      <c r="B153"/>
      <c r="C153"/>
      <c r="D153"/>
      <c r="E153"/>
      <c r="F153"/>
      <c r="G153"/>
      <c r="H153"/>
      <c r="I153"/>
      <c r="J153"/>
      <c r="K153"/>
      <c r="L153"/>
      <c r="M153"/>
      <c r="N153"/>
      <c r="O153"/>
      <c r="R153" s="4"/>
    </row>
    <row r="154" spans="1:22" ht="12.75">
      <c r="A154" s="119" t="s">
        <v>48</v>
      </c>
      <c r="B154"/>
      <c r="C154"/>
      <c r="D154"/>
      <c r="E154"/>
      <c r="F154"/>
      <c r="G154"/>
      <c r="H154"/>
      <c r="I154"/>
      <c r="J154"/>
      <c r="K154"/>
      <c r="L154"/>
      <c r="M154"/>
      <c r="N154"/>
      <c r="O154"/>
      <c r="R154" s="4"/>
    </row>
    <row r="155" spans="1:22" ht="12.75">
      <c r="A155" s="119" t="s">
        <v>86</v>
      </c>
      <c r="B155"/>
      <c r="C155"/>
      <c r="D155"/>
      <c r="E155"/>
      <c r="F155"/>
      <c r="G155"/>
      <c r="H155"/>
      <c r="I155"/>
      <c r="J155"/>
      <c r="K155"/>
      <c r="L155"/>
      <c r="M155"/>
      <c r="N155"/>
      <c r="O155"/>
      <c r="R155" s="4"/>
    </row>
    <row r="156" spans="1:22" ht="3.6" customHeight="1">
      <c r="A156"/>
      <c r="B156"/>
      <c r="C156"/>
      <c r="D156"/>
      <c r="E156"/>
      <c r="F156"/>
      <c r="G156"/>
      <c r="H156"/>
      <c r="I156"/>
      <c r="J156"/>
      <c r="K156"/>
      <c r="L156"/>
      <c r="M156"/>
      <c r="N156"/>
      <c r="O156"/>
      <c r="R156" s="4"/>
    </row>
    <row r="157" spans="1:22" ht="15.75">
      <c r="A157" s="30" t="s">
        <v>0</v>
      </c>
      <c r="B157"/>
      <c r="C157"/>
      <c r="D157"/>
      <c r="E157" s="347" t="s">
        <v>134</v>
      </c>
      <c r="F157" s="347"/>
      <c r="G157" s="347"/>
      <c r="H157" s="347"/>
      <c r="I157" s="347"/>
      <c r="J157" s="347"/>
      <c r="K157" s="347"/>
      <c r="L157" s="347"/>
      <c r="M157" s="347"/>
      <c r="N157" s="347"/>
      <c r="O157" s="347"/>
      <c r="P157" s="347"/>
      <c r="Q157" s="347"/>
      <c r="R157" s="347"/>
      <c r="T157" s="162"/>
      <c r="U157" s="162"/>
      <c r="V157" s="171"/>
    </row>
    <row r="158" spans="1:22" ht="12.75">
      <c r="A158" s="71" t="s">
        <v>2</v>
      </c>
      <c r="B158" s="69" t="s">
        <v>73</v>
      </c>
      <c r="C158" s="69"/>
      <c r="D158" s="70"/>
      <c r="E158" s="70"/>
      <c r="F158" s="60"/>
      <c r="G158" s="121"/>
      <c r="H158" s="121" t="s">
        <v>74</v>
      </c>
      <c r="I158" s="121" t="s">
        <v>75</v>
      </c>
      <c r="J158" s="121" t="s">
        <v>76</v>
      </c>
      <c r="K158" s="121" t="s">
        <v>77</v>
      </c>
      <c r="L158" s="121" t="s">
        <v>78</v>
      </c>
      <c r="M158" s="121" t="s">
        <v>79</v>
      </c>
      <c r="N158" s="121" t="s">
        <v>80</v>
      </c>
      <c r="O158" s="121" t="s">
        <v>81</v>
      </c>
      <c r="P158" s="121" t="s">
        <v>82</v>
      </c>
      <c r="Q158" s="121" t="s">
        <v>83</v>
      </c>
      <c r="R158" s="121" t="s">
        <v>87</v>
      </c>
      <c r="S158" s="121" t="s">
        <v>173</v>
      </c>
      <c r="T158" s="121" t="s">
        <v>184</v>
      </c>
      <c r="U158" s="173" t="s">
        <v>184</v>
      </c>
      <c r="V158" s="175"/>
    </row>
    <row r="159" spans="1:22" ht="12.75">
      <c r="B159"/>
      <c r="C159"/>
      <c r="D159"/>
      <c r="E159"/>
      <c r="F159"/>
      <c r="G159"/>
      <c r="H159"/>
      <c r="I159"/>
      <c r="J159"/>
      <c r="K159"/>
      <c r="L159"/>
      <c r="M159"/>
      <c r="N159"/>
      <c r="O159"/>
      <c r="R159" s="4"/>
      <c r="S159" s="4"/>
      <c r="T159" s="4"/>
      <c r="U159" s="29"/>
      <c r="V159" s="136"/>
    </row>
    <row r="160" spans="1:22" ht="12.75">
      <c r="A160" s="22">
        <v>1</v>
      </c>
      <c r="B160" s="64" t="s">
        <v>148</v>
      </c>
      <c r="C160"/>
      <c r="D160"/>
      <c r="E160"/>
      <c r="F160"/>
      <c r="G160" s="68"/>
      <c r="H160" s="68">
        <f t="shared" ref="H160:R160" si="99">(H113-G113)/G113</f>
        <v>0.20406295754026355</v>
      </c>
      <c r="I160" s="68">
        <f t="shared" si="99"/>
        <v>5.5834219992906726E-2</v>
      </c>
      <c r="J160" s="68">
        <f t="shared" si="99"/>
        <v>-3.8101636354911463E-2</v>
      </c>
      <c r="K160" s="68">
        <f t="shared" si="99"/>
        <v>3.1578947368421054E-2</v>
      </c>
      <c r="L160" s="68">
        <f t="shared" si="99"/>
        <v>-3.3852403520649968E-3</v>
      </c>
      <c r="M160" s="68">
        <f t="shared" si="99"/>
        <v>3.3336568322981368E-2</v>
      </c>
      <c r="N160" s="68">
        <f t="shared" si="99"/>
        <v>2.7565156139938953E-2</v>
      </c>
      <c r="O160" s="68">
        <f t="shared" si="99"/>
        <v>0.12750205648478202</v>
      </c>
      <c r="P160" s="68">
        <f t="shared" si="99"/>
        <v>5.6217574578469522E-2</v>
      </c>
      <c r="Q160" s="68">
        <f t="shared" si="99"/>
        <v>7.079523166660262E-2</v>
      </c>
      <c r="R160" s="68">
        <f t="shared" si="99"/>
        <v>0.10393357017857532</v>
      </c>
      <c r="S160" s="68">
        <f>(S113-R113)/R113</f>
        <v>9.6091416699129982E-3</v>
      </c>
      <c r="T160" s="68">
        <f>(T113-S113)/S113</f>
        <v>1.3633440514469453E-2</v>
      </c>
      <c r="U160" s="75">
        <v>0.10856669005549531</v>
      </c>
      <c r="V160" s="102"/>
    </row>
    <row r="161" spans="1:25" ht="12.75">
      <c r="B161"/>
      <c r="C161"/>
      <c r="D161"/>
      <c r="E161"/>
      <c r="F161"/>
      <c r="G161"/>
      <c r="H161"/>
      <c r="I161"/>
      <c r="J161"/>
      <c r="K161"/>
      <c r="L161"/>
      <c r="M161"/>
      <c r="N161"/>
      <c r="O161"/>
      <c r="R161" s="4"/>
      <c r="S161" s="4"/>
      <c r="T161" s="4"/>
      <c r="U161" s="29"/>
      <c r="V161" s="136"/>
    </row>
    <row r="162" spans="1:25" ht="12.75">
      <c r="A162" s="22">
        <v>2</v>
      </c>
      <c r="B162" s="64" t="s">
        <v>178</v>
      </c>
      <c r="C162"/>
      <c r="D162"/>
      <c r="E162"/>
      <c r="F162"/>
      <c r="G162" s="68"/>
      <c r="H162" s="68">
        <f t="shared" ref="H162:T162" si="100">(H120-G120)/G120</f>
        <v>6.0097833682739341E-2</v>
      </c>
      <c r="I162" s="68">
        <f t="shared" si="100"/>
        <v>5.1252471984179301E-2</v>
      </c>
      <c r="J162" s="68">
        <f t="shared" si="100"/>
        <v>1.8811725975858284E-3</v>
      </c>
      <c r="K162" s="68">
        <f t="shared" si="100"/>
        <v>5.4764512595837894E-2</v>
      </c>
      <c r="L162" s="68">
        <f t="shared" si="100"/>
        <v>3.2932799287939477E-2</v>
      </c>
      <c r="M162" s="68">
        <f t="shared" si="100"/>
        <v>6.4627315812149935E-2</v>
      </c>
      <c r="N162" s="68">
        <f t="shared" si="100"/>
        <v>4.5730473492513156E-2</v>
      </c>
      <c r="O162" s="68">
        <f t="shared" si="100"/>
        <v>9.0815273477812181E-2</v>
      </c>
      <c r="P162" s="68">
        <f t="shared" si="100"/>
        <v>7.9351939451277206E-2</v>
      </c>
      <c r="Q162" s="68">
        <f t="shared" si="100"/>
        <v>7.1326832475073959E-2</v>
      </c>
      <c r="R162" s="68">
        <f t="shared" si="100"/>
        <v>9.3475148292084267E-2</v>
      </c>
      <c r="S162" s="68">
        <f t="shared" si="100"/>
        <v>0.1385147774036663</v>
      </c>
      <c r="T162" s="68">
        <f t="shared" si="100"/>
        <v>9.2910539719050361E-2</v>
      </c>
      <c r="U162" s="75">
        <v>0.1407095610342754</v>
      </c>
      <c r="V162" s="102"/>
    </row>
    <row r="163" spans="1:25" ht="12.75">
      <c r="B163"/>
      <c r="C163"/>
      <c r="D163"/>
      <c r="E163"/>
      <c r="F163"/>
      <c r="G163"/>
      <c r="H163"/>
      <c r="I163"/>
      <c r="J163"/>
      <c r="K163"/>
      <c r="L163"/>
      <c r="M163"/>
      <c r="N163"/>
      <c r="O163"/>
      <c r="R163" s="4"/>
      <c r="S163" s="4"/>
      <c r="T163" s="4"/>
      <c r="U163" s="29"/>
      <c r="V163" s="136"/>
    </row>
    <row r="164" spans="1:25" ht="12.75">
      <c r="A164" s="22">
        <v>3</v>
      </c>
      <c r="B164" s="65" t="s">
        <v>180</v>
      </c>
      <c r="C164"/>
      <c r="D164"/>
      <c r="E164"/>
      <c r="F164"/>
      <c r="G164" s="68"/>
      <c r="H164" s="68">
        <f t="shared" ref="H164:T164" si="101">(H136-G136)/G136</f>
        <v>0.192689964732286</v>
      </c>
      <c r="I164" s="68">
        <f t="shared" si="101"/>
        <v>-9.4892473118279572E-2</v>
      </c>
      <c r="J164" s="68">
        <f t="shared" si="101"/>
        <v>0.1182061182061182</v>
      </c>
      <c r="K164" s="75">
        <f t="shared" si="101"/>
        <v>-0.10836653386454183</v>
      </c>
      <c r="L164" s="68">
        <f t="shared" si="101"/>
        <v>6.9109323801012812E-2</v>
      </c>
      <c r="M164" s="68">
        <f t="shared" si="101"/>
        <v>-1.337419894120925E-2</v>
      </c>
      <c r="N164" s="68">
        <f t="shared" si="101"/>
        <v>-0.16379553798362045</v>
      </c>
      <c r="O164" s="68">
        <f t="shared" si="101"/>
        <v>0.25903411009793986</v>
      </c>
      <c r="P164" s="68">
        <f t="shared" si="101"/>
        <v>2.8433476394849784E-2</v>
      </c>
      <c r="Q164" s="68">
        <f t="shared" si="101"/>
        <v>0.12589314736567569</v>
      </c>
      <c r="R164" s="68">
        <f t="shared" si="101"/>
        <v>6.3781896002181149E-2</v>
      </c>
      <c r="S164" s="68">
        <f t="shared" si="101"/>
        <v>0.13044425087108014</v>
      </c>
      <c r="T164" s="68">
        <f t="shared" si="101"/>
        <v>6.3956848391446733E-2</v>
      </c>
      <c r="U164" s="75">
        <v>5.4318305268875608E-3</v>
      </c>
      <c r="V164" s="102"/>
    </row>
    <row r="165" spans="1:25" ht="12.75">
      <c r="B165"/>
      <c r="C165"/>
      <c r="D165"/>
      <c r="E165"/>
      <c r="F165"/>
      <c r="G165"/>
      <c r="H165"/>
      <c r="I165"/>
      <c r="J165"/>
      <c r="K165"/>
      <c r="L165"/>
      <c r="M165"/>
      <c r="N165"/>
      <c r="O165"/>
      <c r="R165" s="4"/>
      <c r="S165" s="4"/>
      <c r="T165" s="4"/>
      <c r="U165" s="29"/>
      <c r="V165" s="136"/>
    </row>
    <row r="166" spans="1:25" ht="12.75">
      <c r="A166" s="22">
        <v>4</v>
      </c>
      <c r="B166" s="66" t="s">
        <v>50</v>
      </c>
      <c r="C166"/>
      <c r="D166"/>
      <c r="E166"/>
      <c r="F166"/>
      <c r="G166" s="68"/>
      <c r="H166" s="68">
        <f t="shared" ref="H166:T166" si="102">(H84-G84)/G84</f>
        <v>1.8532818532818532E-3</v>
      </c>
      <c r="I166" s="68">
        <f t="shared" si="102"/>
        <v>-3.619546785879451E-2</v>
      </c>
      <c r="J166" s="68">
        <f t="shared" si="102"/>
        <v>-7.5173538914302164E-4</v>
      </c>
      <c r="K166" s="68">
        <f t="shared" si="102"/>
        <v>6.1360544217687073E-2</v>
      </c>
      <c r="L166" s="68">
        <f t="shared" si="102"/>
        <v>6.1621059140230888E-2</v>
      </c>
      <c r="M166" s="68">
        <f t="shared" si="102"/>
        <v>3.3461420991696793E-2</v>
      </c>
      <c r="N166" s="68">
        <f t="shared" si="102"/>
        <v>5.8790378006872854E-2</v>
      </c>
      <c r="O166" s="68">
        <f t="shared" si="102"/>
        <v>0.12821478182974802</v>
      </c>
      <c r="P166" s="68">
        <f t="shared" si="102"/>
        <v>2.3560751642636043E-2</v>
      </c>
      <c r="Q166" s="68">
        <f t="shared" si="102"/>
        <v>3.177047908668304E-2</v>
      </c>
      <c r="R166" s="68">
        <f t="shared" si="102"/>
        <v>6.3927040146442723E-2</v>
      </c>
      <c r="S166" s="68">
        <f t="shared" si="102"/>
        <v>6.3864978211555304E-2</v>
      </c>
      <c r="T166" s="68">
        <f t="shared" si="102"/>
        <v>8.7322330199895076E-2</v>
      </c>
      <c r="U166" s="75">
        <v>8.2983253726189796E-2</v>
      </c>
      <c r="V166" s="102"/>
    </row>
    <row r="167" spans="1:25" ht="12.75">
      <c r="B167" s="66"/>
      <c r="C167"/>
      <c r="D167"/>
      <c r="E167"/>
      <c r="F167"/>
      <c r="G167" s="68"/>
      <c r="H167" s="68"/>
      <c r="I167" s="68"/>
      <c r="J167" s="68"/>
      <c r="K167" s="68"/>
      <c r="L167" s="68"/>
      <c r="M167" s="68"/>
      <c r="N167" s="68"/>
      <c r="O167" s="68"/>
      <c r="P167" s="68"/>
      <c r="Q167" s="68"/>
      <c r="R167" s="68"/>
      <c r="S167" s="68"/>
      <c r="T167" s="68"/>
      <c r="U167" s="75"/>
      <c r="V167" s="102"/>
    </row>
    <row r="168" spans="1:25" ht="12.75">
      <c r="A168" s="22">
        <v>5</v>
      </c>
      <c r="B168" s="66" t="s">
        <v>72</v>
      </c>
      <c r="C168"/>
      <c r="D168"/>
      <c r="E168"/>
      <c r="F168"/>
      <c r="G168" s="68"/>
      <c r="H168" s="68">
        <f t="shared" ref="H168:T168" si="103">(H91-G91)/G91</f>
        <v>6.1834066290841474E-3</v>
      </c>
      <c r="I168" s="68">
        <f t="shared" si="103"/>
        <v>-3.4723750018333555E-2</v>
      </c>
      <c r="J168" s="68">
        <f t="shared" si="103"/>
        <v>-6.9058779733641275E-3</v>
      </c>
      <c r="K168" s="68">
        <f t="shared" si="103"/>
        <v>7.709726281001851E-2</v>
      </c>
      <c r="L168" s="68">
        <f t="shared" si="103"/>
        <v>6.0839796585130258E-2</v>
      </c>
      <c r="M168" s="68">
        <f t="shared" si="103"/>
        <v>1.5646549992635341E-2</v>
      </c>
      <c r="N168" s="68">
        <f t="shared" si="103"/>
        <v>0.11853736675917442</v>
      </c>
      <c r="O168" s="68">
        <f t="shared" si="103"/>
        <v>6.5399190245224864E-2</v>
      </c>
      <c r="P168" s="68">
        <f t="shared" si="103"/>
        <v>3.3975373109559795E-2</v>
      </c>
      <c r="Q168" s="68">
        <f t="shared" si="103"/>
        <v>5.0074898352236254E-2</v>
      </c>
      <c r="R168" s="68">
        <f t="shared" si="103"/>
        <v>5.7560627674750356E-2</v>
      </c>
      <c r="S168" s="68">
        <f t="shared" si="103"/>
        <v>8.3082022179614412E-2</v>
      </c>
      <c r="T168" s="68">
        <f t="shared" si="103"/>
        <v>0.11312404369640251</v>
      </c>
      <c r="U168" s="75">
        <v>9.076269594856487E-2</v>
      </c>
      <c r="V168" s="102"/>
    </row>
    <row r="169" spans="1:25" ht="12.75">
      <c r="B169" s="66"/>
      <c r="C169"/>
      <c r="D169"/>
      <c r="E169"/>
      <c r="F169"/>
      <c r="G169" s="68"/>
      <c r="H169" s="68"/>
      <c r="I169" s="68"/>
      <c r="J169" s="68"/>
      <c r="K169" s="68"/>
      <c r="L169" s="68"/>
      <c r="M169" s="68"/>
      <c r="N169" s="68"/>
      <c r="O169" s="68"/>
      <c r="P169" s="68"/>
      <c r="Q169" s="68"/>
      <c r="R169" s="68"/>
      <c r="S169" s="68"/>
      <c r="T169" s="68"/>
      <c r="U169" s="75"/>
      <c r="V169" s="102"/>
    </row>
    <row r="170" spans="1:25" ht="12.75">
      <c r="A170" s="22">
        <v>6</v>
      </c>
      <c r="B170" s="66" t="s">
        <v>116</v>
      </c>
      <c r="C170"/>
      <c r="D170"/>
      <c r="E170"/>
      <c r="F170"/>
      <c r="H170" s="130" t="s">
        <v>172</v>
      </c>
      <c r="I170" s="68"/>
      <c r="J170" s="68"/>
      <c r="K170" s="68"/>
      <c r="L170" s="68"/>
      <c r="M170" s="68"/>
      <c r="N170" s="68"/>
      <c r="O170" s="68"/>
      <c r="P170" s="68"/>
      <c r="Q170" s="68"/>
      <c r="R170" s="68"/>
      <c r="S170" s="68"/>
      <c r="T170" s="68"/>
      <c r="U170" s="75"/>
      <c r="V170" s="102"/>
      <c r="Y170" s="141"/>
    </row>
    <row r="171" spans="1:25" ht="12.75">
      <c r="B171"/>
      <c r="C171"/>
      <c r="D171"/>
      <c r="E171"/>
      <c r="F171"/>
      <c r="G171"/>
      <c r="H171"/>
      <c r="I171"/>
      <c r="J171"/>
      <c r="K171"/>
      <c r="L171"/>
      <c r="M171"/>
      <c r="N171"/>
      <c r="O171"/>
      <c r="R171" s="4"/>
      <c r="S171" s="4"/>
      <c r="T171" s="4"/>
      <c r="U171" s="29"/>
      <c r="V171" s="136"/>
    </row>
    <row r="172" spans="1:25" ht="12.75">
      <c r="B172" s="69" t="s">
        <v>201</v>
      </c>
      <c r="C172" s="69"/>
      <c r="D172" s="70"/>
      <c r="E172" s="70"/>
      <c r="F172" s="60"/>
      <c r="G172" s="121"/>
      <c r="H172" s="121" t="s">
        <v>185</v>
      </c>
      <c r="I172" s="121" t="s">
        <v>186</v>
      </c>
      <c r="J172" s="121" t="s">
        <v>187</v>
      </c>
      <c r="K172" s="121" t="s">
        <v>188</v>
      </c>
      <c r="L172" s="121" t="s">
        <v>189</v>
      </c>
      <c r="M172" s="121" t="s">
        <v>190</v>
      </c>
      <c r="N172" s="121" t="s">
        <v>191</v>
      </c>
      <c r="O172" s="121" t="s">
        <v>192</v>
      </c>
      <c r="P172" s="121" t="s">
        <v>193</v>
      </c>
      <c r="Q172" s="121" t="s">
        <v>194</v>
      </c>
      <c r="R172" s="121" t="s">
        <v>195</v>
      </c>
      <c r="S172" s="121" t="s">
        <v>183</v>
      </c>
      <c r="T172" s="121" t="s">
        <v>184</v>
      </c>
      <c r="U172" s="173" t="s">
        <v>184</v>
      </c>
      <c r="V172" s="175"/>
    </row>
    <row r="173" spans="1:25" ht="6.75" customHeight="1" thickBot="1">
      <c r="B173"/>
      <c r="C173"/>
      <c r="D173"/>
      <c r="E173"/>
      <c r="F173"/>
      <c r="G173"/>
      <c r="H173"/>
      <c r="I173"/>
      <c r="J173"/>
      <c r="K173"/>
      <c r="L173"/>
      <c r="M173"/>
      <c r="N173"/>
      <c r="O173"/>
      <c r="R173" s="4"/>
      <c r="S173" s="4"/>
      <c r="T173" s="4"/>
      <c r="U173" s="29"/>
      <c r="V173" s="136"/>
    </row>
    <row r="174" spans="1:25" ht="12.75">
      <c r="A174" s="22">
        <v>7</v>
      </c>
      <c r="B174" s="64" t="s">
        <v>148</v>
      </c>
      <c r="C174"/>
      <c r="D174"/>
      <c r="E174"/>
      <c r="F174"/>
      <c r="G174" s="68"/>
      <c r="H174" s="68">
        <f>RATE(13,,-G113,$T113)</f>
        <v>5.1591034678929677E-2</v>
      </c>
      <c r="I174" s="68">
        <f>RATE(12,,-H113,$T113)</f>
        <v>3.9792502212037513E-2</v>
      </c>
      <c r="J174" s="68">
        <f>RATE(11,,-I113,$T113)</f>
        <v>3.8346305984760895E-2</v>
      </c>
      <c r="K174" s="68">
        <f>RATE(10,,-J113,$T113)</f>
        <v>4.6317588487273929E-2</v>
      </c>
      <c r="L174" s="68">
        <f>RATE(9,,-K113,$T113)</f>
        <v>4.796815924377984E-2</v>
      </c>
      <c r="M174" s="68">
        <f>RATE(8,,-L113,$T113)</f>
        <v>5.4570659545203577E-2</v>
      </c>
      <c r="N174" s="145">
        <f>RATE(7,,-M113,$T113)</f>
        <v>5.7639513627588755E-2</v>
      </c>
      <c r="O174" s="68">
        <f>RATE(6,,-N113,$T113)</f>
        <v>6.2736795394909076E-2</v>
      </c>
      <c r="P174" s="68">
        <f>RATE(5,,-O113,$T113)</f>
        <v>5.0237188661023835E-2</v>
      </c>
      <c r="Q174" s="68">
        <f>RATE(4,,-P113,$T113)</f>
        <v>4.8747390534768058E-2</v>
      </c>
      <c r="R174" s="68">
        <f>RATE(3,,-Q113,$T113)</f>
        <v>4.1499457643367529E-2</v>
      </c>
      <c r="S174" s="68">
        <f>RATE(2,,-R113,$T113)</f>
        <v>1.1619289973127441E-2</v>
      </c>
      <c r="T174" s="68">
        <f>RATE(1,,-S113,$T113)</f>
        <v>1.3633440514469436E-2</v>
      </c>
      <c r="U174" s="75">
        <v>3.9619459789916618E-17</v>
      </c>
      <c r="V174" s="102"/>
    </row>
    <row r="175" spans="1:25" ht="8.25" customHeight="1">
      <c r="B175" s="64"/>
      <c r="C175"/>
      <c r="D175"/>
      <c r="E175"/>
      <c r="F175"/>
      <c r="G175" s="68"/>
      <c r="H175" s="68"/>
      <c r="I175" s="68"/>
      <c r="J175" s="68"/>
      <c r="K175" s="68"/>
      <c r="L175" s="68"/>
      <c r="M175" s="68"/>
      <c r="N175" s="144"/>
      <c r="O175" s="68"/>
      <c r="P175" s="68"/>
      <c r="Q175" s="68"/>
      <c r="R175" s="68"/>
      <c r="S175" s="68"/>
      <c r="T175" s="68"/>
      <c r="U175" s="75"/>
      <c r="V175" s="102"/>
    </row>
    <row r="176" spans="1:25" ht="12.75">
      <c r="A176" s="22" t="s">
        <v>135</v>
      </c>
      <c r="B176" s="128" t="s">
        <v>199</v>
      </c>
      <c r="C176"/>
      <c r="D176"/>
      <c r="E176"/>
      <c r="F176"/>
      <c r="G176" s="68"/>
      <c r="H176" s="68"/>
      <c r="I176" s="68"/>
      <c r="J176" s="68"/>
      <c r="K176" s="68"/>
      <c r="L176" s="68"/>
      <c r="M176" s="68"/>
      <c r="N176" s="163">
        <v>0.03</v>
      </c>
      <c r="O176" s="68"/>
      <c r="P176" s="68"/>
      <c r="Q176" s="68"/>
      <c r="R176" s="68"/>
      <c r="S176" s="68"/>
      <c r="T176" s="68"/>
      <c r="U176" s="75"/>
      <c r="V176" s="102"/>
    </row>
    <row r="177" spans="1:25" ht="4.5" customHeight="1">
      <c r="B177" s="64"/>
      <c r="C177"/>
      <c r="D177"/>
      <c r="E177"/>
      <c r="F177"/>
      <c r="G177" s="105"/>
      <c r="H177" s="68"/>
      <c r="I177" s="68"/>
      <c r="J177" s="68"/>
      <c r="K177" s="68"/>
      <c r="L177" s="68"/>
      <c r="M177" s="68"/>
      <c r="N177" s="146"/>
      <c r="O177" s="68"/>
      <c r="P177" s="68"/>
      <c r="Q177" s="68"/>
      <c r="R177" s="68"/>
      <c r="S177" s="68"/>
      <c r="T177" s="68"/>
      <c r="U177" s="75"/>
      <c r="V177" s="102"/>
    </row>
    <row r="178" spans="1:25" ht="12.75">
      <c r="A178" s="22">
        <v>9</v>
      </c>
      <c r="B178" s="64" t="s">
        <v>178</v>
      </c>
      <c r="C178"/>
      <c r="D178"/>
      <c r="E178"/>
      <c r="F178"/>
      <c r="G178" s="105"/>
      <c r="H178" s="68">
        <f>RATE(13,,-G120,$T120)</f>
        <v>6.702743374683795E-2</v>
      </c>
      <c r="I178" s="68">
        <f>RATE(12,,-H120,$T120)</f>
        <v>6.7606941008443708E-2</v>
      </c>
      <c r="J178" s="68">
        <f>RATE(11,,-I120,$T120)</f>
        <v>6.9106268173088167E-2</v>
      </c>
      <c r="K178" s="68">
        <f>RATE(10,,-J120,$T120)</f>
        <v>7.6072027034380249E-2</v>
      </c>
      <c r="L178" s="68">
        <f>RATE(9,,-K120,$T120)</f>
        <v>7.8465941315540244E-2</v>
      </c>
      <c r="M178" s="68">
        <f>RATE(8,,-L120,$T120)</f>
        <v>8.4296934954186942E-2</v>
      </c>
      <c r="N178" s="147">
        <f>RATE(7,,-M120,$T120)</f>
        <v>8.7136391223947646E-2</v>
      </c>
      <c r="O178" s="68">
        <f>RATE(6,,-N120,$T120)</f>
        <v>9.4195049014548005E-2</v>
      </c>
      <c r="P178" s="68">
        <f>RATE(5,,-O120,$T120)</f>
        <v>9.4872259710231069E-2</v>
      </c>
      <c r="Q178" s="68">
        <f>RATE(4,,-P120,$T120)</f>
        <v>9.8787085714715756E-2</v>
      </c>
      <c r="R178" s="68">
        <f>RATE(3,,-Q120,$T120)</f>
        <v>0.10809603554063664</v>
      </c>
      <c r="S178" s="68">
        <f>RATE(2,,-R120,$T120)</f>
        <v>0.11547962771641652</v>
      </c>
      <c r="T178" s="68">
        <f>RATE(1,,-S120,$T120)</f>
        <v>9.2910539719050209E-2</v>
      </c>
      <c r="U178" s="75">
        <v>5.0671032813615503E-17</v>
      </c>
      <c r="V178" s="102"/>
    </row>
    <row r="179" spans="1:25" ht="5.25" customHeight="1">
      <c r="B179" s="64"/>
      <c r="C179"/>
      <c r="D179" s="67"/>
      <c r="E179" s="67"/>
      <c r="F179"/>
      <c r="G179" s="106"/>
      <c r="H179" s="73"/>
      <c r="I179" s="73"/>
      <c r="J179" s="73"/>
      <c r="K179" s="73"/>
      <c r="L179" s="73"/>
      <c r="M179" s="73"/>
      <c r="N179" s="146"/>
      <c r="O179" s="73"/>
      <c r="P179" s="73"/>
      <c r="Q179" s="73"/>
      <c r="R179" s="73"/>
      <c r="S179" s="73"/>
      <c r="T179" s="73"/>
      <c r="U179" s="172"/>
      <c r="V179" s="176"/>
      <c r="Y179" s="142"/>
    </row>
    <row r="180" spans="1:25" ht="12.75">
      <c r="A180" s="22">
        <v>10</v>
      </c>
      <c r="B180" s="65" t="s">
        <v>180</v>
      </c>
      <c r="C180"/>
      <c r="D180"/>
      <c r="E180"/>
      <c r="F180"/>
      <c r="G180" s="105"/>
      <c r="H180" s="68">
        <f>RATE(13,,-G136,$T136)</f>
        <v>4.4934829633029992E-2</v>
      </c>
      <c r="I180" s="68">
        <f>RATE(12,,-H136,$T136)</f>
        <v>3.3481424809416356E-2</v>
      </c>
      <c r="J180" s="68">
        <f>RATE(11,,-I136,$T136)</f>
        <v>4.6018260340206694E-2</v>
      </c>
      <c r="K180" s="68">
        <f>RATE(10,,-J136,$T136)</f>
        <v>3.9060908848030214E-2</v>
      </c>
      <c r="L180" s="75">
        <f>RATE(9,,-K136,$T136)</f>
        <v>5.6877995291895043E-2</v>
      </c>
      <c r="M180" s="68">
        <f>RATE(8,,-L136,$T136)</f>
        <v>5.5358951389711968E-2</v>
      </c>
      <c r="N180" s="163">
        <f>RATE(7,,-M136,$T136)</f>
        <v>6.5561315184392552E-2</v>
      </c>
      <c r="O180" s="68">
        <f>RATE(6,,-N136,$T136)</f>
        <v>0.10948841714983193</v>
      </c>
      <c r="P180" s="68">
        <f>RATE(5,,-O136,$T136)</f>
        <v>8.178219194971563E-2</v>
      </c>
      <c r="Q180" s="68">
        <f>RATE(4,,-P136,$T136)</f>
        <v>9.5546292996307972E-2</v>
      </c>
      <c r="R180" s="68">
        <f>RATE(3,,-Q136,$T136)</f>
        <v>8.5613544114414325E-2</v>
      </c>
      <c r="S180" s="68">
        <f>RATE(2,,-R136,$T136)</f>
        <v>9.6696814274166792E-2</v>
      </c>
      <c r="T180" s="68">
        <f>RATE(1,,-S136,$T136)</f>
        <v>6.3956848391446858E-2</v>
      </c>
      <c r="U180" s="75">
        <v>-8.3131039622259519E-17</v>
      </c>
      <c r="V180" s="102"/>
      <c r="Y180" s="142"/>
    </row>
    <row r="181" spans="1:25" ht="9" customHeight="1">
      <c r="B181"/>
      <c r="C181"/>
      <c r="D181" s="67"/>
      <c r="E181" s="67"/>
      <c r="F181"/>
      <c r="G181" s="73"/>
      <c r="H181" s="73"/>
      <c r="I181" s="73"/>
      <c r="J181" s="73"/>
      <c r="K181" s="73"/>
      <c r="L181" s="73"/>
      <c r="M181" s="73"/>
      <c r="N181" s="146"/>
      <c r="O181" s="73"/>
      <c r="P181" s="73"/>
      <c r="Q181" s="73"/>
      <c r="R181" s="73"/>
      <c r="S181" s="73"/>
      <c r="T181" s="73"/>
      <c r="U181" s="172"/>
      <c r="V181" s="176"/>
      <c r="Y181" s="142"/>
    </row>
    <row r="182" spans="1:25" ht="12.75">
      <c r="A182" s="22">
        <v>11</v>
      </c>
      <c r="B182" s="66" t="s">
        <v>179</v>
      </c>
      <c r="D182" s="67"/>
      <c r="E182" s="67"/>
      <c r="G182" s="68"/>
      <c r="H182" s="68">
        <f>RATE(13,,-G84,$T84)</f>
        <v>4.3730410255582379E-2</v>
      </c>
      <c r="I182" s="68">
        <f>RATE(12,,-H84,$T84)</f>
        <v>4.7298194879917793E-2</v>
      </c>
      <c r="J182" s="68">
        <f>RATE(11,,-I84,$T84)</f>
        <v>5.5238144078790206E-2</v>
      </c>
      <c r="K182" s="68">
        <f>RATE(10,,-J84,$T84)</f>
        <v>6.10068537216331E-2</v>
      </c>
      <c r="L182" s="68">
        <f>RATE(9,,-K84,$T84)</f>
        <v>6.0967562053945878E-2</v>
      </c>
      <c r="M182" s="68">
        <f>RATE(8,,-L84,$T84)</f>
        <v>6.0885903207858326E-2</v>
      </c>
      <c r="N182" s="147">
        <f>RATE(7,,-M84,$T84)</f>
        <v>6.4862649639835332E-2</v>
      </c>
      <c r="O182" s="68">
        <f>RATE(6,,-N84,$T84)</f>
        <v>6.5878075306076089E-2</v>
      </c>
      <c r="P182" s="68">
        <f>RATE(5,,-O84,$T84)</f>
        <v>5.3830291191638957E-2</v>
      </c>
      <c r="Q182" s="68">
        <f>RATE(4,,-P84,$T84)</f>
        <v>6.1536523065830108E-2</v>
      </c>
      <c r="R182" s="68">
        <f>RATE(3,,-Q84,$T84)</f>
        <v>7.1648158788648622E-2</v>
      </c>
      <c r="S182" s="68">
        <f>RATE(2,,-R84,$T84)</f>
        <v>7.5529705367104349E-2</v>
      </c>
      <c r="T182" s="68">
        <f>RATE(1,,-S84,$T84)</f>
        <v>8.7322330199895007E-2</v>
      </c>
      <c r="U182" s="75">
        <v>3.3903672561772294E-17</v>
      </c>
      <c r="V182" s="102"/>
      <c r="Y182" s="142"/>
    </row>
    <row r="183" spans="1:25" ht="7.5" customHeight="1">
      <c r="B183" s="66"/>
      <c r="D183" s="67"/>
      <c r="E183" s="67"/>
      <c r="G183" s="68"/>
      <c r="H183" s="68"/>
      <c r="I183" s="68"/>
      <c r="J183" s="68"/>
      <c r="K183" s="68"/>
      <c r="L183" s="68"/>
      <c r="M183" s="68"/>
      <c r="N183" s="146"/>
      <c r="O183" s="68"/>
      <c r="P183" s="68"/>
      <c r="Q183" s="68"/>
      <c r="R183" s="68"/>
      <c r="S183" s="68"/>
      <c r="T183" s="68"/>
      <c r="U183" s="75"/>
      <c r="V183" s="102"/>
      <c r="Y183" s="142"/>
    </row>
    <row r="184" spans="1:25" ht="13.5" thickBot="1">
      <c r="A184" s="22">
        <v>12</v>
      </c>
      <c r="B184" s="66" t="s">
        <v>72</v>
      </c>
      <c r="C184"/>
      <c r="D184"/>
      <c r="E184"/>
      <c r="F184"/>
      <c r="G184" s="68"/>
      <c r="H184" s="68">
        <f>RATE(13,,-G91,$T91)</f>
        <v>4.8310659267959646E-2</v>
      </c>
      <c r="I184" s="68">
        <f>RATE(12,,-H91,$T91)</f>
        <v>5.1899880999887391E-2</v>
      </c>
      <c r="J184" s="68">
        <f>RATE(11,,-I91,$T91)</f>
        <v>6.0150167870031787E-2</v>
      </c>
      <c r="K184" s="68">
        <f>RATE(10,,-J91,$T91)</f>
        <v>6.7099911677334187E-2</v>
      </c>
      <c r="L184" s="68">
        <f>RATE(9,,-K91,$T91)</f>
        <v>6.599483866669191E-2</v>
      </c>
      <c r="M184" s="68">
        <f>RATE(8,,-L91,$T91)</f>
        <v>6.6640977792237432E-2</v>
      </c>
      <c r="N184" s="164">
        <f>RATE(7,,-M91,$T91)</f>
        <v>7.4131975528255734E-2</v>
      </c>
      <c r="O184" s="68">
        <f>RATE(6,,-N91,$T91)</f>
        <v>6.6904392588354428E-2</v>
      </c>
      <c r="P184" s="68">
        <f>RATE(5,,-O91,$T91)</f>
        <v>6.7205688147962531E-2</v>
      </c>
      <c r="Q184" s="68">
        <f>RATE(4,,-P91,$T91)</f>
        <v>7.567881488245097E-2</v>
      </c>
      <c r="R184" s="68">
        <f>RATE(3,,-Q91,$T91)</f>
        <v>8.4351442625100928E-2</v>
      </c>
      <c r="S184" s="68">
        <f>RATE(2,,-R91,$T91)</f>
        <v>9.800029152248374E-2</v>
      </c>
      <c r="T184" s="68">
        <f>RATE(1,,-S91,$T91)</f>
        <v>0.11312404369640242</v>
      </c>
      <c r="U184" s="75">
        <v>3.3578815316010048E-17</v>
      </c>
      <c r="V184" s="102"/>
      <c r="Y184" s="142"/>
    </row>
    <row r="185" spans="1:25" ht="9.75" customHeight="1">
      <c r="B185" s="66"/>
      <c r="D185" s="67"/>
      <c r="E185" s="67"/>
      <c r="G185" s="73"/>
      <c r="H185" s="73"/>
      <c r="I185" s="73"/>
      <c r="J185" s="73"/>
      <c r="K185" s="73"/>
      <c r="L185" s="73"/>
      <c r="M185" s="73"/>
      <c r="N185" s="106"/>
      <c r="O185" s="73"/>
      <c r="P185" s="73"/>
      <c r="Q185" s="73"/>
      <c r="R185" s="73"/>
      <c r="S185" s="73"/>
      <c r="T185" s="73"/>
      <c r="U185" s="172"/>
      <c r="V185" s="176"/>
      <c r="W185" s="142"/>
      <c r="X185" s="142"/>
      <c r="Y185" s="142"/>
    </row>
    <row r="186" spans="1:25" ht="12.75">
      <c r="A186" s="22">
        <v>13</v>
      </c>
      <c r="B186" s="66" t="s">
        <v>116</v>
      </c>
      <c r="D186" s="67"/>
      <c r="E186" s="67"/>
      <c r="G186" s="68" t="str">
        <f>H170</f>
        <v>Not used due to deminimus values that resulted in extraordinary variablility</v>
      </c>
      <c r="H186" s="68"/>
      <c r="I186" s="68"/>
      <c r="J186" s="68"/>
      <c r="K186" s="68"/>
      <c r="L186" s="68"/>
      <c r="M186" s="68"/>
      <c r="N186" s="105"/>
      <c r="O186" s="68"/>
      <c r="P186" s="68"/>
      <c r="Q186" s="68"/>
      <c r="R186" s="68"/>
      <c r="S186" s="68"/>
      <c r="T186" s="68"/>
      <c r="U186" s="75"/>
      <c r="V186" s="102"/>
    </row>
    <row r="187" spans="1:25" ht="12.75">
      <c r="D187" s="67"/>
      <c r="E187" s="67"/>
      <c r="G187" s="73"/>
      <c r="H187" s="73"/>
      <c r="I187" s="73"/>
      <c r="J187" s="73"/>
      <c r="K187" s="73"/>
      <c r="L187" s="73"/>
      <c r="M187" s="73"/>
      <c r="N187" s="106"/>
      <c r="O187" s="73"/>
      <c r="P187" s="73"/>
      <c r="Q187" s="73"/>
      <c r="R187" s="73"/>
      <c r="S187" s="73"/>
      <c r="T187" s="73"/>
      <c r="U187" s="172"/>
      <c r="V187" s="176"/>
    </row>
    <row r="188" spans="1:25" ht="12.75">
      <c r="B188" s="69" t="s">
        <v>200</v>
      </c>
      <c r="C188" s="69"/>
      <c r="D188" s="70"/>
      <c r="E188" s="70"/>
      <c r="F188" s="60"/>
      <c r="G188" s="121"/>
      <c r="H188" s="121" t="s">
        <v>185</v>
      </c>
      <c r="I188" s="121" t="s">
        <v>186</v>
      </c>
      <c r="J188" s="121" t="s">
        <v>187</v>
      </c>
      <c r="K188" s="121" t="s">
        <v>188</v>
      </c>
      <c r="L188" s="121" t="s">
        <v>189</v>
      </c>
      <c r="M188" s="121" t="s">
        <v>190</v>
      </c>
      <c r="N188" s="121" t="s">
        <v>191</v>
      </c>
      <c r="O188" s="121" t="s">
        <v>192</v>
      </c>
      <c r="P188" s="121" t="s">
        <v>193</v>
      </c>
      <c r="Q188" s="121" t="s">
        <v>194</v>
      </c>
      <c r="R188" s="121" t="s">
        <v>195</v>
      </c>
      <c r="S188" s="121" t="s">
        <v>183</v>
      </c>
      <c r="T188" s="121" t="s">
        <v>184</v>
      </c>
      <c r="U188" s="173" t="s">
        <v>184</v>
      </c>
      <c r="V188" s="175"/>
    </row>
    <row r="189" spans="1:25" ht="9" customHeight="1" thickBot="1">
      <c r="F189" s="74"/>
      <c r="G189"/>
      <c r="H189"/>
      <c r="I189"/>
      <c r="J189"/>
      <c r="K189"/>
      <c r="L189"/>
      <c r="M189"/>
      <c r="N189"/>
      <c r="O189"/>
      <c r="R189" s="4"/>
      <c r="S189" s="4"/>
      <c r="T189" s="4"/>
      <c r="U189" s="29"/>
      <c r="V189" s="136"/>
    </row>
    <row r="190" spans="1:25" ht="12.75">
      <c r="A190" s="22">
        <v>14</v>
      </c>
      <c r="B190" s="64" t="s">
        <v>148</v>
      </c>
      <c r="F190" s="74" t="s">
        <v>117</v>
      </c>
      <c r="G190" s="138" t="s">
        <v>196</v>
      </c>
      <c r="H190" s="68">
        <f>2*H174</f>
        <v>0.10318206935785935</v>
      </c>
      <c r="I190" s="68">
        <f t="shared" ref="I190:T190" si="104">2*I174</f>
        <v>7.9585004424075026E-2</v>
      </c>
      <c r="J190" s="68">
        <f t="shared" si="104"/>
        <v>7.669261196952179E-2</v>
      </c>
      <c r="K190" s="68">
        <f t="shared" si="104"/>
        <v>9.2635176974547859E-2</v>
      </c>
      <c r="L190" s="68">
        <f t="shared" si="104"/>
        <v>9.593631848755968E-2</v>
      </c>
      <c r="M190" s="68">
        <f t="shared" si="104"/>
        <v>0.10914131909040715</v>
      </c>
      <c r="N190" s="165">
        <f t="shared" si="104"/>
        <v>0.11527902725517751</v>
      </c>
      <c r="O190" s="68">
        <f t="shared" si="104"/>
        <v>0.12547359078981815</v>
      </c>
      <c r="P190" s="68">
        <f t="shared" si="104"/>
        <v>0.10047437732204767</v>
      </c>
      <c r="Q190" s="68">
        <f t="shared" si="104"/>
        <v>9.7494781069536116E-2</v>
      </c>
      <c r="R190" s="68">
        <f t="shared" si="104"/>
        <v>8.2998915286735059E-2</v>
      </c>
      <c r="S190" s="68">
        <f t="shared" si="104"/>
        <v>2.3238579946254882E-2</v>
      </c>
      <c r="T190" s="68">
        <f t="shared" si="104"/>
        <v>2.7266881028938872E-2</v>
      </c>
      <c r="U190" s="75">
        <v>7.9238919579833235E-17</v>
      </c>
      <c r="V190" s="102"/>
    </row>
    <row r="191" spans="1:25" ht="12.75">
      <c r="B191" s="64"/>
      <c r="F191" s="74"/>
      <c r="G191" s="3"/>
      <c r="H191" s="68"/>
      <c r="I191" s="68"/>
      <c r="J191" s="68"/>
      <c r="K191" s="68"/>
      <c r="L191" s="68"/>
      <c r="M191" s="68"/>
      <c r="N191" s="144"/>
      <c r="O191" s="68"/>
      <c r="P191" s="68"/>
      <c r="Q191" s="68"/>
      <c r="R191" s="68"/>
      <c r="S191" s="68"/>
      <c r="T191" s="68"/>
      <c r="U191" s="75"/>
      <c r="V191" s="102"/>
    </row>
    <row r="192" spans="1:25" ht="12.75">
      <c r="A192" s="22" t="s">
        <v>136</v>
      </c>
      <c r="B192" s="128" t="s">
        <v>181</v>
      </c>
      <c r="F192" s="74" t="s">
        <v>117</v>
      </c>
      <c r="G192" s="138" t="s">
        <v>196</v>
      </c>
      <c r="H192" s="68"/>
      <c r="I192" s="68"/>
      <c r="J192" s="68"/>
      <c r="K192" s="68"/>
      <c r="L192" s="68"/>
      <c r="M192" s="68"/>
      <c r="N192" s="147">
        <f>2*N176</f>
        <v>0.06</v>
      </c>
      <c r="O192" s="68"/>
      <c r="P192" s="68"/>
      <c r="Q192" s="68"/>
      <c r="R192" s="68"/>
      <c r="S192" s="68"/>
      <c r="T192" s="68"/>
      <c r="U192" s="75"/>
      <c r="V192" s="102"/>
    </row>
    <row r="193" spans="1:25" ht="12.75">
      <c r="B193" s="64"/>
      <c r="F193" s="74"/>
      <c r="G193" s="3"/>
      <c r="H193" s="68"/>
      <c r="I193" s="68"/>
      <c r="J193" s="68"/>
      <c r="K193" s="68"/>
      <c r="L193" s="68"/>
      <c r="M193" s="68"/>
      <c r="N193" s="144"/>
      <c r="O193" s="68"/>
      <c r="P193" s="68"/>
      <c r="Q193" s="68"/>
      <c r="R193" s="68"/>
      <c r="S193" s="68"/>
      <c r="T193" s="68"/>
      <c r="U193" s="75"/>
      <c r="V193" s="102"/>
    </row>
    <row r="194" spans="1:25" ht="12.75">
      <c r="A194" s="22">
        <v>16</v>
      </c>
      <c r="B194" s="64" t="s">
        <v>178</v>
      </c>
      <c r="F194" s="74" t="s">
        <v>118</v>
      </c>
      <c r="G194" s="138" t="s">
        <v>196</v>
      </c>
      <c r="H194" s="68">
        <f>2*H178</f>
        <v>0.1340548674936759</v>
      </c>
      <c r="I194" s="68">
        <f t="shared" ref="I194:T194" si="105">2*I178</f>
        <v>0.13521388201688742</v>
      </c>
      <c r="J194" s="68">
        <f t="shared" si="105"/>
        <v>0.13821253634617633</v>
      </c>
      <c r="K194" s="68">
        <f t="shared" si="105"/>
        <v>0.1521440540687605</v>
      </c>
      <c r="L194" s="68">
        <f t="shared" si="105"/>
        <v>0.15693188263108049</v>
      </c>
      <c r="M194" s="68">
        <f t="shared" si="105"/>
        <v>0.16859386990837388</v>
      </c>
      <c r="N194" s="161">
        <f t="shared" si="105"/>
        <v>0.17427278244789529</v>
      </c>
      <c r="O194" s="68">
        <f t="shared" si="105"/>
        <v>0.18839009802909601</v>
      </c>
      <c r="P194" s="68">
        <f t="shared" si="105"/>
        <v>0.18974451942046214</v>
      </c>
      <c r="Q194" s="68">
        <f t="shared" si="105"/>
        <v>0.19757417142943151</v>
      </c>
      <c r="R194" s="68">
        <f t="shared" si="105"/>
        <v>0.21619207108127328</v>
      </c>
      <c r="S194" s="68">
        <f t="shared" si="105"/>
        <v>0.23095925543283305</v>
      </c>
      <c r="T194" s="68">
        <f t="shared" si="105"/>
        <v>0.18582107943810042</v>
      </c>
      <c r="U194" s="75">
        <v>1.0134206562723101E-16</v>
      </c>
      <c r="V194" s="102"/>
      <c r="W194" s="27"/>
      <c r="X194" s="27"/>
      <c r="Y194" s="27"/>
    </row>
    <row r="195" spans="1:25" ht="9.75" customHeight="1">
      <c r="B195" s="64"/>
      <c r="F195" s="74"/>
      <c r="G195" s="3"/>
      <c r="H195" s="73"/>
      <c r="I195" s="73"/>
      <c r="J195" s="73"/>
      <c r="K195" s="73"/>
      <c r="L195" s="73"/>
      <c r="M195" s="73"/>
      <c r="N195" s="144"/>
      <c r="O195" s="73"/>
      <c r="P195" s="73"/>
      <c r="Q195" s="73"/>
      <c r="R195" s="73"/>
      <c r="S195" s="73"/>
      <c r="T195" s="73"/>
      <c r="U195" s="172"/>
      <c r="V195" s="176"/>
      <c r="W195" s="27"/>
      <c r="X195" s="27"/>
      <c r="Y195" s="27"/>
    </row>
    <row r="196" spans="1:25" ht="12.75">
      <c r="A196" s="22">
        <v>17</v>
      </c>
      <c r="B196" s="65" t="s">
        <v>67</v>
      </c>
      <c r="C196" s="65"/>
      <c r="F196" s="74" t="s">
        <v>118</v>
      </c>
      <c r="G196" s="138" t="s">
        <v>196</v>
      </c>
      <c r="H196" s="68">
        <f>2*H180</f>
        <v>8.9869659266059984E-2</v>
      </c>
      <c r="I196" s="68">
        <f t="shared" ref="I196:T196" si="106">2*I180</f>
        <v>6.6962849618832712E-2</v>
      </c>
      <c r="J196" s="68">
        <f t="shared" si="106"/>
        <v>9.2036520680413389E-2</v>
      </c>
      <c r="K196" s="68">
        <f t="shared" si="106"/>
        <v>7.8121817696060428E-2</v>
      </c>
      <c r="L196" s="68">
        <f t="shared" si="106"/>
        <v>0.11375599058379009</v>
      </c>
      <c r="M196" s="68">
        <f t="shared" si="106"/>
        <v>0.11071790277942394</v>
      </c>
      <c r="N196" s="161">
        <f t="shared" si="106"/>
        <v>0.1311226303687851</v>
      </c>
      <c r="O196" s="68">
        <f t="shared" si="106"/>
        <v>0.21897683429966386</v>
      </c>
      <c r="P196" s="68">
        <f t="shared" si="106"/>
        <v>0.16356438389943126</v>
      </c>
      <c r="Q196" s="68">
        <f t="shared" si="106"/>
        <v>0.19109258599261594</v>
      </c>
      <c r="R196" s="68">
        <f t="shared" si="106"/>
        <v>0.17122708822882865</v>
      </c>
      <c r="S196" s="68">
        <f t="shared" si="106"/>
        <v>0.19339362854833358</v>
      </c>
      <c r="T196" s="68">
        <f t="shared" si="106"/>
        <v>0.12791369678289372</v>
      </c>
      <c r="U196" s="75">
        <v>-1.6626207924451904E-16</v>
      </c>
      <c r="V196" s="102"/>
      <c r="W196" s="143"/>
      <c r="X196" s="108"/>
      <c r="Y196" s="27"/>
    </row>
    <row r="197" spans="1:25" ht="12.75">
      <c r="B197"/>
      <c r="F197" s="74"/>
      <c r="G197" s="3"/>
      <c r="H197" s="73"/>
      <c r="I197" s="73"/>
      <c r="J197" s="73"/>
      <c r="K197" s="73"/>
      <c r="L197" s="73"/>
      <c r="M197" s="73"/>
      <c r="N197" s="148"/>
      <c r="O197" s="73"/>
      <c r="P197" s="73"/>
      <c r="Q197" s="73"/>
      <c r="R197" s="73"/>
      <c r="S197" s="73"/>
      <c r="T197" s="73"/>
      <c r="U197" s="172"/>
      <c r="V197" s="176"/>
      <c r="W197" s="27"/>
      <c r="X197" s="27"/>
      <c r="Y197" s="27"/>
    </row>
    <row r="198" spans="1:25" ht="12.75">
      <c r="A198" s="22">
        <v>18</v>
      </c>
      <c r="B198" s="66" t="s">
        <v>179</v>
      </c>
      <c r="F198" s="4" t="s">
        <v>118</v>
      </c>
      <c r="G198" s="138" t="s">
        <v>196</v>
      </c>
      <c r="H198" s="68">
        <f>2*H182</f>
        <v>8.7460820511164758E-2</v>
      </c>
      <c r="I198" s="68">
        <f t="shared" ref="I198:T198" si="107">2*I182</f>
        <v>9.4596389759835586E-2</v>
      </c>
      <c r="J198" s="68">
        <f t="shared" si="107"/>
        <v>0.11047628815758041</v>
      </c>
      <c r="K198" s="68">
        <f t="shared" si="107"/>
        <v>0.1220137074432662</v>
      </c>
      <c r="L198" s="68">
        <f t="shared" si="107"/>
        <v>0.12193512410789176</v>
      </c>
      <c r="M198" s="68">
        <f t="shared" si="107"/>
        <v>0.12177180641571665</v>
      </c>
      <c r="N198" s="161">
        <f t="shared" si="107"/>
        <v>0.12972529927967066</v>
      </c>
      <c r="O198" s="68">
        <f t="shared" si="107"/>
        <v>0.13175615061215218</v>
      </c>
      <c r="P198" s="68">
        <f t="shared" si="107"/>
        <v>0.10766058238327791</v>
      </c>
      <c r="Q198" s="68">
        <f t="shared" si="107"/>
        <v>0.12307304613166022</v>
      </c>
      <c r="R198" s="68">
        <f t="shared" si="107"/>
        <v>0.14329631757729724</v>
      </c>
      <c r="S198" s="68">
        <f t="shared" si="107"/>
        <v>0.1510594107342087</v>
      </c>
      <c r="T198" s="68">
        <f t="shared" si="107"/>
        <v>0.17464466039979001</v>
      </c>
      <c r="U198" s="75">
        <v>6.7807345123544587E-17</v>
      </c>
      <c r="V198" s="102"/>
      <c r="W198" s="108"/>
      <c r="X198" s="27"/>
      <c r="Y198" s="27"/>
    </row>
    <row r="199" spans="1:25" ht="12.75">
      <c r="B199" s="66"/>
      <c r="G199" s="138"/>
      <c r="H199" s="68"/>
      <c r="I199" s="68"/>
      <c r="J199" s="68"/>
      <c r="K199" s="68"/>
      <c r="L199" s="68"/>
      <c r="M199" s="68"/>
      <c r="N199" s="148"/>
      <c r="O199" s="68"/>
      <c r="P199" s="68"/>
      <c r="Q199" s="68"/>
      <c r="R199" s="68"/>
      <c r="S199" s="68"/>
      <c r="T199" s="68"/>
      <c r="U199" s="75"/>
      <c r="V199" s="102"/>
      <c r="W199" s="108"/>
      <c r="X199" s="27"/>
      <c r="Y199" s="27"/>
    </row>
    <row r="200" spans="1:25" ht="13.5" thickBot="1">
      <c r="A200" s="22">
        <v>19</v>
      </c>
      <c r="B200" s="66" t="s">
        <v>72</v>
      </c>
      <c r="F200" s="74" t="s">
        <v>118</v>
      </c>
      <c r="G200" s="138" t="s">
        <v>196</v>
      </c>
      <c r="H200" s="68">
        <f>2*H184</f>
        <v>9.6621318535919293E-2</v>
      </c>
      <c r="I200" s="68">
        <f t="shared" ref="I200:T200" si="108">2*I184</f>
        <v>0.10379976199977478</v>
      </c>
      <c r="J200" s="68">
        <f t="shared" si="108"/>
        <v>0.12030033574006357</v>
      </c>
      <c r="K200" s="68">
        <f t="shared" si="108"/>
        <v>0.13419982335466837</v>
      </c>
      <c r="L200" s="68">
        <f t="shared" si="108"/>
        <v>0.13198967733338382</v>
      </c>
      <c r="M200" s="68">
        <f t="shared" si="108"/>
        <v>0.13328195558447486</v>
      </c>
      <c r="N200" s="166">
        <f t="shared" si="108"/>
        <v>0.14826395105651147</v>
      </c>
      <c r="O200" s="68">
        <f t="shared" si="108"/>
        <v>0.13380878517670886</v>
      </c>
      <c r="P200" s="68">
        <f t="shared" si="108"/>
        <v>0.13441137629592506</v>
      </c>
      <c r="Q200" s="68">
        <f t="shared" si="108"/>
        <v>0.15135762976490194</v>
      </c>
      <c r="R200" s="68">
        <f t="shared" si="108"/>
        <v>0.16870288525020186</v>
      </c>
      <c r="S200" s="68">
        <f t="shared" si="108"/>
        <v>0.19600058304496748</v>
      </c>
      <c r="T200" s="68">
        <f t="shared" si="108"/>
        <v>0.22624808739280483</v>
      </c>
      <c r="U200" s="75">
        <v>6.7157630632020096E-17</v>
      </c>
      <c r="V200" s="102"/>
    </row>
    <row r="201" spans="1:25">
      <c r="B201" s="66"/>
      <c r="G201" s="73"/>
      <c r="H201" s="73"/>
      <c r="I201" s="73"/>
      <c r="J201" s="73"/>
      <c r="K201" s="73"/>
      <c r="L201" s="73"/>
      <c r="M201" s="73"/>
      <c r="N201" s="106"/>
      <c r="O201" s="73"/>
      <c r="P201" s="73"/>
      <c r="Q201" s="73"/>
      <c r="R201" s="73"/>
    </row>
    <row r="202" spans="1:25" ht="12.75">
      <c r="A202" s="22">
        <v>20</v>
      </c>
      <c r="B202" s="66" t="s">
        <v>116</v>
      </c>
      <c r="F202" s="4" t="s">
        <v>117</v>
      </c>
      <c r="G202" s="68" t="str">
        <f>G186</f>
        <v>Not used due to deminimus values that resulted in extraordinary variablility</v>
      </c>
      <c r="H202" s="68"/>
      <c r="I202" s="68"/>
      <c r="J202" s="68"/>
      <c r="K202" s="68"/>
      <c r="L202" s="68"/>
      <c r="M202" s="68"/>
      <c r="N202" s="105"/>
      <c r="O202" s="68"/>
      <c r="P202" s="68"/>
      <c r="Q202" s="68"/>
      <c r="R202" s="68"/>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7:R157"/>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&amp;RExhibit No. __(EMA-3)</oddHeader>
    <oddFooter xml:space="preserve">&amp;RPage &amp;P of &amp;N  </oddFooter>
  </headerFooter>
  <rowBreaks count="3" manualBreakCount="3">
    <brk id="58" max="24" man="1"/>
    <brk id="93" max="24" man="1"/>
    <brk id="151" max="19" man="1"/>
  </rowBreaks>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6" tint="0.39997558519241921"/>
  </sheetPr>
  <dimension ref="A1:AU65"/>
  <sheetViews>
    <sheetView workbookViewId="0"/>
  </sheetViews>
  <sheetFormatPr defaultRowHeight="12.75"/>
  <cols>
    <col min="1" max="1" width="5.7109375" style="22" customWidth="1"/>
    <col min="2" max="3" width="1.7109375" style="3" customWidth="1"/>
    <col min="4" max="4" width="23.28515625" style="3" customWidth="1"/>
    <col min="5" max="5" width="9" style="103" customWidth="1"/>
    <col min="6" max="6" width="3.85546875" style="103"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9.140625" customWidth="1"/>
    <col min="44" max="44" width="9.140625" style="103"/>
    <col min="45" max="46" width="9.140625" customWidth="1"/>
  </cols>
  <sheetData>
    <row r="1" spans="1:47">
      <c r="A1" s="2" t="s">
        <v>43</v>
      </c>
    </row>
    <row r="2" spans="1:47">
      <c r="A2" s="2" t="s">
        <v>48</v>
      </c>
    </row>
    <row r="3" spans="1:47">
      <c r="A3" s="2" t="s">
        <v>55</v>
      </c>
      <c r="I3" s="90"/>
      <c r="M3" s="90"/>
    </row>
    <row r="4" spans="1:47">
      <c r="A4" s="2" t="s">
        <v>39</v>
      </c>
      <c r="B4" s="2"/>
      <c r="C4" s="2"/>
      <c r="D4" s="2"/>
      <c r="I4" s="90"/>
      <c r="M4" s="90"/>
    </row>
    <row r="5" spans="1:47">
      <c r="A5" s="2"/>
      <c r="G5" s="45"/>
      <c r="H5" s="90"/>
      <c r="I5" s="45"/>
      <c r="J5" s="90"/>
      <c r="K5" s="45"/>
      <c r="L5" s="90"/>
      <c r="M5" s="45"/>
      <c r="N5" s="90"/>
      <c r="O5" s="45"/>
      <c r="P5" s="90"/>
      <c r="Q5" s="45"/>
      <c r="R5" s="90"/>
      <c r="S5" s="45"/>
      <c r="T5" s="90"/>
      <c r="U5" s="45"/>
      <c r="V5" s="90"/>
      <c r="W5" s="53"/>
      <c r="X5" s="45"/>
      <c r="Y5" s="90"/>
      <c r="Z5" s="90"/>
      <c r="AA5" s="45"/>
      <c r="AD5" s="45"/>
      <c r="AG5" s="45"/>
      <c r="AJ5" s="45"/>
      <c r="AK5" s="90"/>
      <c r="AL5" s="53"/>
      <c r="AM5" s="45"/>
      <c r="AN5" s="90"/>
      <c r="AO5" s="53"/>
      <c r="AP5" s="45"/>
      <c r="AQ5" s="90"/>
      <c r="AR5" s="160" t="s">
        <v>197</v>
      </c>
      <c r="AS5" s="243"/>
      <c r="AT5" s="244"/>
      <c r="AU5" s="245" t="s">
        <v>197</v>
      </c>
    </row>
    <row r="6" spans="1:47">
      <c r="A6" s="5"/>
      <c r="B6" s="6"/>
      <c r="C6" s="6"/>
      <c r="D6" s="6"/>
      <c r="G6" s="46">
        <v>2000</v>
      </c>
      <c r="H6" s="99"/>
      <c r="I6" s="46">
        <v>2001</v>
      </c>
      <c r="J6" s="99"/>
      <c r="K6" s="46">
        <v>2002</v>
      </c>
      <c r="L6" s="99"/>
      <c r="M6" s="46">
        <v>2003</v>
      </c>
      <c r="N6" s="99"/>
      <c r="O6" s="63" t="s">
        <v>68</v>
      </c>
      <c r="P6" s="97"/>
      <c r="Q6" s="46">
        <v>2005</v>
      </c>
      <c r="R6" s="99"/>
      <c r="S6" s="63" t="s">
        <v>69</v>
      </c>
      <c r="T6" s="97"/>
      <c r="U6" s="46" t="s">
        <v>65</v>
      </c>
      <c r="V6" s="54"/>
      <c r="W6" s="91"/>
      <c r="X6" s="46" t="s">
        <v>64</v>
      </c>
      <c r="Y6" s="91"/>
      <c r="Z6" s="91"/>
      <c r="AA6" s="46" t="s">
        <v>63</v>
      </c>
      <c r="AB6" s="41"/>
      <c r="AC6" s="41"/>
      <c r="AD6" s="46" t="s">
        <v>62</v>
      </c>
      <c r="AE6" s="41"/>
      <c r="AF6" s="41"/>
      <c r="AG6" s="46" t="s">
        <v>60</v>
      </c>
      <c r="AH6" s="41"/>
      <c r="AI6" s="41"/>
      <c r="AJ6" s="352" t="s">
        <v>88</v>
      </c>
      <c r="AK6" s="353"/>
      <c r="AL6" s="354"/>
      <c r="AM6" s="352" t="s">
        <v>174</v>
      </c>
      <c r="AN6" s="353"/>
      <c r="AO6" s="354"/>
      <c r="AP6" s="352" t="s">
        <v>182</v>
      </c>
      <c r="AQ6" s="353"/>
      <c r="AR6" s="354"/>
      <c r="AS6" s="355" t="s">
        <v>257</v>
      </c>
      <c r="AT6" s="356"/>
      <c r="AU6" s="357"/>
    </row>
    <row r="7" spans="1:47">
      <c r="A7" s="8"/>
      <c r="B7" s="9"/>
      <c r="C7" s="10"/>
      <c r="D7" s="11"/>
      <c r="G7" s="47"/>
      <c r="H7" s="98"/>
      <c r="I7" s="47"/>
      <c r="J7" s="98"/>
      <c r="K7" s="47"/>
      <c r="L7" s="98"/>
      <c r="M7" s="47"/>
      <c r="N7" s="98"/>
      <c r="O7" s="47"/>
      <c r="P7" s="98"/>
      <c r="Q7" s="47"/>
      <c r="R7" s="98"/>
      <c r="S7" s="47"/>
      <c r="T7" s="98"/>
      <c r="U7" s="47"/>
      <c r="V7" s="92" t="s">
        <v>57</v>
      </c>
      <c r="W7" s="55"/>
      <c r="X7" s="47"/>
      <c r="Y7" s="92" t="s">
        <v>57</v>
      </c>
      <c r="Z7" s="55"/>
      <c r="AA7" s="47"/>
      <c r="AB7" s="40" t="s">
        <v>57</v>
      </c>
      <c r="AC7" s="40"/>
      <c r="AD7" s="47"/>
      <c r="AE7" s="40" t="s">
        <v>57</v>
      </c>
      <c r="AF7" s="40"/>
      <c r="AG7" s="47"/>
      <c r="AH7" s="40" t="s">
        <v>57</v>
      </c>
      <c r="AI7" s="40"/>
      <c r="AJ7" s="47"/>
      <c r="AK7" s="92" t="s">
        <v>57</v>
      </c>
      <c r="AL7" s="53"/>
      <c r="AM7" s="47"/>
      <c r="AN7" s="92" t="s">
        <v>57</v>
      </c>
      <c r="AO7" s="53"/>
      <c r="AP7" s="47"/>
      <c r="AQ7" s="92" t="s">
        <v>57</v>
      </c>
      <c r="AR7" s="149"/>
      <c r="AS7" s="246"/>
      <c r="AT7" s="247" t="s">
        <v>57</v>
      </c>
      <c r="AU7" s="248"/>
    </row>
    <row r="8" spans="1:47">
      <c r="A8" s="12" t="s">
        <v>0</v>
      </c>
      <c r="B8" s="13"/>
      <c r="C8" s="14"/>
      <c r="D8" s="15"/>
      <c r="G8" s="48" t="s">
        <v>57</v>
      </c>
      <c r="H8" s="92" t="s">
        <v>57</v>
      </c>
      <c r="I8" s="48" t="s">
        <v>57</v>
      </c>
      <c r="J8" s="92" t="s">
        <v>57</v>
      </c>
      <c r="K8" s="48" t="s">
        <v>57</v>
      </c>
      <c r="L8" s="92" t="s">
        <v>57</v>
      </c>
      <c r="M8" s="48" t="s">
        <v>57</v>
      </c>
      <c r="N8" s="92" t="s">
        <v>57</v>
      </c>
      <c r="O8" s="48" t="s">
        <v>57</v>
      </c>
      <c r="P8" s="92" t="s">
        <v>57</v>
      </c>
      <c r="Q8" s="48" t="s">
        <v>57</v>
      </c>
      <c r="R8" s="92" t="s">
        <v>57</v>
      </c>
      <c r="S8" s="48" t="s">
        <v>57</v>
      </c>
      <c r="T8" s="92" t="s">
        <v>57</v>
      </c>
      <c r="U8" s="48" t="s">
        <v>57</v>
      </c>
      <c r="V8" s="92" t="s">
        <v>61</v>
      </c>
      <c r="W8" s="92" t="s">
        <v>57</v>
      </c>
      <c r="X8" s="48" t="s">
        <v>57</v>
      </c>
      <c r="Y8" s="92" t="s">
        <v>61</v>
      </c>
      <c r="Z8" s="92" t="s">
        <v>57</v>
      </c>
      <c r="AA8" s="48" t="s">
        <v>57</v>
      </c>
      <c r="AB8" s="92" t="s">
        <v>61</v>
      </c>
      <c r="AC8" s="92" t="s">
        <v>57</v>
      </c>
      <c r="AD8" s="48" t="s">
        <v>57</v>
      </c>
      <c r="AE8" s="92" t="s">
        <v>61</v>
      </c>
      <c r="AF8" s="92" t="s">
        <v>57</v>
      </c>
      <c r="AG8" s="48" t="s">
        <v>57</v>
      </c>
      <c r="AH8" s="92" t="s">
        <v>61</v>
      </c>
      <c r="AI8" s="92" t="s">
        <v>57</v>
      </c>
      <c r="AJ8" s="48" t="s">
        <v>57</v>
      </c>
      <c r="AK8" s="92" t="s">
        <v>61</v>
      </c>
      <c r="AL8" s="55" t="s">
        <v>57</v>
      </c>
      <c r="AM8" s="48" t="s">
        <v>57</v>
      </c>
      <c r="AN8" s="92" t="s">
        <v>61</v>
      </c>
      <c r="AO8" s="55" t="s">
        <v>57</v>
      </c>
      <c r="AP8" s="48" t="s">
        <v>57</v>
      </c>
      <c r="AQ8" s="92" t="s">
        <v>61</v>
      </c>
      <c r="AR8" s="150" t="s">
        <v>57</v>
      </c>
      <c r="AS8" s="249" t="s">
        <v>57</v>
      </c>
      <c r="AT8" s="247" t="s">
        <v>61</v>
      </c>
      <c r="AU8" s="250" t="s">
        <v>57</v>
      </c>
    </row>
    <row r="9" spans="1:47">
      <c r="A9" s="17" t="s">
        <v>2</v>
      </c>
      <c r="B9" s="18"/>
      <c r="C9" s="19"/>
      <c r="D9" s="20" t="s">
        <v>3</v>
      </c>
      <c r="E9" s="104" t="s">
        <v>56</v>
      </c>
      <c r="F9" s="104"/>
      <c r="G9" s="49" t="s">
        <v>58</v>
      </c>
      <c r="H9" s="93" t="s">
        <v>111</v>
      </c>
      <c r="I9" s="49" t="s">
        <v>58</v>
      </c>
      <c r="J9" s="93" t="s">
        <v>111</v>
      </c>
      <c r="K9" s="49" t="s">
        <v>58</v>
      </c>
      <c r="L9" s="93" t="s">
        <v>111</v>
      </c>
      <c r="M9" s="49" t="s">
        <v>58</v>
      </c>
      <c r="N9" s="93" t="s">
        <v>111</v>
      </c>
      <c r="O9" s="49" t="s">
        <v>58</v>
      </c>
      <c r="P9" s="93" t="s">
        <v>111</v>
      </c>
      <c r="Q9" s="49" t="s">
        <v>58</v>
      </c>
      <c r="R9" s="93" t="s">
        <v>111</v>
      </c>
      <c r="S9" s="49" t="s">
        <v>58</v>
      </c>
      <c r="T9" s="93" t="s">
        <v>111</v>
      </c>
      <c r="U9" s="49" t="s">
        <v>58</v>
      </c>
      <c r="V9" s="93" t="s">
        <v>59</v>
      </c>
      <c r="W9" s="93" t="s">
        <v>111</v>
      </c>
      <c r="X9" s="49" t="s">
        <v>58</v>
      </c>
      <c r="Y9" s="93" t="s">
        <v>59</v>
      </c>
      <c r="Z9" s="93" t="s">
        <v>111</v>
      </c>
      <c r="AA9" s="49" t="s">
        <v>58</v>
      </c>
      <c r="AB9" s="93" t="s">
        <v>59</v>
      </c>
      <c r="AC9" s="93" t="s">
        <v>111</v>
      </c>
      <c r="AD9" s="49" t="s">
        <v>58</v>
      </c>
      <c r="AE9" s="93" t="s">
        <v>59</v>
      </c>
      <c r="AF9" s="93" t="s">
        <v>111</v>
      </c>
      <c r="AG9" s="49" t="s">
        <v>58</v>
      </c>
      <c r="AH9" s="93" t="s">
        <v>59</v>
      </c>
      <c r="AI9" s="93" t="s">
        <v>111</v>
      </c>
      <c r="AJ9" s="49" t="s">
        <v>58</v>
      </c>
      <c r="AK9" s="93" t="s">
        <v>59</v>
      </c>
      <c r="AL9" s="56" t="s">
        <v>111</v>
      </c>
      <c r="AM9" s="49" t="s">
        <v>58</v>
      </c>
      <c r="AN9" s="93" t="s">
        <v>59</v>
      </c>
      <c r="AO9" s="56" t="s">
        <v>111</v>
      </c>
      <c r="AP9" s="49" t="s">
        <v>58</v>
      </c>
      <c r="AQ9" s="93" t="s">
        <v>59</v>
      </c>
      <c r="AR9" s="151" t="s">
        <v>111</v>
      </c>
      <c r="AS9" s="251" t="s">
        <v>58</v>
      </c>
      <c r="AT9" s="252" t="s">
        <v>59</v>
      </c>
      <c r="AU9" s="253" t="s">
        <v>111</v>
      </c>
    </row>
    <row r="10" spans="1:47">
      <c r="B10" s="3" t="s">
        <v>6</v>
      </c>
      <c r="G10" s="45"/>
      <c r="H10" s="90"/>
      <c r="I10" s="45"/>
      <c r="J10" s="90"/>
      <c r="K10" s="45"/>
      <c r="L10" s="90"/>
      <c r="M10" s="45"/>
      <c r="N10" s="90"/>
      <c r="O10" s="45"/>
      <c r="P10" s="90"/>
      <c r="Q10" s="45"/>
      <c r="R10" s="90"/>
      <c r="S10" s="45"/>
      <c r="T10" s="90"/>
      <c r="U10" s="45"/>
      <c r="V10" s="90"/>
      <c r="W10" s="90"/>
      <c r="X10" s="45"/>
      <c r="Y10" s="90"/>
      <c r="Z10" s="90"/>
      <c r="AA10" s="45"/>
      <c r="AD10" s="45"/>
      <c r="AG10" s="45"/>
      <c r="AJ10" s="45"/>
      <c r="AK10" s="90"/>
      <c r="AL10" s="53"/>
      <c r="AM10" s="45"/>
      <c r="AN10" s="90"/>
      <c r="AO10" s="53"/>
      <c r="AP10" s="45"/>
      <c r="AQ10" s="90"/>
      <c r="AR10" s="149"/>
      <c r="AS10" s="243"/>
      <c r="AT10" s="244"/>
      <c r="AU10" s="248"/>
    </row>
    <row r="11" spans="1:47">
      <c r="A11" s="22">
        <v>1</v>
      </c>
      <c r="B11" s="23" t="s">
        <v>7</v>
      </c>
      <c r="C11" s="23"/>
      <c r="D11" s="23"/>
      <c r="E11" s="107">
        <v>0.95483913024920664</v>
      </c>
      <c r="F11" s="107"/>
      <c r="G11" s="50">
        <f>ROUND(G36/$E11,0)</f>
        <v>0</v>
      </c>
      <c r="H11" s="94">
        <f>ROUND((H21-H13)/$E11,0)</f>
        <v>-60091</v>
      </c>
      <c r="I11" s="50">
        <f>ROUND(I36/$E11,0)</f>
        <v>-994</v>
      </c>
      <c r="J11" s="94">
        <f>ROUND((J21-J13)/$E11,0)</f>
        <v>-111836</v>
      </c>
      <c r="K11" s="50">
        <f>ROUND(K36/$E11,0)-1</f>
        <v>-1777</v>
      </c>
      <c r="L11" s="94">
        <f>ROUND((L21-L13)/$E11,0)+1</f>
        <v>-115437</v>
      </c>
      <c r="M11" s="50">
        <f>ROUND(M36/$E11,0)+1</f>
        <v>-2124</v>
      </c>
      <c r="N11" s="94">
        <f>ROUND((N21-N13)/$E11,0)+0</f>
        <v>-101717</v>
      </c>
      <c r="O11" s="50">
        <f>ROUND(O36/$E11,0)</f>
        <v>0</v>
      </c>
      <c r="P11" s="94">
        <f>ROUND((P21-P13)/$E11,0)-1</f>
        <v>-119781</v>
      </c>
      <c r="Q11" s="50">
        <f>ROUND(Q36/$E11,0)</f>
        <v>-2976</v>
      </c>
      <c r="R11" s="94">
        <f>ROUND((R21-R13)/$E11,0)-1</f>
        <v>-136684</v>
      </c>
      <c r="S11" s="50">
        <f>ROUND(S36/$E11,0)</f>
        <v>0</v>
      </c>
      <c r="T11" s="94">
        <f>ROUND((T21-T13)/$E11,0)+1</f>
        <v>-156886</v>
      </c>
      <c r="U11" s="50">
        <f>ROUND(U36/$E11,0)</f>
        <v>-4016</v>
      </c>
      <c r="V11" s="94">
        <f>ROUND(V41/$E11,0)+1</f>
        <v>-88</v>
      </c>
      <c r="W11" s="94">
        <f>ROUND((W21-W13)/$E11,0)</f>
        <v>-163337</v>
      </c>
      <c r="X11" s="50">
        <f>ROUND(X36/$E11,0)</f>
        <v>-4588</v>
      </c>
      <c r="Y11" s="94">
        <f>ROUND(Y41/$E11,0)+1</f>
        <v>-451</v>
      </c>
      <c r="Z11" s="94">
        <f>ROUND((Z21-Z13)/$E11,0)-1</f>
        <v>-154345</v>
      </c>
      <c r="AA11" s="50">
        <f>ROUND(AA36/$E11,0)+0</f>
        <v>-7098</v>
      </c>
      <c r="AB11" s="42">
        <f>ROUND(AB41/$E11,0)+1</f>
        <v>-743</v>
      </c>
      <c r="AC11" s="94">
        <f>ROUND((AC21-AC13)/$E11,0)-1</f>
        <v>-126720</v>
      </c>
      <c r="AD11" s="50">
        <f>ROUND(AD36/$E11,0)-0</f>
        <v>-8814</v>
      </c>
      <c r="AE11" s="42">
        <f>ROUND(AE41/$E11,0)-0</f>
        <v>-517</v>
      </c>
      <c r="AF11" s="94">
        <f>ROUND((AF21-AF13)/$E11,0)-1</f>
        <v>-82715</v>
      </c>
      <c r="AG11" s="50">
        <f>ROUND(AG36/$E11,0)+0</f>
        <v>-9376</v>
      </c>
      <c r="AH11" s="42">
        <f>ROUND(AH41/$E11,0)-0</f>
        <v>-517</v>
      </c>
      <c r="AI11" s="94">
        <f>ROUND((AI21-AI13)/$E11,0)+1</f>
        <v>-88014</v>
      </c>
      <c r="AJ11" s="50">
        <f>ROUND(AJ36/$E11,0)</f>
        <v>-6223</v>
      </c>
      <c r="AK11" s="94">
        <f>ROUND(AK41/$E11,0)+1</f>
        <v>-191</v>
      </c>
      <c r="AL11" s="57">
        <f>ROUND((AL21-AL13)/$E11,0)</f>
        <v>-78343</v>
      </c>
      <c r="AM11" s="50">
        <f>ROUND(AM36/$E11,0)</f>
        <v>0</v>
      </c>
      <c r="AN11" s="94">
        <f>ROUND(AN41/$E11,0)</f>
        <v>0</v>
      </c>
      <c r="AO11" s="57">
        <f>ROUND((AO21-AO13)/$E11,0)</f>
        <v>-80433</v>
      </c>
      <c r="AP11" s="50">
        <f>ROUND(AP36/$E11,0)</f>
        <v>0</v>
      </c>
      <c r="AQ11" s="94">
        <f>ROUND(AQ41/$E11,0)</f>
        <v>0</v>
      </c>
      <c r="AR11" s="140">
        <f>ROUND((AR21-AR13)/$E11,0)</f>
        <v>-88169</v>
      </c>
      <c r="AS11" s="254">
        <f>ROUND(AS36/$E11,0)</f>
        <v>0</v>
      </c>
      <c r="AT11" s="169">
        <f>ROUND(AT41/$E11,0)</f>
        <v>0</v>
      </c>
      <c r="AU11" s="255">
        <f>ROUND((AU21-AU13)/$E11,0)</f>
        <v>-83400</v>
      </c>
    </row>
    <row r="12" spans="1:47">
      <c r="A12" s="22">
        <v>2</v>
      </c>
      <c r="B12" s="24" t="s">
        <v>8</v>
      </c>
      <c r="D12" s="24"/>
      <c r="E12" s="107"/>
      <c r="F12" s="107"/>
      <c r="G12" s="50"/>
      <c r="H12" s="94"/>
      <c r="I12" s="50"/>
      <c r="J12" s="94"/>
      <c r="K12" s="50"/>
      <c r="L12" s="94"/>
      <c r="M12" s="50"/>
      <c r="N12" s="94"/>
      <c r="O12" s="50"/>
      <c r="P12" s="94"/>
      <c r="Q12" s="50"/>
      <c r="R12" s="94"/>
      <c r="S12" s="50"/>
      <c r="T12" s="94"/>
      <c r="U12" s="50"/>
      <c r="V12" s="94"/>
      <c r="W12" s="94"/>
      <c r="X12" s="50"/>
      <c r="Y12" s="94"/>
      <c r="Z12" s="94"/>
      <c r="AA12" s="50"/>
      <c r="AB12" s="42"/>
      <c r="AC12" s="94"/>
      <c r="AD12" s="50"/>
      <c r="AE12" s="42"/>
      <c r="AF12" s="94"/>
      <c r="AG12" s="50"/>
      <c r="AH12" s="42"/>
      <c r="AI12" s="94"/>
      <c r="AJ12" s="50"/>
      <c r="AK12" s="94"/>
      <c r="AL12" s="57"/>
      <c r="AM12" s="50"/>
      <c r="AN12" s="94"/>
      <c r="AO12" s="57"/>
      <c r="AP12" s="50"/>
      <c r="AQ12" s="94"/>
      <c r="AR12" s="140"/>
      <c r="AS12" s="254"/>
      <c r="AT12" s="169"/>
      <c r="AU12" s="255"/>
    </row>
    <row r="13" spans="1:47">
      <c r="A13" s="22">
        <v>3</v>
      </c>
      <c r="B13" s="24" t="s">
        <v>9</v>
      </c>
      <c r="D13" s="24"/>
      <c r="E13" s="107"/>
      <c r="F13" s="107"/>
      <c r="G13" s="51"/>
      <c r="H13" s="43">
        <f>-H61</f>
        <v>-242</v>
      </c>
      <c r="I13" s="51"/>
      <c r="J13" s="43">
        <f>-J61</f>
        <v>-244</v>
      </c>
      <c r="K13" s="51"/>
      <c r="L13" s="43">
        <f>-L61</f>
        <v>-144</v>
      </c>
      <c r="M13" s="51"/>
      <c r="N13" s="43">
        <f>-N61</f>
        <v>0</v>
      </c>
      <c r="O13" s="51"/>
      <c r="P13" s="43">
        <f>-P61</f>
        <v>0</v>
      </c>
      <c r="Q13" s="51"/>
      <c r="R13" s="43">
        <f>-R61</f>
        <v>-28334</v>
      </c>
      <c r="S13" s="51"/>
      <c r="T13" s="43">
        <v>0</v>
      </c>
      <c r="U13" s="51"/>
      <c r="V13" s="43"/>
      <c r="W13" s="43">
        <f>-W61</f>
        <v>-66686</v>
      </c>
      <c r="X13" s="51"/>
      <c r="Y13" s="94"/>
      <c r="Z13" s="43">
        <f>-Z61</f>
        <v>-153018</v>
      </c>
      <c r="AA13" s="51"/>
      <c r="AB13" s="43"/>
      <c r="AC13" s="43">
        <f>-AC61</f>
        <v>-83992</v>
      </c>
      <c r="AD13" s="51"/>
      <c r="AE13" s="43"/>
      <c r="AF13" s="43">
        <f>-AF61</f>
        <v>-115193</v>
      </c>
      <c r="AG13" s="51"/>
      <c r="AH13" s="43"/>
      <c r="AI13" s="43">
        <f>-AI61</f>
        <v>-98794</v>
      </c>
      <c r="AJ13" s="51"/>
      <c r="AK13" s="43"/>
      <c r="AL13" s="58">
        <f>-AL61</f>
        <v>-67822</v>
      </c>
      <c r="AM13" s="51"/>
      <c r="AN13" s="43"/>
      <c r="AO13" s="58">
        <f>-AO61</f>
        <v>0</v>
      </c>
      <c r="AP13" s="51"/>
      <c r="AQ13" s="43"/>
      <c r="AR13" s="139">
        <f>-AR61</f>
        <v>0</v>
      </c>
      <c r="AS13" s="256"/>
      <c r="AT13" s="257"/>
      <c r="AU13" s="258">
        <f>-AU61</f>
        <v>0</v>
      </c>
    </row>
    <row r="14" spans="1:47">
      <c r="A14" s="22">
        <v>4</v>
      </c>
      <c r="B14" s="3" t="s">
        <v>10</v>
      </c>
      <c r="C14" s="24"/>
      <c r="D14" s="24"/>
      <c r="E14" s="107"/>
      <c r="F14" s="107"/>
      <c r="G14" s="50">
        <f t="shared" ref="G14:P14" si="0">SUM(G11:G13)</f>
        <v>0</v>
      </c>
      <c r="H14" s="94">
        <f>SUM(H11:H13)</f>
        <v>-60333</v>
      </c>
      <c r="I14" s="50">
        <f t="shared" si="0"/>
        <v>-994</v>
      </c>
      <c r="J14" s="94">
        <f>SUM(J11:J13)</f>
        <v>-112080</v>
      </c>
      <c r="K14" s="50">
        <f t="shared" si="0"/>
        <v>-1777</v>
      </c>
      <c r="L14" s="94">
        <f t="shared" si="0"/>
        <v>-115581</v>
      </c>
      <c r="M14" s="50">
        <f t="shared" si="0"/>
        <v>-2124</v>
      </c>
      <c r="N14" s="94">
        <f t="shared" si="0"/>
        <v>-101717</v>
      </c>
      <c r="O14" s="50">
        <f t="shared" si="0"/>
        <v>0</v>
      </c>
      <c r="P14" s="94">
        <f t="shared" si="0"/>
        <v>-119781</v>
      </c>
      <c r="Q14" s="50">
        <f t="shared" ref="Q14:AI14" si="1">SUM(Q11:Q13)</f>
        <v>-2976</v>
      </c>
      <c r="R14" s="94">
        <f t="shared" si="1"/>
        <v>-165018</v>
      </c>
      <c r="S14" s="50">
        <f t="shared" si="1"/>
        <v>0</v>
      </c>
      <c r="T14" s="94">
        <f t="shared" si="1"/>
        <v>-156886</v>
      </c>
      <c r="U14" s="50">
        <f t="shared" si="1"/>
        <v>-4016</v>
      </c>
      <c r="V14" s="94">
        <f t="shared" si="1"/>
        <v>-88</v>
      </c>
      <c r="W14" s="94">
        <f t="shared" si="1"/>
        <v>-230023</v>
      </c>
      <c r="X14" s="50">
        <f t="shared" si="1"/>
        <v>-4588</v>
      </c>
      <c r="Y14" s="95">
        <f t="shared" si="1"/>
        <v>-451</v>
      </c>
      <c r="Z14" s="94">
        <f t="shared" si="1"/>
        <v>-307363</v>
      </c>
      <c r="AA14" s="50">
        <f t="shared" si="1"/>
        <v>-7098</v>
      </c>
      <c r="AB14" s="42">
        <f t="shared" si="1"/>
        <v>-743</v>
      </c>
      <c r="AC14" s="94">
        <f t="shared" si="1"/>
        <v>-210712</v>
      </c>
      <c r="AD14" s="50">
        <f t="shared" si="1"/>
        <v>-8814</v>
      </c>
      <c r="AE14" s="42">
        <f t="shared" si="1"/>
        <v>-517</v>
      </c>
      <c r="AF14" s="94">
        <f t="shared" si="1"/>
        <v>-197908</v>
      </c>
      <c r="AG14" s="50">
        <f t="shared" si="1"/>
        <v>-9376</v>
      </c>
      <c r="AH14" s="42">
        <f t="shared" si="1"/>
        <v>-517</v>
      </c>
      <c r="AI14" s="94">
        <f t="shared" si="1"/>
        <v>-186808</v>
      </c>
      <c r="AJ14" s="50">
        <f t="shared" ref="AJ14:AU14" si="2">SUM(AJ11:AJ13)</f>
        <v>-6223</v>
      </c>
      <c r="AK14" s="94">
        <f t="shared" si="2"/>
        <v>-191</v>
      </c>
      <c r="AL14" s="57">
        <f t="shared" si="2"/>
        <v>-146165</v>
      </c>
      <c r="AM14" s="50">
        <f t="shared" si="2"/>
        <v>0</v>
      </c>
      <c r="AN14" s="94">
        <f t="shared" si="2"/>
        <v>0</v>
      </c>
      <c r="AO14" s="57">
        <f t="shared" si="2"/>
        <v>-80433</v>
      </c>
      <c r="AP14" s="50">
        <f t="shared" si="2"/>
        <v>0</v>
      </c>
      <c r="AQ14" s="94">
        <f t="shared" si="2"/>
        <v>0</v>
      </c>
      <c r="AR14" s="140">
        <f t="shared" si="2"/>
        <v>-88169</v>
      </c>
      <c r="AS14" s="254">
        <f t="shared" si="2"/>
        <v>0</v>
      </c>
      <c r="AT14" s="169">
        <f t="shared" si="2"/>
        <v>0</v>
      </c>
      <c r="AU14" s="255">
        <f t="shared" si="2"/>
        <v>-83400</v>
      </c>
    </row>
    <row r="15" spans="1:47">
      <c r="C15" s="24"/>
      <c r="D15" s="24"/>
      <c r="E15" s="107"/>
      <c r="F15" s="107"/>
      <c r="G15" s="50"/>
      <c r="H15" s="94"/>
      <c r="I15" s="50"/>
      <c r="J15" s="94"/>
      <c r="K15" s="50"/>
      <c r="L15" s="94"/>
      <c r="M15" s="50"/>
      <c r="N15" s="94"/>
      <c r="O15" s="50"/>
      <c r="P15" s="94"/>
      <c r="Q15" s="50"/>
      <c r="R15" s="94"/>
      <c r="S15" s="50"/>
      <c r="T15" s="94"/>
      <c r="U15" s="50"/>
      <c r="V15" s="94"/>
      <c r="W15" s="94"/>
      <c r="X15" s="50"/>
      <c r="Y15" s="94"/>
      <c r="Z15" s="94"/>
      <c r="AA15" s="50"/>
      <c r="AB15" s="42"/>
      <c r="AC15" s="94"/>
      <c r="AD15" s="50"/>
      <c r="AE15" s="42"/>
      <c r="AF15" s="94"/>
      <c r="AG15" s="50"/>
      <c r="AH15" s="42"/>
      <c r="AI15" s="94"/>
      <c r="AJ15" s="50"/>
      <c r="AK15" s="94"/>
      <c r="AL15" s="57"/>
      <c r="AM15" s="50"/>
      <c r="AN15" s="94"/>
      <c r="AO15" s="57"/>
      <c r="AP15" s="50"/>
      <c r="AQ15" s="94"/>
      <c r="AR15" s="140"/>
      <c r="AS15" s="254"/>
      <c r="AT15" s="169"/>
      <c r="AU15" s="255"/>
    </row>
    <row r="16" spans="1:47">
      <c r="B16" s="3" t="s">
        <v>11</v>
      </c>
      <c r="C16" s="24"/>
      <c r="D16" s="24"/>
      <c r="E16" s="107"/>
      <c r="F16" s="107"/>
      <c r="G16" s="50"/>
      <c r="H16" s="94"/>
      <c r="I16" s="50"/>
      <c r="J16" s="94"/>
      <c r="K16" s="50"/>
      <c r="L16" s="94"/>
      <c r="M16" s="50"/>
      <c r="N16" s="94"/>
      <c r="O16" s="50"/>
      <c r="P16" s="94"/>
      <c r="Q16" s="50"/>
      <c r="R16" s="94"/>
      <c r="S16" s="50"/>
      <c r="T16" s="94"/>
      <c r="U16" s="50"/>
      <c r="V16" s="94"/>
      <c r="W16" s="94"/>
      <c r="X16" s="50"/>
      <c r="Y16" s="94"/>
      <c r="Z16" s="94"/>
      <c r="AA16" s="50"/>
      <c r="AB16" s="42"/>
      <c r="AC16" s="94"/>
      <c r="AD16" s="50"/>
      <c r="AE16" s="42"/>
      <c r="AF16" s="94"/>
      <c r="AG16" s="50"/>
      <c r="AH16" s="42"/>
      <c r="AI16" s="94"/>
      <c r="AJ16" s="50"/>
      <c r="AK16" s="94"/>
      <c r="AL16" s="57"/>
      <c r="AM16" s="50"/>
      <c r="AN16" s="94"/>
      <c r="AO16" s="57"/>
      <c r="AP16" s="50"/>
      <c r="AQ16" s="94"/>
      <c r="AR16" s="140"/>
      <c r="AS16" s="254"/>
      <c r="AT16" s="169"/>
      <c r="AU16" s="255"/>
    </row>
    <row r="17" spans="1:47">
      <c r="B17" s="24" t="s">
        <v>51</v>
      </c>
      <c r="D17" s="24"/>
      <c r="E17" s="107"/>
      <c r="F17" s="107"/>
      <c r="G17" s="50"/>
      <c r="H17" s="94"/>
      <c r="I17" s="50"/>
      <c r="J17" s="94"/>
      <c r="K17" s="50"/>
      <c r="L17" s="94"/>
      <c r="M17" s="50"/>
      <c r="N17" s="94"/>
      <c r="O17" s="50"/>
      <c r="P17" s="94"/>
      <c r="Q17" s="50"/>
      <c r="R17" s="94"/>
      <c r="S17" s="50"/>
      <c r="T17" s="94"/>
      <c r="U17" s="50"/>
      <c r="V17" s="94"/>
      <c r="W17" s="94"/>
      <c r="X17" s="50"/>
      <c r="Y17" s="94"/>
      <c r="Z17" s="94"/>
      <c r="AA17" s="50"/>
      <c r="AB17" s="42"/>
      <c r="AC17" s="94"/>
      <c r="AD17" s="50"/>
      <c r="AE17" s="42"/>
      <c r="AF17" s="94"/>
      <c r="AG17" s="50"/>
      <c r="AH17" s="42"/>
      <c r="AI17" s="94"/>
      <c r="AJ17" s="50"/>
      <c r="AK17" s="94"/>
      <c r="AL17" s="57"/>
      <c r="AM17" s="50"/>
      <c r="AN17" s="94"/>
      <c r="AO17" s="57"/>
      <c r="AP17" s="50"/>
      <c r="AQ17" s="94"/>
      <c r="AR17" s="140"/>
      <c r="AS17" s="254"/>
      <c r="AT17" s="169"/>
      <c r="AU17" s="255"/>
    </row>
    <row r="18" spans="1:47">
      <c r="A18" s="22">
        <v>5</v>
      </c>
      <c r="C18" s="24" t="s">
        <v>12</v>
      </c>
      <c r="D18" s="24"/>
      <c r="E18" s="107"/>
      <c r="F18" s="107"/>
      <c r="G18" s="50"/>
      <c r="H18" s="94">
        <f>-'Cost Trends'!F19</f>
        <v>-59659</v>
      </c>
      <c r="I18" s="50"/>
      <c r="J18" s="94">
        <f>-'Cost Trends'!G19</f>
        <v>-106139</v>
      </c>
      <c r="K18" s="50"/>
      <c r="L18" s="94">
        <f>-'Cost Trends'!H19</f>
        <v>-109325</v>
      </c>
      <c r="M18" s="50"/>
      <c r="N18" s="94">
        <f>-'Cost Trends'!I19</f>
        <v>-96222</v>
      </c>
      <c r="O18" s="50"/>
      <c r="P18" s="94">
        <f>-'Cost Trends'!J19</f>
        <v>-114371</v>
      </c>
      <c r="Q18" s="50"/>
      <c r="R18" s="94">
        <f>-'Cost Trends'!K19</f>
        <v>-167251</v>
      </c>
      <c r="S18" s="50"/>
      <c r="T18" s="94">
        <f>-'Cost Trends'!L19</f>
        <v>-149802</v>
      </c>
      <c r="U18" s="50"/>
      <c r="V18" s="94"/>
      <c r="W18" s="94">
        <f>-'Cost Trends'!M19</f>
        <v>-222364</v>
      </c>
      <c r="X18" s="50"/>
      <c r="Y18" s="94"/>
      <c r="Z18" s="94">
        <f>-'Cost Trends'!N19</f>
        <v>-310276</v>
      </c>
      <c r="AA18" s="50"/>
      <c r="AB18" s="42"/>
      <c r="AC18" s="94">
        <f>-'Cost Trends'!O19</f>
        <v>-194267</v>
      </c>
      <c r="AD18" s="50"/>
      <c r="AE18" s="42"/>
      <c r="AF18" s="94">
        <f>-'Cost Trends'!P19</f>
        <v>-197494</v>
      </c>
      <c r="AG18" s="50"/>
      <c r="AH18" s="42"/>
      <c r="AI18" s="94">
        <f>-'Cost Trends'!Q19</f>
        <v>-188167</v>
      </c>
      <c r="AJ18" s="50"/>
      <c r="AK18" s="94"/>
      <c r="AL18" s="57">
        <f>-'Cost Trends'!R19</f>
        <v>-139073</v>
      </c>
      <c r="AM18" s="50"/>
      <c r="AN18" s="94"/>
      <c r="AO18" s="57">
        <f>-'Cost Trends'!S19</f>
        <v>-76801</v>
      </c>
      <c r="AP18" s="50"/>
      <c r="AQ18" s="94"/>
      <c r="AR18" s="140">
        <v>-84187</v>
      </c>
      <c r="AS18" s="254"/>
      <c r="AT18" s="169"/>
      <c r="AU18" s="255">
        <v>-79634</v>
      </c>
    </row>
    <row r="19" spans="1:47">
      <c r="A19" s="22">
        <v>6</v>
      </c>
      <c r="C19" s="24" t="s">
        <v>13</v>
      </c>
      <c r="D19" s="24"/>
      <c r="E19" s="107"/>
      <c r="F19" s="107"/>
      <c r="G19" s="50"/>
      <c r="H19" s="94">
        <f>-'Cost Trends'!F20+H63</f>
        <v>2078</v>
      </c>
      <c r="I19" s="50"/>
      <c r="J19" s="94">
        <f>-'Cost Trends'!G20+J63</f>
        <v>-756</v>
      </c>
      <c r="K19" s="50"/>
      <c r="L19" s="94">
        <f>-'Cost Trends'!H20+L63</f>
        <v>-916</v>
      </c>
      <c r="M19" s="50"/>
      <c r="N19" s="94">
        <f>-'Cost Trends'!I20+N63</f>
        <v>-901</v>
      </c>
      <c r="O19" s="50"/>
      <c r="P19" s="94">
        <f>-'Cost Trends'!J20+P63</f>
        <v>0</v>
      </c>
      <c r="Q19" s="50"/>
      <c r="R19" s="94">
        <f>-'Cost Trends'!K20+R63</f>
        <v>0</v>
      </c>
      <c r="S19" s="50"/>
      <c r="T19" s="94">
        <f>-'Cost Trends'!L20+T63</f>
        <v>0</v>
      </c>
      <c r="U19" s="50"/>
      <c r="V19" s="94"/>
      <c r="W19" s="94">
        <f>-'Cost Trends'!M20+W63</f>
        <v>0</v>
      </c>
      <c r="X19" s="50"/>
      <c r="Y19" s="94"/>
      <c r="Z19" s="94">
        <f>-'Cost Trends'!N20+Z63</f>
        <v>9886</v>
      </c>
      <c r="AA19" s="50"/>
      <c r="AB19" s="42"/>
      <c r="AC19" s="94">
        <f>-'Cost Trends'!O20+AC63</f>
        <v>-1</v>
      </c>
      <c r="AD19" s="50"/>
      <c r="AE19" s="42"/>
      <c r="AF19" s="94">
        <f>-'Cost Trends'!P20+AF63</f>
        <v>0</v>
      </c>
      <c r="AG19" s="50"/>
      <c r="AH19" s="42"/>
      <c r="AI19" s="94">
        <f>-'Cost Trends'!Q20+AI63</f>
        <v>967</v>
      </c>
      <c r="AJ19" s="50"/>
      <c r="AK19" s="94"/>
      <c r="AL19" s="57">
        <f>-'Cost Trends'!R20+AL63</f>
        <v>798</v>
      </c>
      <c r="AM19" s="50"/>
      <c r="AN19" s="94"/>
      <c r="AO19" s="57">
        <f>-'Cost Trends'!S20+AO63</f>
        <v>0</v>
      </c>
      <c r="AP19" s="50"/>
      <c r="AQ19" s="94"/>
      <c r="AR19" s="140">
        <v>0</v>
      </c>
      <c r="AS19" s="254"/>
      <c r="AT19" s="169"/>
      <c r="AU19" s="255">
        <v>0</v>
      </c>
    </row>
    <row r="20" spans="1:47">
      <c r="A20" s="22">
        <v>7</v>
      </c>
      <c r="C20" s="24" t="s">
        <v>14</v>
      </c>
      <c r="D20" s="24"/>
      <c r="E20" s="107"/>
      <c r="F20" s="107"/>
      <c r="G20" s="51"/>
      <c r="H20" s="94">
        <f>-'Cost Trends'!F21</f>
        <v>-38</v>
      </c>
      <c r="I20" s="51"/>
      <c r="J20" s="94">
        <f>-'Cost Trends'!G21</f>
        <v>-134</v>
      </c>
      <c r="K20" s="51"/>
      <c r="L20" s="94">
        <f>-'Cost Trends'!H21</f>
        <v>-128</v>
      </c>
      <c r="M20" s="51"/>
      <c r="N20" s="94">
        <f>-'Cost Trends'!I21</f>
        <v>0</v>
      </c>
      <c r="O20" s="51"/>
      <c r="P20" s="94">
        <f>-'Cost Trends'!J21</f>
        <v>0</v>
      </c>
      <c r="Q20" s="51"/>
      <c r="R20" s="94">
        <f>-'Cost Trends'!K21</f>
        <v>8407</v>
      </c>
      <c r="S20" s="51"/>
      <c r="T20" s="94">
        <f>-'Cost Trends'!L21</f>
        <v>0</v>
      </c>
      <c r="U20" s="51"/>
      <c r="V20" s="43"/>
      <c r="W20" s="94">
        <f>-'Cost Trends'!M21</f>
        <v>-283</v>
      </c>
      <c r="X20" s="51"/>
      <c r="Y20" s="94"/>
      <c r="Z20" s="94">
        <f>-'Cost Trends'!N21</f>
        <v>-2</v>
      </c>
      <c r="AA20" s="51"/>
      <c r="AB20" s="43"/>
      <c r="AC20" s="94">
        <f>-'Cost Trends'!O21</f>
        <v>-10720</v>
      </c>
      <c r="AD20" s="51"/>
      <c r="AE20" s="43"/>
      <c r="AF20" s="94">
        <f>-'Cost Trends'!P21</f>
        <v>3322</v>
      </c>
      <c r="AG20" s="51"/>
      <c r="AH20" s="43"/>
      <c r="AI20" s="94">
        <f>-'Cost Trends'!Q21</f>
        <v>4366</v>
      </c>
      <c r="AJ20" s="51"/>
      <c r="AK20" s="43"/>
      <c r="AL20" s="57">
        <f>-'Cost Trends'!R21</f>
        <v>-4352</v>
      </c>
      <c r="AM20" s="51"/>
      <c r="AN20" s="43"/>
      <c r="AO20" s="57">
        <f>-'Cost Trends'!S21</f>
        <v>0</v>
      </c>
      <c r="AP20" s="51"/>
      <c r="AQ20" s="43"/>
      <c r="AR20" s="140">
        <v>0</v>
      </c>
      <c r="AS20" s="256"/>
      <c r="AT20" s="257"/>
      <c r="AU20" s="255">
        <v>0</v>
      </c>
    </row>
    <row r="21" spans="1:47">
      <c r="A21" s="22">
        <v>8</v>
      </c>
      <c r="B21" s="24" t="s">
        <v>15</v>
      </c>
      <c r="C21" s="24"/>
      <c r="E21" s="107"/>
      <c r="F21" s="107"/>
      <c r="G21" s="50">
        <f t="shared" ref="G21:P21" si="3">SUM(G18:G20)</f>
        <v>0</v>
      </c>
      <c r="H21" s="96">
        <f>SUM(H18:H20)</f>
        <v>-57619</v>
      </c>
      <c r="I21" s="50">
        <f t="shared" si="3"/>
        <v>0</v>
      </c>
      <c r="J21" s="96">
        <f>SUM(J18:J20)</f>
        <v>-107029</v>
      </c>
      <c r="K21" s="50">
        <f t="shared" si="3"/>
        <v>0</v>
      </c>
      <c r="L21" s="96">
        <f t="shared" si="3"/>
        <v>-110369</v>
      </c>
      <c r="M21" s="50">
        <f t="shared" si="3"/>
        <v>0</v>
      </c>
      <c r="N21" s="96">
        <f t="shared" si="3"/>
        <v>-97123</v>
      </c>
      <c r="O21" s="50">
        <f t="shared" si="3"/>
        <v>0</v>
      </c>
      <c r="P21" s="96">
        <f t="shared" si="3"/>
        <v>-114371</v>
      </c>
      <c r="Q21" s="50">
        <f t="shared" ref="Q21:AI21" si="4">SUM(Q18:Q20)</f>
        <v>0</v>
      </c>
      <c r="R21" s="96">
        <f t="shared" si="4"/>
        <v>-158844</v>
      </c>
      <c r="S21" s="50">
        <f t="shared" si="4"/>
        <v>0</v>
      </c>
      <c r="T21" s="96">
        <f t="shared" si="4"/>
        <v>-149802</v>
      </c>
      <c r="U21" s="50">
        <f t="shared" si="4"/>
        <v>0</v>
      </c>
      <c r="V21" s="94">
        <f t="shared" si="4"/>
        <v>0</v>
      </c>
      <c r="W21" s="96">
        <f t="shared" si="4"/>
        <v>-222647</v>
      </c>
      <c r="X21" s="50">
        <f t="shared" si="4"/>
        <v>0</v>
      </c>
      <c r="Y21" s="95">
        <f t="shared" si="4"/>
        <v>0</v>
      </c>
      <c r="Z21" s="96">
        <f t="shared" si="4"/>
        <v>-300392</v>
      </c>
      <c r="AA21" s="50">
        <f t="shared" si="4"/>
        <v>0</v>
      </c>
      <c r="AB21" s="42">
        <f t="shared" si="4"/>
        <v>0</v>
      </c>
      <c r="AC21" s="96">
        <f t="shared" si="4"/>
        <v>-204988</v>
      </c>
      <c r="AD21" s="50">
        <f t="shared" si="4"/>
        <v>0</v>
      </c>
      <c r="AE21" s="42">
        <f t="shared" si="4"/>
        <v>0</v>
      </c>
      <c r="AF21" s="96">
        <f t="shared" si="4"/>
        <v>-194172</v>
      </c>
      <c r="AG21" s="50">
        <f t="shared" si="4"/>
        <v>0</v>
      </c>
      <c r="AH21" s="42">
        <f t="shared" si="4"/>
        <v>0</v>
      </c>
      <c r="AI21" s="96">
        <f t="shared" si="4"/>
        <v>-182834</v>
      </c>
      <c r="AJ21" s="50">
        <f t="shared" ref="AJ21:AU21" si="5">SUM(AJ18:AJ20)</f>
        <v>0</v>
      </c>
      <c r="AK21" s="94">
        <f t="shared" si="5"/>
        <v>0</v>
      </c>
      <c r="AL21" s="96">
        <f t="shared" si="5"/>
        <v>-142627</v>
      </c>
      <c r="AM21" s="50">
        <f t="shared" si="5"/>
        <v>0</v>
      </c>
      <c r="AN21" s="94">
        <f t="shared" si="5"/>
        <v>0</v>
      </c>
      <c r="AO21" s="96">
        <f t="shared" si="5"/>
        <v>-76801</v>
      </c>
      <c r="AP21" s="50">
        <f t="shared" si="5"/>
        <v>0</v>
      </c>
      <c r="AQ21" s="94">
        <f t="shared" si="5"/>
        <v>0</v>
      </c>
      <c r="AR21" s="259">
        <f t="shared" si="5"/>
        <v>-84187</v>
      </c>
      <c r="AS21" s="254">
        <f t="shared" si="5"/>
        <v>0</v>
      </c>
      <c r="AT21" s="169">
        <f t="shared" si="5"/>
        <v>0</v>
      </c>
      <c r="AU21" s="260">
        <f t="shared" si="5"/>
        <v>-79634</v>
      </c>
    </row>
    <row r="22" spans="1:47">
      <c r="B22" s="24"/>
      <c r="C22" s="24"/>
      <c r="E22" s="107"/>
      <c r="F22" s="107"/>
      <c r="G22" s="50"/>
      <c r="H22" s="94"/>
      <c r="I22" s="50"/>
      <c r="J22" s="94"/>
      <c r="K22" s="50"/>
      <c r="L22" s="94"/>
      <c r="M22" s="50"/>
      <c r="N22" s="94"/>
      <c r="O22" s="50"/>
      <c r="P22" s="94"/>
      <c r="Q22" s="50"/>
      <c r="R22" s="94"/>
      <c r="S22" s="50"/>
      <c r="T22" s="94"/>
      <c r="U22" s="50"/>
      <c r="V22" s="94"/>
      <c r="W22" s="94"/>
      <c r="X22" s="50"/>
      <c r="Y22" s="94"/>
      <c r="Z22" s="94"/>
      <c r="AA22" s="50"/>
      <c r="AB22" s="42"/>
      <c r="AC22" s="94"/>
      <c r="AD22" s="50"/>
      <c r="AE22" s="42"/>
      <c r="AF22" s="94"/>
      <c r="AG22" s="50"/>
      <c r="AH22" s="42"/>
      <c r="AI22" s="94"/>
      <c r="AJ22" s="50"/>
      <c r="AK22" s="94"/>
      <c r="AL22" s="57"/>
      <c r="AM22" s="50"/>
      <c r="AN22" s="94"/>
      <c r="AO22" s="57"/>
      <c r="AP22" s="50"/>
      <c r="AQ22" s="94"/>
      <c r="AR22" s="140"/>
      <c r="AS22" s="254"/>
      <c r="AT22" s="169"/>
      <c r="AU22" s="255"/>
    </row>
    <row r="23" spans="1:47">
      <c r="B23" s="24" t="s">
        <v>16</v>
      </c>
      <c r="D23" s="24"/>
      <c r="E23" s="107"/>
      <c r="F23" s="107"/>
      <c r="G23" s="50"/>
      <c r="H23" s="94"/>
      <c r="I23" s="50"/>
      <c r="J23" s="94"/>
      <c r="K23" s="50"/>
      <c r="L23" s="94"/>
      <c r="M23" s="50"/>
      <c r="N23" s="94"/>
      <c r="O23" s="50"/>
      <c r="P23" s="94"/>
      <c r="Q23" s="50"/>
      <c r="R23" s="94"/>
      <c r="S23" s="50"/>
      <c r="T23" s="94"/>
      <c r="U23" s="50"/>
      <c r="V23" s="94"/>
      <c r="W23" s="94"/>
      <c r="X23" s="50"/>
      <c r="Y23" s="94"/>
      <c r="Z23" s="94"/>
      <c r="AA23" s="50"/>
      <c r="AB23" s="42"/>
      <c r="AC23" s="94"/>
      <c r="AD23" s="50"/>
      <c r="AE23" s="42"/>
      <c r="AF23" s="94"/>
      <c r="AG23" s="50"/>
      <c r="AH23" s="42"/>
      <c r="AI23" s="94"/>
      <c r="AJ23" s="50"/>
      <c r="AK23" s="94"/>
      <c r="AL23" s="57"/>
      <c r="AM23" s="50"/>
      <c r="AN23" s="94"/>
      <c r="AO23" s="57"/>
      <c r="AP23" s="50"/>
      <c r="AQ23" s="94"/>
      <c r="AR23" s="140"/>
      <c r="AS23" s="254"/>
      <c r="AT23" s="169"/>
      <c r="AU23" s="255"/>
    </row>
    <row r="24" spans="1:47">
      <c r="A24" s="22">
        <v>9</v>
      </c>
      <c r="C24" s="24" t="s">
        <v>17</v>
      </c>
      <c r="D24" s="24"/>
      <c r="E24" s="107"/>
      <c r="F24" s="107"/>
      <c r="G24" s="50"/>
      <c r="H24" s="94"/>
      <c r="I24" s="50"/>
      <c r="J24" s="94"/>
      <c r="K24" s="50"/>
      <c r="L24" s="94"/>
      <c r="M24" s="50"/>
      <c r="N24" s="94"/>
      <c r="O24" s="50"/>
      <c r="P24" s="94"/>
      <c r="Q24" s="50"/>
      <c r="R24" s="94"/>
      <c r="S24" s="50"/>
      <c r="T24" s="94"/>
      <c r="U24" s="50"/>
      <c r="V24" s="94"/>
      <c r="W24" s="94"/>
      <c r="X24" s="50"/>
      <c r="Y24" s="94"/>
      <c r="Z24" s="94"/>
      <c r="AA24" s="50"/>
      <c r="AB24" s="42"/>
      <c r="AC24" s="94"/>
      <c r="AD24" s="50"/>
      <c r="AE24" s="42"/>
      <c r="AF24" s="94"/>
      <c r="AG24" s="50"/>
      <c r="AH24" s="42"/>
      <c r="AI24" s="94"/>
      <c r="AJ24" s="50"/>
      <c r="AK24" s="94"/>
      <c r="AL24" s="57"/>
      <c r="AM24" s="50"/>
      <c r="AN24" s="94"/>
      <c r="AO24" s="57"/>
      <c r="AP24" s="50"/>
      <c r="AQ24" s="94"/>
      <c r="AR24" s="140"/>
      <c r="AS24" s="254"/>
      <c r="AT24" s="169"/>
      <c r="AU24" s="255"/>
    </row>
    <row r="25" spans="1:47">
      <c r="A25" s="22">
        <v>10</v>
      </c>
      <c r="C25" s="24" t="s">
        <v>47</v>
      </c>
      <c r="D25" s="24"/>
      <c r="E25" s="107"/>
      <c r="F25" s="107"/>
      <c r="G25" s="50"/>
      <c r="H25" s="94"/>
      <c r="I25" s="50"/>
      <c r="J25" s="94"/>
      <c r="K25" s="50"/>
      <c r="L25" s="94"/>
      <c r="M25" s="50"/>
      <c r="N25" s="94"/>
      <c r="O25" s="50"/>
      <c r="P25" s="94"/>
      <c r="Q25" s="50"/>
      <c r="R25" s="94"/>
      <c r="S25" s="50"/>
      <c r="T25" s="94"/>
      <c r="U25" s="50"/>
      <c r="V25" s="94"/>
      <c r="W25" s="94"/>
      <c r="X25" s="50"/>
      <c r="Y25" s="94"/>
      <c r="Z25" s="94"/>
      <c r="AA25" s="50"/>
      <c r="AB25" s="42"/>
      <c r="AC25" s="94"/>
      <c r="AD25" s="50"/>
      <c r="AE25" s="42"/>
      <c r="AF25" s="94"/>
      <c r="AG25" s="50"/>
      <c r="AH25" s="42"/>
      <c r="AI25" s="94"/>
      <c r="AJ25" s="50"/>
      <c r="AK25" s="94"/>
      <c r="AL25" s="57"/>
      <c r="AM25" s="50"/>
      <c r="AN25" s="94"/>
      <c r="AO25" s="57"/>
      <c r="AP25" s="50"/>
      <c r="AQ25" s="94"/>
      <c r="AR25" s="140"/>
      <c r="AS25" s="254"/>
      <c r="AT25" s="169"/>
      <c r="AU25" s="255"/>
    </row>
    <row r="26" spans="1:47">
      <c r="A26" s="22">
        <v>11</v>
      </c>
      <c r="C26" s="24" t="s">
        <v>4</v>
      </c>
      <c r="D26" s="24"/>
      <c r="E26" s="107"/>
      <c r="F26" s="107"/>
      <c r="G26" s="51"/>
      <c r="H26" s="43"/>
      <c r="I26" s="51"/>
      <c r="J26" s="43"/>
      <c r="K26" s="51"/>
      <c r="L26" s="43"/>
      <c r="M26" s="51"/>
      <c r="N26" s="43"/>
      <c r="O26" s="51"/>
      <c r="P26" s="43"/>
      <c r="Q26" s="51"/>
      <c r="R26" s="43"/>
      <c r="S26" s="51"/>
      <c r="T26" s="43"/>
      <c r="U26" s="51"/>
      <c r="V26" s="43"/>
      <c r="W26" s="43"/>
      <c r="X26" s="51"/>
      <c r="Y26" s="94"/>
      <c r="Z26" s="43"/>
      <c r="AA26" s="51"/>
      <c r="AB26" s="43"/>
      <c r="AC26" s="43"/>
      <c r="AD26" s="51"/>
      <c r="AE26" s="43"/>
      <c r="AF26" s="43"/>
      <c r="AG26" s="51"/>
      <c r="AH26" s="43"/>
      <c r="AI26" s="43"/>
      <c r="AJ26" s="51"/>
      <c r="AK26" s="43"/>
      <c r="AL26" s="58"/>
      <c r="AM26" s="51"/>
      <c r="AN26" s="43"/>
      <c r="AO26" s="58"/>
      <c r="AP26" s="51"/>
      <c r="AQ26" s="43"/>
      <c r="AR26" s="139"/>
      <c r="AS26" s="256"/>
      <c r="AT26" s="257"/>
      <c r="AU26" s="258"/>
    </row>
    <row r="27" spans="1:47">
      <c r="A27" s="22">
        <v>12</v>
      </c>
      <c r="B27" s="24" t="s">
        <v>18</v>
      </c>
      <c r="C27" s="24"/>
      <c r="E27" s="107"/>
      <c r="F27" s="107"/>
      <c r="G27" s="50">
        <f t="shared" ref="G27:P27" si="6">SUM(G24:G26)</f>
        <v>0</v>
      </c>
      <c r="H27" s="94">
        <f>SUM(H24:H26)</f>
        <v>0</v>
      </c>
      <c r="I27" s="50">
        <f t="shared" si="6"/>
        <v>0</v>
      </c>
      <c r="J27" s="94">
        <f>SUM(J24:J26)</f>
        <v>0</v>
      </c>
      <c r="K27" s="50">
        <f t="shared" si="6"/>
        <v>0</v>
      </c>
      <c r="L27" s="94">
        <f t="shared" si="6"/>
        <v>0</v>
      </c>
      <c r="M27" s="50">
        <f t="shared" si="6"/>
        <v>0</v>
      </c>
      <c r="N27" s="94">
        <f t="shared" si="6"/>
        <v>0</v>
      </c>
      <c r="O27" s="50">
        <f t="shared" si="6"/>
        <v>0</v>
      </c>
      <c r="P27" s="94">
        <f t="shared" si="6"/>
        <v>0</v>
      </c>
      <c r="Q27" s="50">
        <f t="shared" ref="Q27:AI27" si="7">SUM(Q24:Q26)</f>
        <v>0</v>
      </c>
      <c r="R27" s="94">
        <f t="shared" si="7"/>
        <v>0</v>
      </c>
      <c r="S27" s="50">
        <f t="shared" si="7"/>
        <v>0</v>
      </c>
      <c r="T27" s="94">
        <f t="shared" si="7"/>
        <v>0</v>
      </c>
      <c r="U27" s="50">
        <f t="shared" si="7"/>
        <v>0</v>
      </c>
      <c r="V27" s="94">
        <f t="shared" si="7"/>
        <v>0</v>
      </c>
      <c r="W27" s="94">
        <f t="shared" si="7"/>
        <v>0</v>
      </c>
      <c r="X27" s="50">
        <f t="shared" si="7"/>
        <v>0</v>
      </c>
      <c r="Y27" s="95">
        <f t="shared" si="7"/>
        <v>0</v>
      </c>
      <c r="Z27" s="94">
        <f t="shared" si="7"/>
        <v>0</v>
      </c>
      <c r="AA27" s="50">
        <f t="shared" si="7"/>
        <v>0</v>
      </c>
      <c r="AB27" s="42">
        <f t="shared" si="7"/>
        <v>0</v>
      </c>
      <c r="AC27" s="94">
        <f t="shared" si="7"/>
        <v>0</v>
      </c>
      <c r="AD27" s="50">
        <f t="shared" si="7"/>
        <v>0</v>
      </c>
      <c r="AE27" s="42">
        <f t="shared" si="7"/>
        <v>0</v>
      </c>
      <c r="AF27" s="94">
        <f t="shared" si="7"/>
        <v>0</v>
      </c>
      <c r="AG27" s="50">
        <f t="shared" si="7"/>
        <v>0</v>
      </c>
      <c r="AH27" s="42">
        <f t="shared" si="7"/>
        <v>0</v>
      </c>
      <c r="AI27" s="94">
        <f t="shared" si="7"/>
        <v>0</v>
      </c>
      <c r="AJ27" s="50">
        <f t="shared" ref="AJ27:AU27" si="8">SUM(AJ24:AJ26)</f>
        <v>0</v>
      </c>
      <c r="AK27" s="94">
        <f t="shared" si="8"/>
        <v>0</v>
      </c>
      <c r="AL27" s="57">
        <f t="shared" si="8"/>
        <v>0</v>
      </c>
      <c r="AM27" s="50">
        <f t="shared" si="8"/>
        <v>0</v>
      </c>
      <c r="AN27" s="94">
        <f t="shared" si="8"/>
        <v>0</v>
      </c>
      <c r="AO27" s="57">
        <f t="shared" si="8"/>
        <v>0</v>
      </c>
      <c r="AP27" s="50">
        <f t="shared" si="8"/>
        <v>0</v>
      </c>
      <c r="AQ27" s="94">
        <f t="shared" si="8"/>
        <v>0</v>
      </c>
      <c r="AR27" s="140">
        <f t="shared" si="8"/>
        <v>0</v>
      </c>
      <c r="AS27" s="254">
        <f t="shared" si="8"/>
        <v>0</v>
      </c>
      <c r="AT27" s="169">
        <f t="shared" si="8"/>
        <v>0</v>
      </c>
      <c r="AU27" s="255">
        <f t="shared" si="8"/>
        <v>0</v>
      </c>
    </row>
    <row r="28" spans="1:47">
      <c r="B28" s="24"/>
      <c r="C28" s="24"/>
      <c r="E28" s="107"/>
      <c r="F28" s="107"/>
      <c r="G28" s="50"/>
      <c r="H28" s="94"/>
      <c r="I28" s="50"/>
      <c r="J28" s="94"/>
      <c r="K28" s="50"/>
      <c r="L28" s="94"/>
      <c r="M28" s="50"/>
      <c r="N28" s="94"/>
      <c r="O28" s="50"/>
      <c r="P28" s="94"/>
      <c r="Q28" s="50"/>
      <c r="R28" s="94"/>
      <c r="S28" s="50"/>
      <c r="T28" s="94"/>
      <c r="U28" s="50"/>
      <c r="V28" s="94"/>
      <c r="W28" s="94"/>
      <c r="X28" s="50"/>
      <c r="Y28" s="94"/>
      <c r="Z28" s="94"/>
      <c r="AA28" s="50"/>
      <c r="AB28" s="42"/>
      <c r="AC28" s="94"/>
      <c r="AD28" s="50"/>
      <c r="AE28" s="42"/>
      <c r="AF28" s="94"/>
      <c r="AG28" s="50"/>
      <c r="AH28" s="42"/>
      <c r="AI28" s="94"/>
      <c r="AJ28" s="50"/>
      <c r="AK28" s="94"/>
      <c r="AL28" s="57"/>
      <c r="AM28" s="50"/>
      <c r="AN28" s="94"/>
      <c r="AO28" s="57"/>
      <c r="AP28" s="50"/>
      <c r="AQ28" s="94"/>
      <c r="AR28" s="140"/>
      <c r="AS28" s="254"/>
      <c r="AT28" s="169"/>
      <c r="AU28" s="255"/>
    </row>
    <row r="29" spans="1:47">
      <c r="B29" s="24" t="s">
        <v>19</v>
      </c>
      <c r="D29" s="24"/>
      <c r="E29" s="107"/>
      <c r="F29" s="107"/>
      <c r="G29" s="50"/>
      <c r="H29" s="94"/>
      <c r="I29" s="50"/>
      <c r="J29" s="94"/>
      <c r="K29" s="50"/>
      <c r="L29" s="94"/>
      <c r="M29" s="50"/>
      <c r="N29" s="94"/>
      <c r="O29" s="50"/>
      <c r="P29" s="94"/>
      <c r="Q29" s="50"/>
      <c r="R29" s="94"/>
      <c r="S29" s="50"/>
      <c r="T29" s="94"/>
      <c r="U29" s="50"/>
      <c r="V29" s="94"/>
      <c r="W29" s="94"/>
      <c r="X29" s="50"/>
      <c r="Y29" s="94"/>
      <c r="Z29" s="94"/>
      <c r="AA29" s="50"/>
      <c r="AB29" s="42"/>
      <c r="AC29" s="94"/>
      <c r="AD29" s="50"/>
      <c r="AE29" s="42"/>
      <c r="AF29" s="94"/>
      <c r="AG29" s="50"/>
      <c r="AH29" s="42"/>
      <c r="AI29" s="94"/>
      <c r="AJ29" s="50"/>
      <c r="AK29" s="94"/>
      <c r="AL29" s="57"/>
      <c r="AM29" s="50"/>
      <c r="AN29" s="94"/>
      <c r="AO29" s="57"/>
      <c r="AP29" s="50"/>
      <c r="AQ29" s="94"/>
      <c r="AR29" s="140"/>
      <c r="AS29" s="254"/>
      <c r="AT29" s="169"/>
      <c r="AU29" s="255"/>
    </row>
    <row r="30" spans="1:47">
      <c r="A30" s="22">
        <v>13</v>
      </c>
      <c r="C30" s="24" t="s">
        <v>17</v>
      </c>
      <c r="D30" s="24"/>
      <c r="E30" s="107"/>
      <c r="F30" s="107"/>
      <c r="G30" s="50"/>
      <c r="H30" s="94"/>
      <c r="I30" s="50"/>
      <c r="J30" s="94"/>
      <c r="K30" s="50"/>
      <c r="L30" s="94"/>
      <c r="M30" s="50"/>
      <c r="N30" s="94"/>
      <c r="O30" s="50"/>
      <c r="P30" s="94"/>
      <c r="Q30" s="50"/>
      <c r="R30" s="94"/>
      <c r="S30" s="50"/>
      <c r="T30" s="94"/>
      <c r="U30" s="50"/>
      <c r="V30" s="94"/>
      <c r="W30" s="94"/>
      <c r="X30" s="50"/>
      <c r="Y30" s="94"/>
      <c r="Z30" s="94"/>
      <c r="AA30" s="50"/>
      <c r="AB30" s="42"/>
      <c r="AC30" s="94"/>
      <c r="AD30" s="50"/>
      <c r="AE30" s="42"/>
      <c r="AF30" s="94"/>
      <c r="AG30" s="50"/>
      <c r="AH30" s="42"/>
      <c r="AI30" s="94"/>
      <c r="AJ30" s="50"/>
      <c r="AK30" s="94"/>
      <c r="AL30" s="57"/>
      <c r="AM30" s="50"/>
      <c r="AN30" s="94"/>
      <c r="AO30" s="57"/>
      <c r="AP30" s="50"/>
      <c r="AQ30" s="94"/>
      <c r="AR30" s="140"/>
      <c r="AS30" s="254"/>
      <c r="AT30" s="169"/>
      <c r="AU30" s="255"/>
    </row>
    <row r="31" spans="1:47">
      <c r="A31" s="22">
        <v>14</v>
      </c>
      <c r="C31" s="24" t="s">
        <v>47</v>
      </c>
      <c r="D31" s="24"/>
      <c r="E31" s="107"/>
      <c r="F31" s="107"/>
      <c r="G31" s="50"/>
      <c r="H31" s="94"/>
      <c r="I31" s="50"/>
      <c r="J31" s="94"/>
      <c r="K31" s="50"/>
      <c r="L31" s="94"/>
      <c r="M31" s="50"/>
      <c r="N31" s="94"/>
      <c r="O31" s="50"/>
      <c r="P31" s="94"/>
      <c r="Q31" s="50"/>
      <c r="R31" s="94"/>
      <c r="S31" s="50"/>
      <c r="T31" s="94"/>
      <c r="U31" s="50"/>
      <c r="V31" s="94"/>
      <c r="W31" s="94"/>
      <c r="X31" s="50"/>
      <c r="Y31" s="94"/>
      <c r="Z31" s="94"/>
      <c r="AA31" s="50"/>
      <c r="AB31" s="42"/>
      <c r="AC31" s="94"/>
      <c r="AD31" s="50"/>
      <c r="AE31" s="42"/>
      <c r="AF31" s="94"/>
      <c r="AG31" s="50"/>
      <c r="AH31" s="42"/>
      <c r="AI31" s="94"/>
      <c r="AJ31" s="50"/>
      <c r="AK31" s="94"/>
      <c r="AL31" s="57"/>
      <c r="AM31" s="50"/>
      <c r="AN31" s="94"/>
      <c r="AO31" s="57"/>
      <c r="AP31" s="50"/>
      <c r="AQ31" s="94"/>
      <c r="AR31" s="140"/>
      <c r="AS31" s="254"/>
      <c r="AT31" s="169"/>
      <c r="AU31" s="255"/>
    </row>
    <row r="32" spans="1:47">
      <c r="A32" s="22">
        <v>15</v>
      </c>
      <c r="C32" s="24" t="s">
        <v>4</v>
      </c>
      <c r="D32" s="24"/>
      <c r="E32" s="107">
        <v>3.8334071740649248E-2</v>
      </c>
      <c r="F32" s="107"/>
      <c r="G32" s="51">
        <f>ROUND(G11*$E32,0)</f>
        <v>0</v>
      </c>
      <c r="H32" s="43">
        <f>ROUND(H11*$E32,0)</f>
        <v>-2304</v>
      </c>
      <c r="I32" s="51">
        <f t="shared" ref="I32:P32" si="9">ROUND(I11*$E32,0)</f>
        <v>-38</v>
      </c>
      <c r="J32" s="43">
        <f t="shared" si="9"/>
        <v>-4287</v>
      </c>
      <c r="K32" s="51">
        <f t="shared" si="9"/>
        <v>-68</v>
      </c>
      <c r="L32" s="43">
        <f t="shared" si="9"/>
        <v>-4425</v>
      </c>
      <c r="M32" s="51">
        <f t="shared" si="9"/>
        <v>-81</v>
      </c>
      <c r="N32" s="43">
        <f t="shared" si="9"/>
        <v>-3899</v>
      </c>
      <c r="O32" s="51">
        <f t="shared" si="9"/>
        <v>0</v>
      </c>
      <c r="P32" s="43">
        <f t="shared" si="9"/>
        <v>-4592</v>
      </c>
      <c r="Q32" s="51">
        <f t="shared" ref="Q32:AI32" si="10">ROUND(Q11*$E32,0)</f>
        <v>-114</v>
      </c>
      <c r="R32" s="43">
        <f t="shared" si="10"/>
        <v>-5240</v>
      </c>
      <c r="S32" s="51">
        <f t="shared" si="10"/>
        <v>0</v>
      </c>
      <c r="T32" s="43">
        <f t="shared" si="10"/>
        <v>-6014</v>
      </c>
      <c r="U32" s="51">
        <f t="shared" si="10"/>
        <v>-154</v>
      </c>
      <c r="V32" s="43">
        <f t="shared" si="10"/>
        <v>-3</v>
      </c>
      <c r="W32" s="43">
        <f t="shared" si="10"/>
        <v>-6261</v>
      </c>
      <c r="X32" s="51">
        <f t="shared" si="10"/>
        <v>-176</v>
      </c>
      <c r="Y32" s="94">
        <f t="shared" si="10"/>
        <v>-17</v>
      </c>
      <c r="Z32" s="43">
        <f t="shared" si="10"/>
        <v>-5917</v>
      </c>
      <c r="AA32" s="51">
        <f t="shared" si="10"/>
        <v>-272</v>
      </c>
      <c r="AB32" s="43">
        <f t="shared" si="10"/>
        <v>-28</v>
      </c>
      <c r="AC32" s="43">
        <f t="shared" si="10"/>
        <v>-4858</v>
      </c>
      <c r="AD32" s="51">
        <f t="shared" si="10"/>
        <v>-338</v>
      </c>
      <c r="AE32" s="43">
        <f t="shared" si="10"/>
        <v>-20</v>
      </c>
      <c r="AF32" s="43">
        <f t="shared" si="10"/>
        <v>-3171</v>
      </c>
      <c r="AG32" s="51">
        <f t="shared" si="10"/>
        <v>-359</v>
      </c>
      <c r="AH32" s="43">
        <f t="shared" si="10"/>
        <v>-20</v>
      </c>
      <c r="AI32" s="43">
        <f t="shared" si="10"/>
        <v>-3374</v>
      </c>
      <c r="AJ32" s="51">
        <f t="shared" ref="AJ32:AU32" si="11">ROUND(AJ11*$E32,0)</f>
        <v>-239</v>
      </c>
      <c r="AK32" s="43">
        <f t="shared" si="11"/>
        <v>-7</v>
      </c>
      <c r="AL32" s="58">
        <f t="shared" si="11"/>
        <v>-3003</v>
      </c>
      <c r="AM32" s="51">
        <f t="shared" si="11"/>
        <v>0</v>
      </c>
      <c r="AN32" s="43">
        <f t="shared" si="11"/>
        <v>0</v>
      </c>
      <c r="AO32" s="58">
        <f t="shared" si="11"/>
        <v>-3083</v>
      </c>
      <c r="AP32" s="51">
        <f t="shared" si="11"/>
        <v>0</v>
      </c>
      <c r="AQ32" s="43">
        <f t="shared" si="11"/>
        <v>0</v>
      </c>
      <c r="AR32" s="139">
        <f t="shared" si="11"/>
        <v>-3380</v>
      </c>
      <c r="AS32" s="256">
        <f t="shared" si="11"/>
        <v>0</v>
      </c>
      <c r="AT32" s="257">
        <f t="shared" si="11"/>
        <v>0</v>
      </c>
      <c r="AU32" s="258">
        <f t="shared" si="11"/>
        <v>-3197</v>
      </c>
    </row>
    <row r="33" spans="1:47">
      <c r="A33" s="22">
        <v>16</v>
      </c>
      <c r="B33" s="24" t="s">
        <v>20</v>
      </c>
      <c r="C33" s="24"/>
      <c r="E33" s="107"/>
      <c r="F33" s="107"/>
      <c r="G33" s="50">
        <f t="shared" ref="G33:P33" si="12">SUM(G30:G32)</f>
        <v>0</v>
      </c>
      <c r="H33" s="94">
        <f>SUM(H30:H32)</f>
        <v>-2304</v>
      </c>
      <c r="I33" s="50">
        <f t="shared" si="12"/>
        <v>-38</v>
      </c>
      <c r="J33" s="94">
        <f>SUM(J30:J32)</f>
        <v>-4287</v>
      </c>
      <c r="K33" s="50">
        <f t="shared" si="12"/>
        <v>-68</v>
      </c>
      <c r="L33" s="94">
        <f t="shared" si="12"/>
        <v>-4425</v>
      </c>
      <c r="M33" s="50">
        <f t="shared" si="12"/>
        <v>-81</v>
      </c>
      <c r="N33" s="94">
        <f t="shared" si="12"/>
        <v>-3899</v>
      </c>
      <c r="O33" s="50">
        <f t="shared" si="12"/>
        <v>0</v>
      </c>
      <c r="P33" s="94">
        <f t="shared" si="12"/>
        <v>-4592</v>
      </c>
      <c r="Q33" s="50">
        <f t="shared" ref="Q33:AI33" si="13">SUM(Q30:Q32)</f>
        <v>-114</v>
      </c>
      <c r="R33" s="94">
        <f t="shared" si="13"/>
        <v>-5240</v>
      </c>
      <c r="S33" s="50">
        <f t="shared" si="13"/>
        <v>0</v>
      </c>
      <c r="T33" s="94">
        <f t="shared" si="13"/>
        <v>-6014</v>
      </c>
      <c r="U33" s="50">
        <f t="shared" si="13"/>
        <v>-154</v>
      </c>
      <c r="V33" s="94">
        <f t="shared" si="13"/>
        <v>-3</v>
      </c>
      <c r="W33" s="94">
        <f t="shared" si="13"/>
        <v>-6261</v>
      </c>
      <c r="X33" s="50">
        <f t="shared" si="13"/>
        <v>-176</v>
      </c>
      <c r="Y33" s="95">
        <f t="shared" si="13"/>
        <v>-17</v>
      </c>
      <c r="Z33" s="94">
        <f t="shared" si="13"/>
        <v>-5917</v>
      </c>
      <c r="AA33" s="50">
        <f t="shared" si="13"/>
        <v>-272</v>
      </c>
      <c r="AB33" s="42">
        <f t="shared" si="13"/>
        <v>-28</v>
      </c>
      <c r="AC33" s="94">
        <f t="shared" si="13"/>
        <v>-4858</v>
      </c>
      <c r="AD33" s="50">
        <f t="shared" si="13"/>
        <v>-338</v>
      </c>
      <c r="AE33" s="42">
        <f t="shared" si="13"/>
        <v>-20</v>
      </c>
      <c r="AF33" s="94">
        <f t="shared" si="13"/>
        <v>-3171</v>
      </c>
      <c r="AG33" s="50">
        <f t="shared" si="13"/>
        <v>-359</v>
      </c>
      <c r="AH33" s="42">
        <f t="shared" si="13"/>
        <v>-20</v>
      </c>
      <c r="AI33" s="94">
        <f t="shared" si="13"/>
        <v>-3374</v>
      </c>
      <c r="AJ33" s="50">
        <f t="shared" ref="AJ33:AU33" si="14">SUM(AJ30:AJ32)</f>
        <v>-239</v>
      </c>
      <c r="AK33" s="94">
        <f t="shared" si="14"/>
        <v>-7</v>
      </c>
      <c r="AL33" s="57">
        <f t="shared" si="14"/>
        <v>-3003</v>
      </c>
      <c r="AM33" s="50">
        <f t="shared" si="14"/>
        <v>0</v>
      </c>
      <c r="AN33" s="94">
        <f t="shared" si="14"/>
        <v>0</v>
      </c>
      <c r="AO33" s="57">
        <f t="shared" si="14"/>
        <v>-3083</v>
      </c>
      <c r="AP33" s="50">
        <f t="shared" si="14"/>
        <v>0</v>
      </c>
      <c r="AQ33" s="94">
        <f t="shared" si="14"/>
        <v>0</v>
      </c>
      <c r="AR33" s="140">
        <f t="shared" si="14"/>
        <v>-3380</v>
      </c>
      <c r="AS33" s="254">
        <f t="shared" si="14"/>
        <v>0</v>
      </c>
      <c r="AT33" s="169">
        <f t="shared" si="14"/>
        <v>0</v>
      </c>
      <c r="AU33" s="255">
        <f t="shared" si="14"/>
        <v>-3197</v>
      </c>
    </row>
    <row r="34" spans="1:47">
      <c r="C34" s="24"/>
      <c r="D34" s="24"/>
      <c r="E34" s="107"/>
      <c r="F34" s="107"/>
      <c r="G34" s="50"/>
      <c r="H34" s="94"/>
      <c r="I34" s="50"/>
      <c r="J34" s="94"/>
      <c r="K34" s="50"/>
      <c r="L34" s="94"/>
      <c r="M34" s="50"/>
      <c r="N34" s="94"/>
      <c r="O34" s="50"/>
      <c r="P34" s="94"/>
      <c r="Q34" s="50"/>
      <c r="R34" s="94"/>
      <c r="S34" s="50"/>
      <c r="T34" s="94"/>
      <c r="U34" s="50"/>
      <c r="V34" s="94"/>
      <c r="W34" s="94"/>
      <c r="X34" s="50"/>
      <c r="Y34" s="94"/>
      <c r="Z34" s="94"/>
      <c r="AA34" s="50"/>
      <c r="AB34" s="42"/>
      <c r="AC34" s="94"/>
      <c r="AD34" s="50"/>
      <c r="AE34" s="42"/>
      <c r="AF34" s="94"/>
      <c r="AG34" s="50"/>
      <c r="AH34" s="42"/>
      <c r="AI34" s="94"/>
      <c r="AJ34" s="50"/>
      <c r="AK34" s="94"/>
      <c r="AL34" s="57"/>
      <c r="AM34" s="50"/>
      <c r="AN34" s="94"/>
      <c r="AO34" s="57"/>
      <c r="AP34" s="50"/>
      <c r="AQ34" s="94"/>
      <c r="AR34" s="140"/>
      <c r="AS34" s="254"/>
      <c r="AT34" s="169"/>
      <c r="AU34" s="255"/>
    </row>
    <row r="35" spans="1:47">
      <c r="A35" s="22">
        <v>17</v>
      </c>
      <c r="B35" s="3" t="s">
        <v>21</v>
      </c>
      <c r="C35" s="24"/>
      <c r="D35" s="24"/>
      <c r="E35" s="107">
        <v>4.8267980101441661E-3</v>
      </c>
      <c r="F35" s="107"/>
      <c r="G35" s="50">
        <f>ROUND(G11*$E35,0)</f>
        <v>0</v>
      </c>
      <c r="H35" s="94">
        <f>ROUND(H11*$E35,0)</f>
        <v>-290</v>
      </c>
      <c r="I35" s="50">
        <f t="shared" ref="I35:P35" si="15">ROUND(I11*$E35,0)</f>
        <v>-5</v>
      </c>
      <c r="J35" s="94">
        <f t="shared" si="15"/>
        <v>-540</v>
      </c>
      <c r="K35" s="50">
        <f t="shared" si="15"/>
        <v>-9</v>
      </c>
      <c r="L35" s="94">
        <f t="shared" si="15"/>
        <v>-557</v>
      </c>
      <c r="M35" s="50">
        <f t="shared" si="15"/>
        <v>-10</v>
      </c>
      <c r="N35" s="94">
        <f t="shared" si="15"/>
        <v>-491</v>
      </c>
      <c r="O35" s="50">
        <f t="shared" si="15"/>
        <v>0</v>
      </c>
      <c r="P35" s="94">
        <f t="shared" si="15"/>
        <v>-578</v>
      </c>
      <c r="Q35" s="50">
        <f t="shared" ref="Q35:AI35" si="16">ROUND(Q11*$E35,0)</f>
        <v>-14</v>
      </c>
      <c r="R35" s="94">
        <f t="shared" si="16"/>
        <v>-660</v>
      </c>
      <c r="S35" s="50">
        <f t="shared" si="16"/>
        <v>0</v>
      </c>
      <c r="T35" s="94">
        <f t="shared" si="16"/>
        <v>-757</v>
      </c>
      <c r="U35" s="50">
        <f t="shared" si="16"/>
        <v>-19</v>
      </c>
      <c r="V35" s="94">
        <f t="shared" si="16"/>
        <v>0</v>
      </c>
      <c r="W35" s="94">
        <f t="shared" si="16"/>
        <v>-788</v>
      </c>
      <c r="X35" s="50">
        <f t="shared" si="16"/>
        <v>-22</v>
      </c>
      <c r="Y35" s="94">
        <f t="shared" si="16"/>
        <v>-2</v>
      </c>
      <c r="Z35" s="94">
        <f t="shared" si="16"/>
        <v>-745</v>
      </c>
      <c r="AA35" s="50">
        <f t="shared" si="16"/>
        <v>-34</v>
      </c>
      <c r="AB35" s="42">
        <f t="shared" si="16"/>
        <v>-4</v>
      </c>
      <c r="AC35" s="94">
        <f t="shared" si="16"/>
        <v>-612</v>
      </c>
      <c r="AD35" s="50">
        <f t="shared" si="16"/>
        <v>-43</v>
      </c>
      <c r="AE35" s="42">
        <f t="shared" si="16"/>
        <v>-2</v>
      </c>
      <c r="AF35" s="94">
        <f t="shared" si="16"/>
        <v>-399</v>
      </c>
      <c r="AG35" s="50">
        <f t="shared" si="16"/>
        <v>-45</v>
      </c>
      <c r="AH35" s="42">
        <f t="shared" si="16"/>
        <v>-2</v>
      </c>
      <c r="AI35" s="94">
        <f t="shared" si="16"/>
        <v>-425</v>
      </c>
      <c r="AJ35" s="50">
        <f t="shared" ref="AJ35:AU35" si="17">ROUND(AJ11*$E35,0)</f>
        <v>-30</v>
      </c>
      <c r="AK35" s="94">
        <f t="shared" si="17"/>
        <v>-1</v>
      </c>
      <c r="AL35" s="57">
        <f t="shared" si="17"/>
        <v>-378</v>
      </c>
      <c r="AM35" s="50">
        <f t="shared" si="17"/>
        <v>0</v>
      </c>
      <c r="AN35" s="94">
        <f t="shared" si="17"/>
        <v>0</v>
      </c>
      <c r="AO35" s="57">
        <f t="shared" si="17"/>
        <v>-388</v>
      </c>
      <c r="AP35" s="50">
        <f t="shared" si="17"/>
        <v>0</v>
      </c>
      <c r="AQ35" s="94">
        <f t="shared" si="17"/>
        <v>0</v>
      </c>
      <c r="AR35" s="140">
        <f t="shared" si="17"/>
        <v>-426</v>
      </c>
      <c r="AS35" s="254">
        <f t="shared" si="17"/>
        <v>0</v>
      </c>
      <c r="AT35" s="169">
        <f t="shared" si="17"/>
        <v>0</v>
      </c>
      <c r="AU35" s="255">
        <f t="shared" si="17"/>
        <v>-403</v>
      </c>
    </row>
    <row r="36" spans="1:47">
      <c r="A36" s="22">
        <v>18</v>
      </c>
      <c r="B36" s="3" t="s">
        <v>22</v>
      </c>
      <c r="C36" s="24"/>
      <c r="D36" s="24"/>
      <c r="E36" s="107"/>
      <c r="F36" s="107"/>
      <c r="G36" s="50">
        <v>0</v>
      </c>
      <c r="H36" s="94"/>
      <c r="I36" s="50">
        <v>-949</v>
      </c>
      <c r="J36" s="94"/>
      <c r="K36" s="50">
        <v>-1696</v>
      </c>
      <c r="L36" s="94"/>
      <c r="M36" s="50">
        <v>-2029</v>
      </c>
      <c r="N36" s="94"/>
      <c r="O36" s="50">
        <v>0</v>
      </c>
      <c r="P36" s="94"/>
      <c r="Q36" s="50">
        <v>-2842</v>
      </c>
      <c r="R36" s="94"/>
      <c r="S36" s="50">
        <v>0</v>
      </c>
      <c r="T36" s="94"/>
      <c r="U36" s="50">
        <v>-3835</v>
      </c>
      <c r="V36" s="94"/>
      <c r="W36" s="94"/>
      <c r="X36" s="50">
        <v>-4381</v>
      </c>
      <c r="Y36" s="94"/>
      <c r="Z36" s="94"/>
      <c r="AA36" s="50">
        <v>-6777</v>
      </c>
      <c r="AB36" s="42"/>
      <c r="AC36" s="94"/>
      <c r="AD36" s="50">
        <v>-8416</v>
      </c>
      <c r="AE36" s="42"/>
      <c r="AF36" s="94"/>
      <c r="AG36" s="50">
        <v>-8953</v>
      </c>
      <c r="AH36" s="42"/>
      <c r="AI36" s="94"/>
      <c r="AJ36" s="50">
        <f>-6212+270</f>
        <v>-5942</v>
      </c>
      <c r="AK36" s="94"/>
      <c r="AL36" s="57"/>
      <c r="AM36" s="50">
        <v>0</v>
      </c>
      <c r="AN36" s="94"/>
      <c r="AO36" s="57"/>
      <c r="AP36" s="50">
        <v>0</v>
      </c>
      <c r="AQ36" s="94"/>
      <c r="AR36" s="140"/>
      <c r="AS36" s="254">
        <v>0</v>
      </c>
      <c r="AT36" s="169"/>
      <c r="AU36" s="255"/>
    </row>
    <row r="37" spans="1:47">
      <c r="A37" s="22">
        <v>19</v>
      </c>
      <c r="B37" s="3" t="s">
        <v>23</v>
      </c>
      <c r="C37" s="24"/>
      <c r="D37" s="24"/>
      <c r="E37" s="107"/>
      <c r="F37" s="107"/>
      <c r="G37" s="50"/>
      <c r="H37" s="94"/>
      <c r="I37" s="50"/>
      <c r="J37" s="94"/>
      <c r="K37" s="50"/>
      <c r="L37" s="94"/>
      <c r="M37" s="50"/>
      <c r="N37" s="94"/>
      <c r="O37" s="50"/>
      <c r="P37" s="94"/>
      <c r="Q37" s="50"/>
      <c r="R37" s="94"/>
      <c r="S37" s="50"/>
      <c r="T37" s="94"/>
      <c r="U37" s="50"/>
      <c r="V37" s="94"/>
      <c r="W37" s="94"/>
      <c r="X37" s="50"/>
      <c r="Y37" s="94"/>
      <c r="Z37" s="94"/>
      <c r="AA37" s="50"/>
      <c r="AB37" s="42"/>
      <c r="AC37" s="94"/>
      <c r="AD37" s="50"/>
      <c r="AE37" s="42"/>
      <c r="AF37" s="94"/>
      <c r="AG37" s="50"/>
      <c r="AH37" s="42"/>
      <c r="AI37" s="94"/>
      <c r="AJ37" s="50"/>
      <c r="AK37" s="94"/>
      <c r="AL37" s="57"/>
      <c r="AM37" s="50"/>
      <c r="AN37" s="94"/>
      <c r="AO37" s="57"/>
      <c r="AP37" s="50"/>
      <c r="AQ37" s="94"/>
      <c r="AR37" s="140"/>
      <c r="AS37" s="254"/>
      <c r="AT37" s="169"/>
      <c r="AU37" s="255"/>
    </row>
    <row r="38" spans="1:47">
      <c r="C38" s="24"/>
      <c r="D38" s="24"/>
      <c r="E38" s="107"/>
      <c r="F38" s="107"/>
      <c r="G38" s="50"/>
      <c r="H38" s="94"/>
      <c r="I38" s="50"/>
      <c r="J38" s="94"/>
      <c r="K38" s="50"/>
      <c r="L38" s="94"/>
      <c r="M38" s="50"/>
      <c r="N38" s="94"/>
      <c r="O38" s="50"/>
      <c r="P38" s="94"/>
      <c r="Q38" s="50"/>
      <c r="R38" s="94"/>
      <c r="S38" s="50"/>
      <c r="T38" s="94"/>
      <c r="U38" s="50"/>
      <c r="V38" s="94"/>
      <c r="W38" s="94"/>
      <c r="X38" s="50"/>
      <c r="Y38" s="94"/>
      <c r="Z38" s="94"/>
      <c r="AA38" s="50"/>
      <c r="AB38" s="42"/>
      <c r="AC38" s="94"/>
      <c r="AD38" s="50"/>
      <c r="AE38" s="42"/>
      <c r="AF38" s="94"/>
      <c r="AG38" s="50"/>
      <c r="AH38" s="42"/>
      <c r="AI38" s="94"/>
      <c r="AJ38" s="50"/>
      <c r="AK38" s="94"/>
      <c r="AL38" s="57"/>
      <c r="AM38" s="50"/>
      <c r="AN38" s="94"/>
      <c r="AO38" s="57"/>
      <c r="AP38" s="50"/>
      <c r="AQ38" s="94"/>
      <c r="AR38" s="140"/>
      <c r="AS38" s="254"/>
      <c r="AT38" s="169"/>
      <c r="AU38" s="255"/>
    </row>
    <row r="39" spans="1:47">
      <c r="B39" s="3" t="s">
        <v>24</v>
      </c>
      <c r="C39" s="24"/>
      <c r="D39" s="24"/>
      <c r="E39" s="107"/>
      <c r="F39" s="107"/>
      <c r="G39" s="50"/>
      <c r="H39" s="94"/>
      <c r="I39" s="50"/>
      <c r="J39" s="94"/>
      <c r="K39" s="50"/>
      <c r="L39" s="94"/>
      <c r="M39" s="50"/>
      <c r="N39" s="94"/>
      <c r="O39" s="50"/>
      <c r="P39" s="94"/>
      <c r="Q39" s="50"/>
      <c r="R39" s="94"/>
      <c r="S39" s="50"/>
      <c r="T39" s="94"/>
      <c r="U39" s="50"/>
      <c r="V39" s="94"/>
      <c r="W39" s="94"/>
      <c r="X39" s="50"/>
      <c r="Y39" s="94"/>
      <c r="Z39" s="94"/>
      <c r="AA39" s="50"/>
      <c r="AB39" s="42"/>
      <c r="AC39" s="94"/>
      <c r="AD39" s="50"/>
      <c r="AE39" s="42"/>
      <c r="AF39" s="94"/>
      <c r="AG39" s="50"/>
      <c r="AH39" s="42"/>
      <c r="AI39" s="94"/>
      <c r="AJ39" s="50"/>
      <c r="AK39" s="94"/>
      <c r="AL39" s="57"/>
      <c r="AM39" s="50"/>
      <c r="AN39" s="94"/>
      <c r="AO39" s="57"/>
      <c r="AP39" s="50"/>
      <c r="AQ39" s="94"/>
      <c r="AR39" s="140"/>
      <c r="AS39" s="254"/>
      <c r="AT39" s="169"/>
      <c r="AU39" s="255"/>
    </row>
    <row r="40" spans="1:47">
      <c r="A40" s="22">
        <v>20</v>
      </c>
      <c r="C40" s="24" t="s">
        <v>17</v>
      </c>
      <c r="D40" s="24"/>
      <c r="E40" s="107">
        <v>2E-3</v>
      </c>
      <c r="F40" s="107"/>
      <c r="G40" s="50">
        <f>ROUND(G11*$E40,0)</f>
        <v>0</v>
      </c>
      <c r="H40" s="94">
        <f>ROUND(H11*$E40,0)</f>
        <v>-120</v>
      </c>
      <c r="I40" s="50">
        <f t="shared" ref="I40:P40" si="18">ROUND(I11*$E40,0)</f>
        <v>-2</v>
      </c>
      <c r="J40" s="94">
        <f t="shared" si="18"/>
        <v>-224</v>
      </c>
      <c r="K40" s="50">
        <f t="shared" si="18"/>
        <v>-4</v>
      </c>
      <c r="L40" s="94">
        <f t="shared" si="18"/>
        <v>-231</v>
      </c>
      <c r="M40" s="50">
        <f t="shared" si="18"/>
        <v>-4</v>
      </c>
      <c r="N40" s="94">
        <f t="shared" si="18"/>
        <v>-203</v>
      </c>
      <c r="O40" s="50">
        <f t="shared" si="18"/>
        <v>0</v>
      </c>
      <c r="P40" s="94">
        <f t="shared" si="18"/>
        <v>-240</v>
      </c>
      <c r="Q40" s="50">
        <f t="shared" ref="Q40:AI40" si="19">ROUND(Q11*$E40,0)</f>
        <v>-6</v>
      </c>
      <c r="R40" s="94">
        <f t="shared" si="19"/>
        <v>-273</v>
      </c>
      <c r="S40" s="50">
        <f t="shared" si="19"/>
        <v>0</v>
      </c>
      <c r="T40" s="94">
        <f t="shared" si="19"/>
        <v>-314</v>
      </c>
      <c r="U40" s="50">
        <f t="shared" si="19"/>
        <v>-8</v>
      </c>
      <c r="V40" s="94">
        <f t="shared" si="19"/>
        <v>0</v>
      </c>
      <c r="W40" s="94">
        <f t="shared" si="19"/>
        <v>-327</v>
      </c>
      <c r="X40" s="50">
        <f t="shared" si="19"/>
        <v>-9</v>
      </c>
      <c r="Y40" s="94">
        <f t="shared" si="19"/>
        <v>-1</v>
      </c>
      <c r="Z40" s="94">
        <f t="shared" si="19"/>
        <v>-309</v>
      </c>
      <c r="AA40" s="50">
        <f t="shared" si="19"/>
        <v>-14</v>
      </c>
      <c r="AB40" s="42">
        <f t="shared" si="19"/>
        <v>-1</v>
      </c>
      <c r="AC40" s="94">
        <f t="shared" si="19"/>
        <v>-253</v>
      </c>
      <c r="AD40" s="50">
        <f t="shared" si="19"/>
        <v>-18</v>
      </c>
      <c r="AE40" s="42">
        <f t="shared" si="19"/>
        <v>-1</v>
      </c>
      <c r="AF40" s="94">
        <f t="shared" si="19"/>
        <v>-165</v>
      </c>
      <c r="AG40" s="50">
        <f t="shared" si="19"/>
        <v>-19</v>
      </c>
      <c r="AH40" s="42">
        <f t="shared" si="19"/>
        <v>-1</v>
      </c>
      <c r="AI40" s="94">
        <f t="shared" si="19"/>
        <v>-176</v>
      </c>
      <c r="AJ40" s="50">
        <f t="shared" ref="AJ40:AT40" si="20">ROUND(AJ11*$E40,0)</f>
        <v>-12</v>
      </c>
      <c r="AK40" s="94">
        <f t="shared" si="20"/>
        <v>0</v>
      </c>
      <c r="AL40" s="57">
        <f t="shared" si="20"/>
        <v>-157</v>
      </c>
      <c r="AM40" s="50">
        <f t="shared" si="20"/>
        <v>0</v>
      </c>
      <c r="AN40" s="94">
        <f t="shared" si="20"/>
        <v>0</v>
      </c>
      <c r="AO40" s="57">
        <f t="shared" si="20"/>
        <v>-161</v>
      </c>
      <c r="AP40" s="50">
        <f t="shared" si="20"/>
        <v>0</v>
      </c>
      <c r="AQ40" s="94">
        <f t="shared" si="20"/>
        <v>0</v>
      </c>
      <c r="AR40" s="140">
        <f t="shared" si="20"/>
        <v>-176</v>
      </c>
      <c r="AS40" s="254">
        <f t="shared" si="20"/>
        <v>0</v>
      </c>
      <c r="AT40" s="169">
        <f t="shared" si="20"/>
        <v>0</v>
      </c>
      <c r="AU40" s="255">
        <f>ROUND(AU11*$E40,0)</f>
        <v>-167</v>
      </c>
    </row>
    <row r="41" spans="1:47">
      <c r="A41" s="22">
        <v>21</v>
      </c>
      <c r="C41" s="24" t="s">
        <v>47</v>
      </c>
      <c r="D41" s="24"/>
      <c r="G41" s="50"/>
      <c r="H41" s="94"/>
      <c r="I41" s="50"/>
      <c r="J41" s="94"/>
      <c r="K41" s="50"/>
      <c r="L41" s="94"/>
      <c r="M41" s="50"/>
      <c r="N41" s="94"/>
      <c r="O41" s="50"/>
      <c r="P41" s="94"/>
      <c r="Q41" s="50"/>
      <c r="R41" s="94"/>
      <c r="S41" s="50"/>
      <c r="T41" s="94"/>
      <c r="U41" s="50"/>
      <c r="V41" s="94">
        <v>-85</v>
      </c>
      <c r="W41" s="94"/>
      <c r="X41" s="50"/>
      <c r="Y41" s="94">
        <v>-432</v>
      </c>
      <c r="Z41" s="94"/>
      <c r="AA41" s="50"/>
      <c r="AB41" s="42">
        <v>-710</v>
      </c>
      <c r="AC41" s="94"/>
      <c r="AD41" s="50"/>
      <c r="AE41" s="42">
        <v>-494</v>
      </c>
      <c r="AF41" s="94"/>
      <c r="AG41" s="50"/>
      <c r="AH41" s="42">
        <v>-494</v>
      </c>
      <c r="AI41" s="94"/>
      <c r="AJ41" s="50"/>
      <c r="AK41" s="94">
        <f>-184+1</f>
        <v>-183</v>
      </c>
      <c r="AL41" s="57"/>
      <c r="AM41" s="50"/>
      <c r="AN41" s="94">
        <v>0</v>
      </c>
      <c r="AO41" s="57"/>
      <c r="AP41" s="50"/>
      <c r="AQ41" s="94">
        <v>0</v>
      </c>
      <c r="AR41" s="140"/>
      <c r="AS41" s="254"/>
      <c r="AT41" s="169">
        <v>0</v>
      </c>
      <c r="AU41" s="255"/>
    </row>
    <row r="42" spans="1:47">
      <c r="A42" s="22">
        <v>22</v>
      </c>
      <c r="C42" s="1" t="s">
        <v>52</v>
      </c>
      <c r="D42" s="24"/>
      <c r="G42" s="50"/>
      <c r="H42" s="94"/>
      <c r="I42" s="50"/>
      <c r="J42" s="94"/>
      <c r="K42" s="50"/>
      <c r="L42" s="94"/>
      <c r="M42" s="50"/>
      <c r="N42" s="94"/>
      <c r="O42" s="50"/>
      <c r="P42" s="94"/>
      <c r="Q42" s="50"/>
      <c r="R42" s="94"/>
      <c r="S42" s="50"/>
      <c r="T42" s="94"/>
      <c r="U42" s="50"/>
      <c r="V42" s="94"/>
      <c r="W42" s="94"/>
      <c r="X42" s="50"/>
      <c r="Y42" s="94"/>
      <c r="Z42" s="94"/>
      <c r="AA42" s="50"/>
      <c r="AB42" s="42"/>
      <c r="AC42" s="94"/>
      <c r="AD42" s="50"/>
      <c r="AE42" s="42"/>
      <c r="AF42" s="94"/>
      <c r="AG42" s="50"/>
      <c r="AH42" s="42"/>
      <c r="AI42" s="94"/>
      <c r="AJ42" s="50"/>
      <c r="AK42" s="94"/>
      <c r="AL42" s="57"/>
      <c r="AM42" s="50"/>
      <c r="AN42" s="94"/>
      <c r="AO42" s="57"/>
      <c r="AP42" s="50"/>
      <c r="AQ42" s="94"/>
      <c r="AR42" s="140"/>
      <c r="AS42" s="254"/>
      <c r="AT42" s="169"/>
      <c r="AU42" s="255"/>
    </row>
    <row r="43" spans="1:47">
      <c r="A43" s="22">
        <v>23</v>
      </c>
      <c r="C43" s="24" t="s">
        <v>4</v>
      </c>
      <c r="D43" s="24"/>
      <c r="G43" s="51"/>
      <c r="H43" s="43"/>
      <c r="I43" s="51"/>
      <c r="J43" s="43"/>
      <c r="K43" s="51"/>
      <c r="L43" s="43"/>
      <c r="M43" s="51"/>
      <c r="N43" s="43"/>
      <c r="O43" s="51"/>
      <c r="P43" s="43"/>
      <c r="Q43" s="51"/>
      <c r="R43" s="43"/>
      <c r="S43" s="51"/>
      <c r="T43" s="43"/>
      <c r="U43" s="51"/>
      <c r="V43" s="43"/>
      <c r="W43" s="43"/>
      <c r="X43" s="51"/>
      <c r="Y43" s="94"/>
      <c r="Z43" s="43"/>
      <c r="AA43" s="51"/>
      <c r="AB43" s="43"/>
      <c r="AC43" s="43"/>
      <c r="AD43" s="51"/>
      <c r="AE43" s="43"/>
      <c r="AF43" s="43"/>
      <c r="AG43" s="51"/>
      <c r="AH43" s="43"/>
      <c r="AI43" s="43"/>
      <c r="AJ43" s="51"/>
      <c r="AK43" s="43"/>
      <c r="AL43" s="58"/>
      <c r="AM43" s="51"/>
      <c r="AN43" s="43"/>
      <c r="AO43" s="58"/>
      <c r="AP43" s="51"/>
      <c r="AQ43" s="43"/>
      <c r="AR43" s="139"/>
      <c r="AS43" s="256"/>
      <c r="AT43" s="257"/>
      <c r="AU43" s="258"/>
    </row>
    <row r="44" spans="1:47">
      <c r="A44" s="22">
        <v>24</v>
      </c>
      <c r="B44" s="24" t="s">
        <v>25</v>
      </c>
      <c r="C44" s="24"/>
      <c r="G44" s="52">
        <f t="shared" ref="G44:P44" si="21">SUM(G40:G43)</f>
        <v>0</v>
      </c>
      <c r="H44" s="44">
        <f>SUM(H40:H43)</f>
        <v>-120</v>
      </c>
      <c r="I44" s="52">
        <f t="shared" si="21"/>
        <v>-2</v>
      </c>
      <c r="J44" s="44">
        <f>SUM(J40:J43)</f>
        <v>-224</v>
      </c>
      <c r="K44" s="52">
        <f t="shared" si="21"/>
        <v>-4</v>
      </c>
      <c r="L44" s="44">
        <f t="shared" si="21"/>
        <v>-231</v>
      </c>
      <c r="M44" s="52">
        <f t="shared" si="21"/>
        <v>-4</v>
      </c>
      <c r="N44" s="44">
        <f t="shared" si="21"/>
        <v>-203</v>
      </c>
      <c r="O44" s="52">
        <f t="shared" si="21"/>
        <v>0</v>
      </c>
      <c r="P44" s="44">
        <f t="shared" si="21"/>
        <v>-240</v>
      </c>
      <c r="Q44" s="52">
        <f t="shared" ref="Q44:AI44" si="22">SUM(Q40:Q43)</f>
        <v>-6</v>
      </c>
      <c r="R44" s="44">
        <f t="shared" si="22"/>
        <v>-273</v>
      </c>
      <c r="S44" s="52">
        <f t="shared" si="22"/>
        <v>0</v>
      </c>
      <c r="T44" s="44">
        <f t="shared" si="22"/>
        <v>-314</v>
      </c>
      <c r="U44" s="52">
        <f t="shared" si="22"/>
        <v>-8</v>
      </c>
      <c r="V44" s="44">
        <f t="shared" si="22"/>
        <v>-85</v>
      </c>
      <c r="W44" s="44">
        <f t="shared" si="22"/>
        <v>-327</v>
      </c>
      <c r="X44" s="52">
        <f t="shared" si="22"/>
        <v>-9</v>
      </c>
      <c r="Y44" s="95">
        <f t="shared" si="22"/>
        <v>-433</v>
      </c>
      <c r="Z44" s="44">
        <f t="shared" si="22"/>
        <v>-309</v>
      </c>
      <c r="AA44" s="52">
        <f t="shared" si="22"/>
        <v>-14</v>
      </c>
      <c r="AB44" s="44">
        <f t="shared" si="22"/>
        <v>-711</v>
      </c>
      <c r="AC44" s="44">
        <f t="shared" si="22"/>
        <v>-253</v>
      </c>
      <c r="AD44" s="52">
        <f t="shared" si="22"/>
        <v>-18</v>
      </c>
      <c r="AE44" s="44">
        <f t="shared" si="22"/>
        <v>-495</v>
      </c>
      <c r="AF44" s="44">
        <f t="shared" si="22"/>
        <v>-165</v>
      </c>
      <c r="AG44" s="52">
        <f t="shared" si="22"/>
        <v>-19</v>
      </c>
      <c r="AH44" s="44">
        <f t="shared" si="22"/>
        <v>-495</v>
      </c>
      <c r="AI44" s="44">
        <f t="shared" si="22"/>
        <v>-176</v>
      </c>
      <c r="AJ44" s="52">
        <f t="shared" ref="AJ44:AU44" si="23">SUM(AJ40:AJ43)</f>
        <v>-12</v>
      </c>
      <c r="AK44" s="44">
        <f t="shared" si="23"/>
        <v>-183</v>
      </c>
      <c r="AL44" s="59">
        <f t="shared" si="23"/>
        <v>-157</v>
      </c>
      <c r="AM44" s="52">
        <f t="shared" si="23"/>
        <v>0</v>
      </c>
      <c r="AN44" s="44">
        <f t="shared" si="23"/>
        <v>0</v>
      </c>
      <c r="AO44" s="59">
        <f t="shared" si="23"/>
        <v>-161</v>
      </c>
      <c r="AP44" s="261">
        <f t="shared" si="23"/>
        <v>0</v>
      </c>
      <c r="AQ44" s="262">
        <f t="shared" si="23"/>
        <v>0</v>
      </c>
      <c r="AR44" s="263">
        <f t="shared" si="23"/>
        <v>-176</v>
      </c>
      <c r="AS44" s="264">
        <f t="shared" si="23"/>
        <v>0</v>
      </c>
      <c r="AT44" s="265">
        <f t="shared" si="23"/>
        <v>0</v>
      </c>
      <c r="AU44" s="266">
        <f t="shared" si="23"/>
        <v>-167</v>
      </c>
    </row>
    <row r="45" spans="1:47">
      <c r="A45" s="22">
        <v>25</v>
      </c>
      <c r="B45" s="3" t="s">
        <v>26</v>
      </c>
      <c r="C45" s="24"/>
      <c r="D45" s="24"/>
      <c r="G45" s="52">
        <f t="shared" ref="G45:P45" si="24">G21+G27+G33+G35+G36+G37+G44</f>
        <v>0</v>
      </c>
      <c r="H45" s="44">
        <f>H21+H27+H33+H35+H36+H37+H44</f>
        <v>-60333</v>
      </c>
      <c r="I45" s="52">
        <f t="shared" si="24"/>
        <v>-994</v>
      </c>
      <c r="J45" s="44">
        <f>J21+J27+J33+J35+J36+J37+J44</f>
        <v>-112080</v>
      </c>
      <c r="K45" s="52">
        <f t="shared" si="24"/>
        <v>-1777</v>
      </c>
      <c r="L45" s="44">
        <f t="shared" si="24"/>
        <v>-115582</v>
      </c>
      <c r="M45" s="52">
        <f t="shared" si="24"/>
        <v>-2124</v>
      </c>
      <c r="N45" s="44">
        <f t="shared" si="24"/>
        <v>-101716</v>
      </c>
      <c r="O45" s="52">
        <f t="shared" si="24"/>
        <v>0</v>
      </c>
      <c r="P45" s="44">
        <f t="shared" si="24"/>
        <v>-119781</v>
      </c>
      <c r="Q45" s="52">
        <f t="shared" ref="Q45:AI45" si="25">Q21+Q27+Q33+Q35+Q36+Q37+Q44</f>
        <v>-2976</v>
      </c>
      <c r="R45" s="44">
        <f t="shared" si="25"/>
        <v>-165017</v>
      </c>
      <c r="S45" s="52">
        <f t="shared" si="25"/>
        <v>0</v>
      </c>
      <c r="T45" s="44">
        <f t="shared" si="25"/>
        <v>-156887</v>
      </c>
      <c r="U45" s="52">
        <f t="shared" si="25"/>
        <v>-4016</v>
      </c>
      <c r="V45" s="44">
        <f t="shared" si="25"/>
        <v>-88</v>
      </c>
      <c r="W45" s="44">
        <f t="shared" si="25"/>
        <v>-230023</v>
      </c>
      <c r="X45" s="52">
        <f t="shared" si="25"/>
        <v>-4588</v>
      </c>
      <c r="Y45" s="95">
        <f t="shared" si="25"/>
        <v>-452</v>
      </c>
      <c r="Z45" s="44">
        <f t="shared" si="25"/>
        <v>-307363</v>
      </c>
      <c r="AA45" s="52">
        <f t="shared" si="25"/>
        <v>-7097</v>
      </c>
      <c r="AB45" s="44">
        <f t="shared" si="25"/>
        <v>-743</v>
      </c>
      <c r="AC45" s="44">
        <f t="shared" si="25"/>
        <v>-210711</v>
      </c>
      <c r="AD45" s="52">
        <f t="shared" si="25"/>
        <v>-8815</v>
      </c>
      <c r="AE45" s="44">
        <f t="shared" si="25"/>
        <v>-517</v>
      </c>
      <c r="AF45" s="44">
        <f t="shared" si="25"/>
        <v>-197907</v>
      </c>
      <c r="AG45" s="52">
        <f t="shared" si="25"/>
        <v>-9376</v>
      </c>
      <c r="AH45" s="44">
        <f t="shared" si="25"/>
        <v>-517</v>
      </c>
      <c r="AI45" s="44">
        <f t="shared" si="25"/>
        <v>-186809</v>
      </c>
      <c r="AJ45" s="52">
        <f t="shared" ref="AJ45:AU45" si="26">AJ21+AJ27+AJ33+AJ35+AJ36+AJ37+AJ44</f>
        <v>-6223</v>
      </c>
      <c r="AK45" s="44">
        <f t="shared" si="26"/>
        <v>-191</v>
      </c>
      <c r="AL45" s="59">
        <f t="shared" si="26"/>
        <v>-146165</v>
      </c>
      <c r="AM45" s="52">
        <f t="shared" si="26"/>
        <v>0</v>
      </c>
      <c r="AN45" s="44">
        <f t="shared" si="26"/>
        <v>0</v>
      </c>
      <c r="AO45" s="59">
        <f t="shared" si="26"/>
        <v>-80433</v>
      </c>
      <c r="AP45" s="261">
        <f t="shared" si="26"/>
        <v>0</v>
      </c>
      <c r="AQ45" s="262">
        <f t="shared" si="26"/>
        <v>0</v>
      </c>
      <c r="AR45" s="263">
        <f t="shared" si="26"/>
        <v>-88169</v>
      </c>
      <c r="AS45" s="264">
        <f t="shared" si="26"/>
        <v>0</v>
      </c>
      <c r="AT45" s="265">
        <f t="shared" si="26"/>
        <v>0</v>
      </c>
      <c r="AU45" s="266">
        <f t="shared" si="26"/>
        <v>-83401</v>
      </c>
    </row>
    <row r="46" spans="1:47">
      <c r="C46" s="24"/>
      <c r="D46" s="24"/>
      <c r="G46" s="50"/>
      <c r="H46" s="94"/>
      <c r="I46" s="50"/>
      <c r="J46" s="94"/>
      <c r="K46" s="50"/>
      <c r="L46" s="94"/>
      <c r="M46" s="50"/>
      <c r="N46" s="94"/>
      <c r="O46" s="50"/>
      <c r="P46" s="94"/>
      <c r="Q46" s="50"/>
      <c r="R46" s="94"/>
      <c r="S46" s="50"/>
      <c r="T46" s="94"/>
      <c r="U46" s="50"/>
      <c r="V46" s="94"/>
      <c r="W46" s="94"/>
      <c r="X46" s="50"/>
      <c r="Y46" s="95"/>
      <c r="Z46" s="94"/>
      <c r="AA46" s="50"/>
      <c r="AB46" s="42"/>
      <c r="AC46" s="94"/>
      <c r="AD46" s="50"/>
      <c r="AE46" s="42"/>
      <c r="AF46" s="94"/>
      <c r="AG46" s="50"/>
      <c r="AH46" s="42"/>
      <c r="AI46" s="94"/>
      <c r="AJ46" s="50"/>
      <c r="AK46" s="94"/>
      <c r="AL46" s="57"/>
      <c r="AM46" s="50"/>
      <c r="AN46" s="94"/>
      <c r="AO46" s="57"/>
      <c r="AP46" s="50"/>
      <c r="AQ46" s="94"/>
      <c r="AR46" s="140"/>
      <c r="AS46" s="254"/>
      <c r="AT46" s="169"/>
      <c r="AU46" s="255"/>
    </row>
    <row r="47" spans="1:47">
      <c r="A47" s="22">
        <v>26</v>
      </c>
      <c r="B47" s="3" t="s">
        <v>27</v>
      </c>
      <c r="C47" s="24"/>
      <c r="D47" s="24"/>
      <c r="G47" s="50">
        <f>G14-G45</f>
        <v>0</v>
      </c>
      <c r="H47" s="94">
        <f>H14-H45</f>
        <v>0</v>
      </c>
      <c r="I47" s="50">
        <f t="shared" ref="I47:P47" si="27">I14-I45</f>
        <v>0</v>
      </c>
      <c r="J47" s="94">
        <f t="shared" si="27"/>
        <v>0</v>
      </c>
      <c r="K47" s="50">
        <f t="shared" si="27"/>
        <v>0</v>
      </c>
      <c r="L47" s="94">
        <f t="shared" si="27"/>
        <v>1</v>
      </c>
      <c r="M47" s="50">
        <f t="shared" si="27"/>
        <v>0</v>
      </c>
      <c r="N47" s="94">
        <f t="shared" si="27"/>
        <v>-1</v>
      </c>
      <c r="O47" s="50">
        <f t="shared" si="27"/>
        <v>0</v>
      </c>
      <c r="P47" s="94">
        <f t="shared" si="27"/>
        <v>0</v>
      </c>
      <c r="Q47" s="50">
        <f t="shared" ref="Q47:AI47" si="28">Q14-Q45</f>
        <v>0</v>
      </c>
      <c r="R47" s="94">
        <f t="shared" si="28"/>
        <v>-1</v>
      </c>
      <c r="S47" s="50">
        <f t="shared" si="28"/>
        <v>0</v>
      </c>
      <c r="T47" s="94">
        <f t="shared" si="28"/>
        <v>1</v>
      </c>
      <c r="U47" s="50">
        <f t="shared" si="28"/>
        <v>0</v>
      </c>
      <c r="V47" s="94">
        <f t="shared" si="28"/>
        <v>0</v>
      </c>
      <c r="W47" s="94">
        <f t="shared" si="28"/>
        <v>0</v>
      </c>
      <c r="X47" s="50">
        <f t="shared" si="28"/>
        <v>0</v>
      </c>
      <c r="Y47" s="94">
        <f t="shared" si="28"/>
        <v>1</v>
      </c>
      <c r="Z47" s="94">
        <f t="shared" si="28"/>
        <v>0</v>
      </c>
      <c r="AA47" s="50">
        <f t="shared" si="28"/>
        <v>-1</v>
      </c>
      <c r="AB47" s="42">
        <f t="shared" si="28"/>
        <v>0</v>
      </c>
      <c r="AC47" s="94">
        <f t="shared" si="28"/>
        <v>-1</v>
      </c>
      <c r="AD47" s="50">
        <f t="shared" si="28"/>
        <v>1</v>
      </c>
      <c r="AE47" s="42">
        <f t="shared" si="28"/>
        <v>0</v>
      </c>
      <c r="AF47" s="94">
        <f t="shared" si="28"/>
        <v>-1</v>
      </c>
      <c r="AG47" s="50">
        <f t="shared" si="28"/>
        <v>0</v>
      </c>
      <c r="AH47" s="42">
        <f t="shared" si="28"/>
        <v>0</v>
      </c>
      <c r="AI47" s="94">
        <f t="shared" si="28"/>
        <v>1</v>
      </c>
      <c r="AJ47" s="50">
        <f t="shared" ref="AJ47:AU47" si="29">AJ14-AJ45</f>
        <v>0</v>
      </c>
      <c r="AK47" s="94">
        <f t="shared" si="29"/>
        <v>0</v>
      </c>
      <c r="AL47" s="57">
        <f t="shared" si="29"/>
        <v>0</v>
      </c>
      <c r="AM47" s="50">
        <f t="shared" si="29"/>
        <v>0</v>
      </c>
      <c r="AN47" s="94">
        <f t="shared" si="29"/>
        <v>0</v>
      </c>
      <c r="AO47" s="57">
        <f t="shared" si="29"/>
        <v>0</v>
      </c>
      <c r="AP47" s="50">
        <f t="shared" si="29"/>
        <v>0</v>
      </c>
      <c r="AQ47" s="94">
        <f t="shared" si="29"/>
        <v>0</v>
      </c>
      <c r="AR47" s="140">
        <f t="shared" si="29"/>
        <v>0</v>
      </c>
      <c r="AS47" s="254">
        <f t="shared" si="29"/>
        <v>0</v>
      </c>
      <c r="AT47" s="169">
        <f t="shared" si="29"/>
        <v>0</v>
      </c>
      <c r="AU47" s="255">
        <f t="shared" si="29"/>
        <v>1</v>
      </c>
    </row>
    <row r="48" spans="1:47">
      <c r="C48" s="24"/>
      <c r="D48" s="24"/>
      <c r="G48" s="50"/>
      <c r="H48" s="94"/>
      <c r="I48" s="50"/>
      <c r="J48" s="94"/>
      <c r="K48" s="50"/>
      <c r="L48" s="94"/>
      <c r="M48" s="50"/>
      <c r="N48" s="94"/>
      <c r="O48" s="50"/>
      <c r="P48" s="94"/>
      <c r="Q48" s="50"/>
      <c r="R48" s="94"/>
      <c r="S48" s="50"/>
      <c r="T48" s="94"/>
      <c r="U48" s="50"/>
      <c r="V48" s="94"/>
      <c r="W48" s="94"/>
      <c r="X48" s="50"/>
      <c r="Y48" s="94"/>
      <c r="Z48" s="94"/>
      <c r="AA48" s="50"/>
      <c r="AB48" s="42"/>
      <c r="AC48" s="94"/>
      <c r="AD48" s="50"/>
      <c r="AE48" s="42"/>
      <c r="AF48" s="94"/>
      <c r="AG48" s="50"/>
      <c r="AH48" s="42"/>
      <c r="AI48" s="94"/>
      <c r="AJ48" s="50"/>
      <c r="AK48" s="94"/>
      <c r="AL48" s="57"/>
      <c r="AM48" s="50"/>
      <c r="AN48" s="94"/>
      <c r="AO48" s="57"/>
      <c r="AP48" s="50"/>
      <c r="AQ48" s="94"/>
      <c r="AR48" s="140"/>
      <c r="AS48" s="254"/>
      <c r="AT48" s="169"/>
      <c r="AU48" s="255"/>
    </row>
    <row r="49" spans="1:47">
      <c r="B49" s="3" t="s">
        <v>28</v>
      </c>
      <c r="C49" s="24"/>
      <c r="D49" s="24"/>
      <c r="G49" s="50"/>
      <c r="H49" s="94"/>
      <c r="I49" s="50"/>
      <c r="J49" s="94"/>
      <c r="K49" s="50"/>
      <c r="L49" s="94"/>
      <c r="M49" s="50"/>
      <c r="N49" s="94"/>
      <c r="O49" s="50"/>
      <c r="P49" s="94"/>
      <c r="Q49" s="50"/>
      <c r="R49" s="94"/>
      <c r="S49" s="50"/>
      <c r="T49" s="94"/>
      <c r="U49" s="50"/>
      <c r="V49" s="94"/>
      <c r="W49" s="94"/>
      <c r="X49" s="50"/>
      <c r="Y49" s="94"/>
      <c r="Z49" s="94"/>
      <c r="AA49" s="50"/>
      <c r="AB49" s="42"/>
      <c r="AC49" s="94"/>
      <c r="AD49" s="50"/>
      <c r="AE49" s="42"/>
      <c r="AF49" s="94"/>
      <c r="AG49" s="50"/>
      <c r="AH49" s="42"/>
      <c r="AI49" s="94"/>
      <c r="AJ49" s="50"/>
      <c r="AK49" s="94"/>
      <c r="AL49" s="57"/>
      <c r="AM49" s="50"/>
      <c r="AN49" s="94"/>
      <c r="AO49" s="57"/>
      <c r="AP49" s="50"/>
      <c r="AQ49" s="94"/>
      <c r="AR49" s="140"/>
      <c r="AS49" s="254"/>
      <c r="AT49" s="169"/>
      <c r="AU49" s="255"/>
    </row>
    <row r="50" spans="1:47">
      <c r="A50" s="22">
        <v>27</v>
      </c>
      <c r="B50" s="24" t="s">
        <v>29</v>
      </c>
      <c r="D50" s="24"/>
      <c r="G50" s="50"/>
      <c r="H50" s="94"/>
      <c r="I50" s="50"/>
      <c r="J50" s="94"/>
      <c r="K50" s="50"/>
      <c r="L50" s="94"/>
      <c r="M50" s="50"/>
      <c r="N50" s="94"/>
      <c r="O50" s="50"/>
      <c r="P50" s="94"/>
      <c r="Q50" s="50"/>
      <c r="R50" s="94"/>
      <c r="S50" s="50"/>
      <c r="T50" s="94"/>
      <c r="U50" s="50"/>
      <c r="V50" s="94"/>
      <c r="W50" s="94"/>
      <c r="X50" s="50"/>
      <c r="Y50" s="94"/>
      <c r="Z50" s="94"/>
      <c r="AA50" s="50"/>
      <c r="AB50" s="42"/>
      <c r="AC50" s="94"/>
      <c r="AD50" s="50"/>
      <c r="AE50" s="42"/>
      <c r="AF50" s="94"/>
      <c r="AG50" s="50"/>
      <c r="AH50" s="42"/>
      <c r="AI50" s="94"/>
      <c r="AJ50" s="50"/>
      <c r="AK50" s="94"/>
      <c r="AL50" s="57"/>
      <c r="AM50" s="50"/>
      <c r="AN50" s="94"/>
      <c r="AO50" s="57"/>
      <c r="AP50" s="50"/>
      <c r="AQ50" s="94"/>
      <c r="AR50" s="140"/>
      <c r="AS50" s="254"/>
      <c r="AT50" s="169"/>
      <c r="AU50" s="255"/>
    </row>
    <row r="51" spans="1:47">
      <c r="A51" s="22">
        <v>28</v>
      </c>
      <c r="B51" s="24" t="s">
        <v>46</v>
      </c>
      <c r="D51" s="24"/>
      <c r="G51" s="50"/>
      <c r="H51" s="94"/>
      <c r="I51" s="50"/>
      <c r="J51" s="94"/>
      <c r="K51" s="50"/>
      <c r="L51" s="94"/>
      <c r="M51" s="50"/>
      <c r="N51" s="94"/>
      <c r="O51" s="50"/>
      <c r="P51" s="94"/>
      <c r="Q51" s="50"/>
      <c r="R51" s="94"/>
      <c r="S51" s="50"/>
      <c r="T51" s="94"/>
      <c r="U51" s="50"/>
      <c r="V51" s="94"/>
      <c r="W51" s="94"/>
      <c r="X51" s="50"/>
      <c r="Y51" s="94"/>
      <c r="Z51" s="94"/>
      <c r="AA51" s="50"/>
      <c r="AB51" s="42"/>
      <c r="AC51" s="94"/>
      <c r="AD51" s="50"/>
      <c r="AE51" s="42"/>
      <c r="AF51" s="94"/>
      <c r="AG51" s="50"/>
      <c r="AH51" s="42"/>
      <c r="AI51" s="94"/>
      <c r="AJ51" s="50"/>
      <c r="AK51" s="94"/>
      <c r="AL51" s="57"/>
      <c r="AM51" s="50"/>
      <c r="AN51" s="94"/>
      <c r="AO51" s="57"/>
      <c r="AP51" s="50"/>
      <c r="AQ51" s="94"/>
      <c r="AR51" s="140"/>
      <c r="AS51" s="254"/>
      <c r="AT51" s="169"/>
      <c r="AU51" s="255"/>
    </row>
    <row r="52" spans="1:47">
      <c r="A52" s="22">
        <v>29</v>
      </c>
      <c r="B52" s="24" t="s">
        <v>30</v>
      </c>
      <c r="D52" s="24"/>
      <c r="G52" s="50"/>
      <c r="H52" s="94"/>
      <c r="I52" s="50"/>
      <c r="J52" s="94"/>
      <c r="K52" s="50"/>
      <c r="L52" s="94"/>
      <c r="M52" s="50"/>
      <c r="N52" s="94"/>
      <c r="O52" s="50"/>
      <c r="P52" s="94"/>
      <c r="Q52" s="50"/>
      <c r="R52" s="94"/>
      <c r="S52" s="50"/>
      <c r="T52" s="94"/>
      <c r="U52" s="50"/>
      <c r="V52" s="94"/>
      <c r="W52" s="94"/>
      <c r="X52" s="50"/>
      <c r="Y52" s="94"/>
      <c r="Z52" s="94"/>
      <c r="AA52" s="50"/>
      <c r="AB52" s="42"/>
      <c r="AC52" s="94"/>
      <c r="AD52" s="50"/>
      <c r="AE52" s="42"/>
      <c r="AF52" s="94"/>
      <c r="AG52" s="50"/>
      <c r="AH52" s="42"/>
      <c r="AI52" s="94"/>
      <c r="AJ52" s="50"/>
      <c r="AK52" s="94"/>
      <c r="AL52" s="57"/>
      <c r="AM52" s="50"/>
      <c r="AN52" s="94"/>
      <c r="AO52" s="57"/>
      <c r="AP52" s="50"/>
      <c r="AQ52" s="94"/>
      <c r="AR52" s="140"/>
      <c r="AS52" s="254"/>
      <c r="AT52" s="169"/>
      <c r="AU52" s="255"/>
    </row>
    <row r="53" spans="1:47">
      <c r="A53" s="22">
        <v>30</v>
      </c>
      <c r="B53" s="24" t="s">
        <v>31</v>
      </c>
      <c r="D53" s="24"/>
      <c r="G53" s="51"/>
      <c r="H53" s="43"/>
      <c r="I53" s="51"/>
      <c r="J53" s="43"/>
      <c r="K53" s="51"/>
      <c r="L53" s="43"/>
      <c r="M53" s="51"/>
      <c r="N53" s="43"/>
      <c r="O53" s="51"/>
      <c r="P53" s="43"/>
      <c r="Q53" s="51"/>
      <c r="R53" s="43"/>
      <c r="S53" s="51"/>
      <c r="T53" s="43"/>
      <c r="U53" s="51"/>
      <c r="V53" s="43"/>
      <c r="W53" s="43"/>
      <c r="X53" s="51"/>
      <c r="Y53" s="94"/>
      <c r="Z53" s="43"/>
      <c r="AA53" s="51"/>
      <c r="AB53" s="43"/>
      <c r="AC53" s="43"/>
      <c r="AD53" s="51"/>
      <c r="AE53" s="43"/>
      <c r="AF53" s="43"/>
      <c r="AG53" s="51"/>
      <c r="AH53" s="43"/>
      <c r="AI53" s="43"/>
      <c r="AJ53" s="51"/>
      <c r="AK53" s="43"/>
      <c r="AL53" s="58"/>
      <c r="AM53" s="51"/>
      <c r="AN53" s="43"/>
      <c r="AO53" s="58"/>
      <c r="AP53" s="51"/>
      <c r="AQ53" s="43"/>
      <c r="AR53" s="139"/>
      <c r="AS53" s="256"/>
      <c r="AT53" s="257"/>
      <c r="AU53" s="258"/>
    </row>
    <row r="54" spans="1:47">
      <c r="G54" s="50"/>
      <c r="H54" s="94"/>
      <c r="I54" s="50"/>
      <c r="J54" s="94"/>
      <c r="K54" s="50"/>
      <c r="L54" s="94"/>
      <c r="M54" s="50"/>
      <c r="N54" s="94"/>
      <c r="O54" s="50"/>
      <c r="P54" s="94"/>
      <c r="Q54" s="50"/>
      <c r="R54" s="94"/>
      <c r="S54" s="50"/>
      <c r="T54" s="94"/>
      <c r="U54" s="50"/>
      <c r="V54" s="94"/>
      <c r="W54" s="94"/>
      <c r="X54" s="50"/>
      <c r="Y54" s="95"/>
      <c r="Z54" s="94"/>
      <c r="AA54" s="50"/>
      <c r="AB54" s="42"/>
      <c r="AC54" s="94"/>
      <c r="AD54" s="50"/>
      <c r="AE54" s="42"/>
      <c r="AF54" s="94"/>
      <c r="AG54" s="50"/>
      <c r="AH54" s="42"/>
      <c r="AI54" s="94"/>
      <c r="AJ54" s="50"/>
      <c r="AK54" s="94"/>
      <c r="AL54" s="57"/>
      <c r="AM54" s="50"/>
      <c r="AN54" s="94"/>
      <c r="AO54" s="57"/>
      <c r="AP54" s="50"/>
      <c r="AQ54" s="94"/>
      <c r="AR54" s="140"/>
      <c r="AS54" s="254"/>
      <c r="AT54" s="169"/>
      <c r="AU54" s="255"/>
    </row>
    <row r="55" spans="1:47">
      <c r="A55" s="22">
        <v>31</v>
      </c>
      <c r="B55" s="23" t="s">
        <v>32</v>
      </c>
      <c r="C55" s="23"/>
      <c r="D55" s="23"/>
      <c r="G55" s="50">
        <f>G47-G50-G51-G52-G53</f>
        <v>0</v>
      </c>
      <c r="H55" s="94">
        <f>H47-H50-H51-H52-H53</f>
        <v>0</v>
      </c>
      <c r="I55" s="50">
        <f t="shared" ref="I55:P55" si="30">I47-I50-I51-I52-I53</f>
        <v>0</v>
      </c>
      <c r="J55" s="94">
        <f t="shared" si="30"/>
        <v>0</v>
      </c>
      <c r="K55" s="50">
        <f t="shared" si="30"/>
        <v>0</v>
      </c>
      <c r="L55" s="94">
        <f t="shared" si="30"/>
        <v>1</v>
      </c>
      <c r="M55" s="50">
        <f t="shared" si="30"/>
        <v>0</v>
      </c>
      <c r="N55" s="94">
        <f t="shared" si="30"/>
        <v>-1</v>
      </c>
      <c r="O55" s="50">
        <f t="shared" si="30"/>
        <v>0</v>
      </c>
      <c r="P55" s="94">
        <f t="shared" si="30"/>
        <v>0</v>
      </c>
      <c r="Q55" s="50">
        <f t="shared" ref="Q55:AI55" si="31">Q47-Q50-Q51-Q52-Q53</f>
        <v>0</v>
      </c>
      <c r="R55" s="94">
        <f t="shared" si="31"/>
        <v>-1</v>
      </c>
      <c r="S55" s="50">
        <f t="shared" si="31"/>
        <v>0</v>
      </c>
      <c r="T55" s="94">
        <f t="shared" si="31"/>
        <v>1</v>
      </c>
      <c r="U55" s="50">
        <f t="shared" si="31"/>
        <v>0</v>
      </c>
      <c r="V55" s="94">
        <f t="shared" si="31"/>
        <v>0</v>
      </c>
      <c r="W55" s="94">
        <f t="shared" si="31"/>
        <v>0</v>
      </c>
      <c r="X55" s="50">
        <f t="shared" si="31"/>
        <v>0</v>
      </c>
      <c r="Y55" s="94">
        <f t="shared" si="31"/>
        <v>1</v>
      </c>
      <c r="Z55" s="94">
        <f t="shared" si="31"/>
        <v>0</v>
      </c>
      <c r="AA55" s="50">
        <f t="shared" si="31"/>
        <v>-1</v>
      </c>
      <c r="AB55" s="42">
        <f t="shared" si="31"/>
        <v>0</v>
      </c>
      <c r="AC55" s="94">
        <f t="shared" si="31"/>
        <v>-1</v>
      </c>
      <c r="AD55" s="50">
        <f t="shared" si="31"/>
        <v>1</v>
      </c>
      <c r="AE55" s="42">
        <f t="shared" si="31"/>
        <v>0</v>
      </c>
      <c r="AF55" s="94">
        <f t="shared" si="31"/>
        <v>-1</v>
      </c>
      <c r="AG55" s="50">
        <f t="shared" si="31"/>
        <v>0</v>
      </c>
      <c r="AH55" s="42">
        <f t="shared" si="31"/>
        <v>0</v>
      </c>
      <c r="AI55" s="94">
        <f t="shared" si="31"/>
        <v>1</v>
      </c>
      <c r="AJ55" s="50">
        <f t="shared" ref="AJ55:AU55" si="32">AJ47-AJ50-AJ51-AJ52-AJ53</f>
        <v>0</v>
      </c>
      <c r="AK55" s="94">
        <f t="shared" si="32"/>
        <v>0</v>
      </c>
      <c r="AL55" s="57">
        <f t="shared" si="32"/>
        <v>0</v>
      </c>
      <c r="AM55" s="50">
        <f t="shared" si="32"/>
        <v>0</v>
      </c>
      <c r="AN55" s="94">
        <f t="shared" si="32"/>
        <v>0</v>
      </c>
      <c r="AO55" s="57">
        <f t="shared" si="32"/>
        <v>0</v>
      </c>
      <c r="AP55" s="50">
        <f t="shared" si="32"/>
        <v>0</v>
      </c>
      <c r="AQ55" s="94">
        <f t="shared" si="32"/>
        <v>0</v>
      </c>
      <c r="AR55" s="140">
        <f t="shared" si="32"/>
        <v>0</v>
      </c>
      <c r="AS55" s="254">
        <f t="shared" si="32"/>
        <v>0</v>
      </c>
      <c r="AT55" s="169">
        <f t="shared" si="32"/>
        <v>0</v>
      </c>
      <c r="AU55" s="255">
        <f t="shared" si="32"/>
        <v>1</v>
      </c>
    </row>
    <row r="56" spans="1:47">
      <c r="G56" s="45"/>
      <c r="H56" s="90"/>
      <c r="I56" s="45"/>
      <c r="J56" s="90"/>
      <c r="K56" s="45"/>
      <c r="L56" s="90"/>
      <c r="M56" s="45"/>
      <c r="N56" s="90"/>
      <c r="O56" s="45"/>
      <c r="P56" s="90"/>
      <c r="Q56" s="45"/>
      <c r="R56" s="90"/>
      <c r="S56" s="45"/>
      <c r="T56" s="90"/>
      <c r="U56" s="45"/>
      <c r="V56" s="90"/>
      <c r="W56" s="90"/>
      <c r="X56" s="45"/>
      <c r="Y56" s="90"/>
      <c r="Z56" s="90"/>
      <c r="AA56" s="45"/>
      <c r="AC56" s="90"/>
      <c r="AD56" s="45"/>
      <c r="AF56" s="90"/>
      <c r="AG56" s="45"/>
      <c r="AI56" s="90"/>
      <c r="AJ56" s="45"/>
      <c r="AK56" s="90"/>
      <c r="AL56" s="90"/>
      <c r="AM56" s="45"/>
      <c r="AN56" s="90"/>
      <c r="AO56" s="90"/>
      <c r="AP56" s="45"/>
      <c r="AQ56" s="90"/>
      <c r="AR56" s="110"/>
      <c r="AS56" s="243"/>
      <c r="AT56" s="244"/>
      <c r="AU56" s="244"/>
    </row>
    <row r="57" spans="1:47">
      <c r="B57" s="28" t="s">
        <v>177</v>
      </c>
      <c r="C57" s="28"/>
      <c r="D57" s="28"/>
      <c r="K57" s="90"/>
      <c r="S57" s="90"/>
      <c r="AS57" s="168"/>
      <c r="AT57" s="168"/>
      <c r="AU57" s="168"/>
    </row>
    <row r="58" spans="1:47">
      <c r="B58" s="3" t="s">
        <v>70</v>
      </c>
      <c r="C58" s="3" t="s">
        <v>71</v>
      </c>
      <c r="K58" s="90"/>
      <c r="S58" s="90"/>
      <c r="AS58" s="168"/>
      <c r="AT58" s="168"/>
      <c r="AU58" s="168"/>
    </row>
    <row r="59" spans="1:47">
      <c r="B59" s="3" t="s">
        <v>175</v>
      </c>
      <c r="D59" s="3" t="s">
        <v>176</v>
      </c>
      <c r="K59" s="90"/>
      <c r="S59" s="90"/>
      <c r="AS59" s="168"/>
      <c r="AT59" s="168"/>
      <c r="AU59" s="168"/>
    </row>
    <row r="60" spans="1:47" ht="6" customHeight="1">
      <c r="K60" s="90"/>
      <c r="S60" s="90"/>
      <c r="AS60" s="168"/>
      <c r="AT60" s="168"/>
      <c r="AU60" s="168"/>
    </row>
    <row r="61" spans="1:47">
      <c r="D61" s="3" t="s">
        <v>112</v>
      </c>
      <c r="G61" s="79"/>
      <c r="H61" s="79">
        <v>242</v>
      </c>
      <c r="I61" s="79"/>
      <c r="J61" s="79">
        <v>244</v>
      </c>
      <c r="K61" s="79"/>
      <c r="L61" s="79">
        <v>144</v>
      </c>
      <c r="M61" s="79"/>
      <c r="N61" s="79">
        <v>0</v>
      </c>
      <c r="O61" s="79"/>
      <c r="P61" s="79">
        <v>0</v>
      </c>
      <c r="Q61" s="79"/>
      <c r="R61" s="79">
        <f>27855+479</f>
        <v>28334</v>
      </c>
      <c r="S61" s="79"/>
      <c r="T61" s="79">
        <f>36725+0</f>
        <v>36725</v>
      </c>
      <c r="U61" s="79"/>
      <c r="V61" s="79"/>
      <c r="W61" s="79">
        <f>66526+160</f>
        <v>66686</v>
      </c>
      <c r="X61" s="79"/>
      <c r="Y61" s="79"/>
      <c r="Z61" s="79">
        <f>149894+3124</f>
        <v>153018</v>
      </c>
      <c r="AA61" s="79"/>
      <c r="AB61" s="79"/>
      <c r="AC61" s="79">
        <f>78622+5370</f>
        <v>83992</v>
      </c>
      <c r="AD61" s="79"/>
      <c r="AE61" s="79"/>
      <c r="AF61" s="79">
        <f>109009+6184</f>
        <v>115193</v>
      </c>
      <c r="AG61" s="79"/>
      <c r="AH61" s="79"/>
      <c r="AI61" s="79">
        <f>94024+4770</f>
        <v>98794</v>
      </c>
      <c r="AJ61" s="79"/>
      <c r="AK61" s="79"/>
      <c r="AL61" s="79">
        <f>63689+4133</f>
        <v>67822</v>
      </c>
      <c r="AM61" s="79"/>
      <c r="AN61" s="79"/>
      <c r="AO61" s="79">
        <v>0</v>
      </c>
      <c r="AP61" s="167"/>
      <c r="AQ61" s="167"/>
      <c r="AR61" s="170">
        <v>0</v>
      </c>
      <c r="AS61" s="267"/>
      <c r="AT61" s="267"/>
      <c r="AU61" s="267">
        <v>0</v>
      </c>
    </row>
    <row r="62" spans="1:47">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167"/>
      <c r="AQ62" s="167"/>
      <c r="AR62" s="170"/>
      <c r="AS62" s="267"/>
      <c r="AT62" s="267"/>
      <c r="AU62" s="267"/>
    </row>
    <row r="63" spans="1:47">
      <c r="D63" s="3" t="s">
        <v>113</v>
      </c>
      <c r="G63" s="79"/>
      <c r="H63" s="79">
        <f>125+38</f>
        <v>163</v>
      </c>
      <c r="I63" s="79"/>
      <c r="J63" s="79">
        <f>134+98</f>
        <v>232</v>
      </c>
      <c r="K63" s="79"/>
      <c r="L63" s="79">
        <f>131+128+2</f>
        <v>261</v>
      </c>
      <c r="M63" s="79"/>
      <c r="N63" s="79">
        <f>142+141+2</f>
        <v>285</v>
      </c>
      <c r="O63" s="79"/>
      <c r="P63" s="79">
        <f>148+181+48-8</f>
        <v>369</v>
      </c>
      <c r="Q63" s="79"/>
      <c r="R63" s="79">
        <f>643+8</f>
        <v>651</v>
      </c>
      <c r="S63" s="79"/>
      <c r="T63" s="79">
        <v>653</v>
      </c>
      <c r="U63" s="79"/>
      <c r="V63" s="79"/>
      <c r="W63" s="79">
        <v>792</v>
      </c>
      <c r="X63" s="79"/>
      <c r="Y63" s="79"/>
      <c r="Z63" s="79">
        <v>783</v>
      </c>
      <c r="AA63" s="79"/>
      <c r="AB63" s="79"/>
      <c r="AC63" s="79">
        <v>802</v>
      </c>
      <c r="AD63" s="79"/>
      <c r="AE63" s="79"/>
      <c r="AF63" s="79">
        <f>801-1</f>
        <v>800</v>
      </c>
      <c r="AG63" s="79"/>
      <c r="AH63" s="79"/>
      <c r="AI63" s="79">
        <f>903+78</f>
        <v>981</v>
      </c>
      <c r="AJ63" s="79"/>
      <c r="AK63" s="79"/>
      <c r="AL63" s="79">
        <f>857+71</f>
        <v>928</v>
      </c>
      <c r="AM63" s="79"/>
      <c r="AN63" s="79"/>
      <c r="AO63" s="79">
        <v>891</v>
      </c>
      <c r="AP63" s="167"/>
      <c r="AQ63" s="167"/>
      <c r="AR63" s="170">
        <v>779</v>
      </c>
      <c r="AS63" s="267"/>
      <c r="AT63" s="267"/>
      <c r="AU63" s="255">
        <v>840</v>
      </c>
    </row>
    <row r="64" spans="1:47">
      <c r="K64" s="90"/>
      <c r="S64" s="79"/>
      <c r="T64" s="79"/>
      <c r="U64" s="79"/>
      <c r="V64" s="79"/>
      <c r="W64" s="79"/>
      <c r="X64" s="79"/>
      <c r="Y64" s="79"/>
      <c r="Z64" s="79"/>
      <c r="AA64" s="79"/>
      <c r="AB64" s="79"/>
      <c r="AC64" s="79"/>
      <c r="AD64" s="79"/>
      <c r="AE64" s="79"/>
      <c r="AF64" s="79"/>
      <c r="AG64" s="79"/>
      <c r="AH64" s="79"/>
      <c r="AI64" s="79"/>
      <c r="AJ64" s="79"/>
      <c r="AK64" s="79"/>
      <c r="AL64" s="79"/>
      <c r="AM64" s="79"/>
      <c r="AN64" s="79"/>
      <c r="AO64" s="79"/>
      <c r="AP64" s="167"/>
      <c r="AQ64" s="167"/>
      <c r="AR64" s="170"/>
      <c r="AS64" s="267"/>
      <c r="AT64" s="267"/>
      <c r="AU64" s="267"/>
    </row>
    <row r="65" spans="4:47">
      <c r="D65" s="3" t="s">
        <v>114</v>
      </c>
      <c r="H65" s="100">
        <f>'Cost Trends'!F22+H21</f>
        <v>163</v>
      </c>
      <c r="J65" s="100">
        <f>'Cost Trends'!G22+J21</f>
        <v>232</v>
      </c>
      <c r="K65" s="90"/>
      <c r="L65" s="100">
        <f>'Cost Trends'!H22+L21</f>
        <v>261</v>
      </c>
      <c r="N65" s="100">
        <f>'Cost Trends'!I22+N21</f>
        <v>285</v>
      </c>
      <c r="P65" s="100">
        <f>'Cost Trends'!J22+P21</f>
        <v>369</v>
      </c>
      <c r="R65" s="100">
        <f>'Cost Trends'!K22+R21</f>
        <v>651</v>
      </c>
      <c r="T65" s="100">
        <f>'Cost Trends'!L22+T21</f>
        <v>653</v>
      </c>
      <c r="W65" s="100">
        <f>'Cost Trends'!M22+W21</f>
        <v>792</v>
      </c>
      <c r="Z65" s="100">
        <f>'Cost Trends'!N22+Z21</f>
        <v>783</v>
      </c>
      <c r="AC65" s="100">
        <f>'Cost Trends'!O22+AC21</f>
        <v>802</v>
      </c>
      <c r="AF65" s="100">
        <f>'Cost Trends'!P22+AF21</f>
        <v>800</v>
      </c>
      <c r="AI65" s="100">
        <f>'Cost Trends'!Q22+AI21</f>
        <v>981</v>
      </c>
      <c r="AL65" s="100">
        <f>'Cost Trends'!R22+AL21</f>
        <v>928</v>
      </c>
      <c r="AO65" s="100">
        <f>'Cost Trends'!S22+AO21</f>
        <v>891</v>
      </c>
      <c r="AR65" s="152">
        <v>779</v>
      </c>
      <c r="AS65" s="168"/>
      <c r="AT65" s="168"/>
      <c r="AU65" s="268">
        <v>840</v>
      </c>
    </row>
  </sheetData>
  <mergeCells count="4">
    <mergeCell ref="AJ6:AL6"/>
    <mergeCell ref="AM6:AO6"/>
    <mergeCell ref="AP6:AR6"/>
    <mergeCell ref="AS6:AU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6" tint="0.39997558519241921"/>
  </sheetPr>
  <dimension ref="A1:T68"/>
  <sheetViews>
    <sheetView topLeftCell="A52" workbookViewId="0">
      <selection activeCell="D10" sqref="D10"/>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03"/>
    <col min="20" max="20" width="9.140625" style="103"/>
  </cols>
  <sheetData>
    <row r="1" spans="1:20">
      <c r="A1" s="76" t="s">
        <v>89</v>
      </c>
      <c r="B1" s="76"/>
      <c r="C1" s="76"/>
      <c r="D1" s="76"/>
      <c r="E1" s="76"/>
      <c r="F1" s="76"/>
      <c r="G1" s="76"/>
      <c r="H1" s="76"/>
      <c r="I1" s="76"/>
      <c r="J1" s="76"/>
      <c r="K1" s="76"/>
      <c r="L1" s="76"/>
      <c r="M1" s="76"/>
      <c r="N1" s="76"/>
      <c r="O1" s="76"/>
      <c r="P1" s="76"/>
      <c r="Q1" s="76"/>
    </row>
    <row r="2" spans="1:20">
      <c r="A2" s="76" t="s">
        <v>100</v>
      </c>
      <c r="B2" s="76"/>
      <c r="C2" s="76"/>
      <c r="D2" s="76"/>
      <c r="E2" s="76"/>
      <c r="F2" s="76"/>
      <c r="G2" s="76"/>
      <c r="H2" s="76"/>
      <c r="I2" s="76"/>
      <c r="J2" s="76"/>
      <c r="K2" s="76"/>
      <c r="L2" s="76"/>
      <c r="M2" s="76"/>
      <c r="N2" s="76"/>
      <c r="O2" s="76"/>
      <c r="P2" s="76"/>
      <c r="Q2" s="76"/>
    </row>
    <row r="3" spans="1:20">
      <c r="A3" s="76" t="s">
        <v>202</v>
      </c>
      <c r="B3" s="76"/>
      <c r="C3" s="76"/>
      <c r="D3" s="76"/>
      <c r="E3" s="76"/>
      <c r="F3" s="76"/>
      <c r="G3" s="76"/>
      <c r="H3" s="76"/>
      <c r="I3" s="76"/>
      <c r="J3" s="76"/>
      <c r="K3" s="76"/>
      <c r="L3" s="76"/>
      <c r="M3" s="76"/>
      <c r="N3" s="76"/>
      <c r="O3" s="76"/>
      <c r="P3" s="76"/>
      <c r="Q3" s="76"/>
    </row>
    <row r="4" spans="1:20">
      <c r="A4" s="76" t="s">
        <v>90</v>
      </c>
      <c r="B4" s="76"/>
      <c r="C4" s="76"/>
      <c r="D4" s="76"/>
      <c r="E4" s="76"/>
      <c r="F4" s="76"/>
      <c r="G4" s="76"/>
      <c r="H4" s="76"/>
      <c r="I4" s="76"/>
      <c r="J4" s="76"/>
      <c r="K4" s="76"/>
      <c r="L4" s="76"/>
      <c r="M4" s="76"/>
      <c r="N4" s="76"/>
      <c r="O4" s="76"/>
      <c r="P4" s="76"/>
      <c r="Q4" s="76"/>
    </row>
    <row r="5" spans="1:20">
      <c r="A5" s="76"/>
      <c r="B5" s="76"/>
      <c r="C5" s="76"/>
      <c r="D5" s="76"/>
      <c r="E5" s="76"/>
      <c r="F5" s="76"/>
      <c r="G5" s="76"/>
      <c r="H5" s="76"/>
      <c r="I5" s="76"/>
      <c r="J5" s="76"/>
      <c r="K5" s="76"/>
      <c r="L5" s="76"/>
      <c r="M5" s="76"/>
      <c r="N5" s="76"/>
      <c r="O5" s="76"/>
      <c r="P5" s="76"/>
      <c r="Q5" s="76"/>
      <c r="S5" s="162"/>
      <c r="T5" s="162"/>
    </row>
    <row r="6" spans="1:20">
      <c r="A6" s="76"/>
      <c r="B6" s="76"/>
      <c r="C6" s="76"/>
      <c r="D6" s="76"/>
      <c r="E6" s="77">
        <v>2000</v>
      </c>
      <c r="F6" s="77">
        <v>2001</v>
      </c>
      <c r="G6" s="77">
        <v>2002</v>
      </c>
      <c r="H6" s="77">
        <v>2003</v>
      </c>
      <c r="I6" s="77">
        <v>2004</v>
      </c>
      <c r="J6" s="77">
        <v>2005</v>
      </c>
      <c r="K6" s="77">
        <v>2006</v>
      </c>
      <c r="L6" s="77">
        <v>2007</v>
      </c>
      <c r="M6" s="77">
        <v>2008</v>
      </c>
      <c r="N6" s="77">
        <v>2009</v>
      </c>
      <c r="O6" s="77">
        <v>2010</v>
      </c>
      <c r="P6" s="77">
        <v>2011</v>
      </c>
      <c r="Q6" s="77">
        <v>2012</v>
      </c>
      <c r="R6" s="77">
        <v>2013</v>
      </c>
      <c r="S6" s="153">
        <v>2014</v>
      </c>
      <c r="T6" s="153">
        <v>9.2014999999999993</v>
      </c>
    </row>
    <row r="9" spans="1:20">
      <c r="A9" t="s">
        <v>101</v>
      </c>
    </row>
    <row r="10" spans="1:20">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131">
        <v>3868</v>
      </c>
      <c r="S10" s="131">
        <v>4389</v>
      </c>
      <c r="T10" s="131">
        <v>5206</v>
      </c>
    </row>
    <row r="11" spans="1:20">
      <c r="A11" s="22">
        <v>22</v>
      </c>
      <c r="B11" s="1" t="s">
        <v>52</v>
      </c>
      <c r="C11" s="1"/>
      <c r="D11" s="24"/>
      <c r="E11" s="32"/>
      <c r="F11" s="32"/>
      <c r="G11" s="32"/>
      <c r="H11" s="32"/>
      <c r="I11" s="32"/>
      <c r="J11" s="32"/>
      <c r="K11" s="32"/>
      <c r="L11" s="32"/>
      <c r="M11" s="32"/>
      <c r="N11" s="32"/>
      <c r="O11" s="32"/>
      <c r="P11" s="32">
        <v>-186</v>
      </c>
      <c r="Q11" s="32">
        <v>171</v>
      </c>
      <c r="R11" s="131">
        <v>91</v>
      </c>
      <c r="S11" s="131">
        <v>-91</v>
      </c>
      <c r="T11" s="131">
        <v>-2087</v>
      </c>
    </row>
    <row r="12" spans="1:20">
      <c r="A12" s="67"/>
    </row>
    <row r="13" spans="1:20">
      <c r="A13" s="67"/>
      <c r="B13" s="67"/>
      <c r="E13" s="78"/>
      <c r="F13" s="78"/>
      <c r="G13" s="78"/>
      <c r="H13" s="78"/>
      <c r="I13" s="78"/>
      <c r="J13" s="78"/>
      <c r="K13" s="78"/>
      <c r="L13" s="78"/>
      <c r="M13" s="78"/>
      <c r="N13" s="78"/>
      <c r="O13" s="78"/>
      <c r="P13" s="78"/>
      <c r="Q13" s="78"/>
    </row>
    <row r="14" spans="1:20">
      <c r="A14" s="67" t="s">
        <v>102</v>
      </c>
      <c r="B14" s="67"/>
      <c r="E14" s="78">
        <v>565</v>
      </c>
      <c r="F14" s="78">
        <v>632</v>
      </c>
      <c r="G14" s="78">
        <v>811</v>
      </c>
      <c r="H14" s="78">
        <v>907</v>
      </c>
      <c r="I14" s="78">
        <f>291+478</f>
        <v>769</v>
      </c>
      <c r="J14" s="78">
        <f>827-54</f>
        <v>773</v>
      </c>
      <c r="K14" s="78">
        <v>903</v>
      </c>
      <c r="L14" s="78">
        <v>1014</v>
      </c>
      <c r="M14" s="78">
        <v>1151</v>
      </c>
      <c r="N14" s="78">
        <v>1220</v>
      </c>
      <c r="O14" s="78">
        <v>1478</v>
      </c>
      <c r="P14" s="78">
        <v>1642</v>
      </c>
      <c r="Q14" s="78">
        <v>1954</v>
      </c>
      <c r="R14" s="79">
        <f>2332+61</f>
        <v>2393</v>
      </c>
      <c r="S14" s="154">
        <f>2496+90</f>
        <v>2586</v>
      </c>
      <c r="T14" s="154">
        <v>2987</v>
      </c>
    </row>
    <row r="15" spans="1:20">
      <c r="A15" s="67" t="s">
        <v>103</v>
      </c>
      <c r="E15" s="79">
        <f>358+3</f>
        <v>361</v>
      </c>
      <c r="F15" s="79">
        <f>269+3</f>
        <v>272</v>
      </c>
      <c r="G15" s="79">
        <f>355+2</f>
        <v>357</v>
      </c>
      <c r="H15" s="79">
        <f>351+3</f>
        <v>354</v>
      </c>
      <c r="I15" s="79">
        <f>236+6</f>
        <v>242</v>
      </c>
      <c r="J15" s="79">
        <f>419+4</f>
        <v>423</v>
      </c>
      <c r="K15" s="79">
        <f>373+5+1</f>
        <v>379</v>
      </c>
      <c r="L15" s="79">
        <f>478+5</f>
        <v>483</v>
      </c>
      <c r="M15" s="79">
        <f>646+5</f>
        <v>651</v>
      </c>
      <c r="N15" s="79">
        <f>773+5</f>
        <v>778</v>
      </c>
      <c r="O15" s="79">
        <f>16+778+139</f>
        <v>933</v>
      </c>
      <c r="P15" s="79">
        <f>24+1066</f>
        <v>1090</v>
      </c>
      <c r="Q15" s="79">
        <f>1292+26</f>
        <v>1318</v>
      </c>
      <c r="R15" s="79">
        <v>1471</v>
      </c>
      <c r="S15" s="135">
        <v>1799</v>
      </c>
      <c r="T15" s="135">
        <v>2658</v>
      </c>
    </row>
    <row r="16" spans="1:20">
      <c r="A16" s="67" t="s">
        <v>104</v>
      </c>
      <c r="E16" s="79">
        <v>101</v>
      </c>
      <c r="F16" s="79">
        <v>116</v>
      </c>
      <c r="G16" s="79">
        <v>107</v>
      </c>
      <c r="H16" s="79">
        <v>102</v>
      </c>
      <c r="I16" s="79">
        <f>146+23</f>
        <v>169</v>
      </c>
      <c r="J16" s="79">
        <f>139+8</f>
        <v>147</v>
      </c>
      <c r="K16" s="79"/>
      <c r="L16" s="79">
        <v>1</v>
      </c>
      <c r="M16" s="79">
        <v>1</v>
      </c>
      <c r="N16" s="79">
        <v>1</v>
      </c>
      <c r="O16" s="79">
        <v>1</v>
      </c>
      <c r="P16" s="79">
        <v>2</v>
      </c>
      <c r="Q16" s="79">
        <v>4</v>
      </c>
      <c r="R16" s="79">
        <v>4</v>
      </c>
      <c r="S16" s="135">
        <v>4</v>
      </c>
      <c r="T16" s="135">
        <v>4</v>
      </c>
    </row>
    <row r="17" spans="1:20">
      <c r="A17" s="67" t="s">
        <v>105</v>
      </c>
      <c r="E17" s="87">
        <f>SUM(E14:E16)</f>
        <v>1027</v>
      </c>
      <c r="F17" s="87">
        <f t="shared" ref="F17:Q17" si="0">SUM(F14:F16)</f>
        <v>1020</v>
      </c>
      <c r="G17" s="87">
        <f t="shared" si="0"/>
        <v>1275</v>
      </c>
      <c r="H17" s="87">
        <f t="shared" si="0"/>
        <v>1363</v>
      </c>
      <c r="I17" s="87">
        <f t="shared" si="0"/>
        <v>1180</v>
      </c>
      <c r="J17" s="87">
        <f t="shared" si="0"/>
        <v>1343</v>
      </c>
      <c r="K17" s="87">
        <f t="shared" si="0"/>
        <v>1282</v>
      </c>
      <c r="L17" s="87">
        <f t="shared" si="0"/>
        <v>1498</v>
      </c>
      <c r="M17" s="87">
        <f t="shared" si="0"/>
        <v>1803</v>
      </c>
      <c r="N17" s="87">
        <f t="shared" si="0"/>
        <v>1999</v>
      </c>
      <c r="O17" s="87">
        <f t="shared" si="0"/>
        <v>2412</v>
      </c>
      <c r="P17" s="87">
        <f t="shared" si="0"/>
        <v>2734</v>
      </c>
      <c r="Q17" s="87">
        <f t="shared" si="0"/>
        <v>3276</v>
      </c>
      <c r="R17" s="87">
        <f>SUM(R14:R16)</f>
        <v>3868</v>
      </c>
      <c r="S17" s="155">
        <f>SUM(S14:S16)</f>
        <v>4389</v>
      </c>
      <c r="T17" s="155">
        <f>SUM(T14:T16)</f>
        <v>5649</v>
      </c>
    </row>
    <row r="18" spans="1:20">
      <c r="A18" s="67"/>
      <c r="E18" s="80"/>
      <c r="F18" s="79"/>
      <c r="G18" s="79"/>
      <c r="H18" s="79"/>
      <c r="I18" s="79"/>
      <c r="J18" s="79"/>
      <c r="K18" s="79"/>
      <c r="L18" s="79"/>
      <c r="M18" s="79"/>
      <c r="N18" s="79"/>
      <c r="O18" s="79"/>
      <c r="P18" s="79"/>
      <c r="Q18" s="79"/>
      <c r="R18" s="79"/>
      <c r="S18" s="135"/>
      <c r="T18" s="135"/>
    </row>
    <row r="19" spans="1:20">
      <c r="A19" s="67" t="s">
        <v>110</v>
      </c>
      <c r="B19" s="67"/>
      <c r="E19" s="86"/>
      <c r="F19" s="86">
        <v>167</v>
      </c>
      <c r="G19" s="86">
        <v>185</v>
      </c>
      <c r="H19" s="86">
        <v>159</v>
      </c>
      <c r="I19" s="86">
        <v>169</v>
      </c>
      <c r="J19" s="86">
        <v>0</v>
      </c>
      <c r="K19" s="86"/>
      <c r="L19" s="86"/>
      <c r="M19" s="86"/>
      <c r="N19" s="86"/>
      <c r="O19" s="86"/>
      <c r="P19" s="86"/>
      <c r="Q19" s="86"/>
      <c r="R19" s="86"/>
      <c r="S19" s="156"/>
      <c r="T19" s="156"/>
    </row>
    <row r="20" spans="1:20">
      <c r="A20" s="67" t="s">
        <v>107</v>
      </c>
      <c r="B20" s="67"/>
      <c r="E20" s="86"/>
      <c r="F20" s="86"/>
      <c r="G20" s="86"/>
      <c r="H20" s="86"/>
      <c r="I20" s="86"/>
      <c r="J20" s="86"/>
      <c r="K20" s="86"/>
      <c r="L20" s="86"/>
      <c r="M20" s="86"/>
      <c r="N20" s="86"/>
      <c r="O20" s="86"/>
      <c r="P20" s="86">
        <v>-449</v>
      </c>
      <c r="Q20" s="86"/>
      <c r="R20" s="86"/>
      <c r="S20" s="156"/>
      <c r="T20" s="156"/>
    </row>
    <row r="21" spans="1:20">
      <c r="A21" s="67" t="s">
        <v>108</v>
      </c>
      <c r="E21" s="79"/>
      <c r="F21" s="79"/>
      <c r="G21" s="79"/>
      <c r="H21" s="79"/>
      <c r="I21" s="79"/>
      <c r="J21" s="79"/>
      <c r="K21" s="79"/>
      <c r="L21" s="79">
        <v>-900</v>
      </c>
      <c r="M21" s="79">
        <v>-674</v>
      </c>
      <c r="N21" s="79">
        <v>-270</v>
      </c>
      <c r="O21" s="79">
        <v>-278</v>
      </c>
      <c r="P21" s="79">
        <v>-231</v>
      </c>
      <c r="Q21" s="79">
        <v>-13</v>
      </c>
      <c r="R21" s="135">
        <v>91</v>
      </c>
      <c r="S21" s="135">
        <v>-91</v>
      </c>
      <c r="T21" s="135">
        <v>0</v>
      </c>
    </row>
    <row r="22" spans="1:20">
      <c r="A22" s="67" t="s">
        <v>109</v>
      </c>
      <c r="D22" s="67" t="s">
        <v>84</v>
      </c>
      <c r="L22">
        <v>85</v>
      </c>
      <c r="M22">
        <v>432</v>
      </c>
      <c r="N22">
        <v>710</v>
      </c>
      <c r="O22">
        <v>494</v>
      </c>
      <c r="P22">
        <v>494</v>
      </c>
      <c r="Q22">
        <v>184</v>
      </c>
      <c r="R22" s="103">
        <v>0</v>
      </c>
      <c r="S22" s="103">
        <v>0</v>
      </c>
      <c r="T22" s="103">
        <v>0</v>
      </c>
    </row>
    <row r="23" spans="1:20">
      <c r="T23" s="103">
        <v>-2087</v>
      </c>
    </row>
    <row r="25" spans="1:20">
      <c r="A25" s="67" t="s">
        <v>145</v>
      </c>
      <c r="E25" s="88">
        <f t="shared" ref="E25:P25" si="1">SUM(E19:E24)</f>
        <v>0</v>
      </c>
      <c r="F25" s="88">
        <f t="shared" si="1"/>
        <v>167</v>
      </c>
      <c r="G25" s="88">
        <f t="shared" si="1"/>
        <v>185</v>
      </c>
      <c r="H25" s="88">
        <f t="shared" si="1"/>
        <v>159</v>
      </c>
      <c r="I25" s="88">
        <f t="shared" si="1"/>
        <v>169</v>
      </c>
      <c r="J25" s="88">
        <f t="shared" si="1"/>
        <v>0</v>
      </c>
      <c r="K25" s="88">
        <f t="shared" si="1"/>
        <v>0</v>
      </c>
      <c r="L25" s="88">
        <f t="shared" si="1"/>
        <v>-815</v>
      </c>
      <c r="M25" s="88">
        <f t="shared" si="1"/>
        <v>-242</v>
      </c>
      <c r="N25" s="88">
        <f t="shared" si="1"/>
        <v>440</v>
      </c>
      <c r="O25" s="88">
        <f t="shared" si="1"/>
        <v>216</v>
      </c>
      <c r="P25" s="88">
        <f t="shared" si="1"/>
        <v>-186</v>
      </c>
      <c r="Q25" s="88">
        <f>SUM(Q19:Q24)</f>
        <v>171</v>
      </c>
      <c r="R25" s="88">
        <f>SUM(R19:R24)</f>
        <v>91</v>
      </c>
      <c r="S25" s="157">
        <f>SUM(S19:S24)</f>
        <v>-91</v>
      </c>
      <c r="T25" s="157">
        <f>SUM(T19:T24)</f>
        <v>-2087</v>
      </c>
    </row>
    <row r="27" spans="1:20">
      <c r="B27" s="67" t="s">
        <v>91</v>
      </c>
      <c r="E27" s="78">
        <f>E17+E25</f>
        <v>1027</v>
      </c>
      <c r="F27" s="78">
        <f t="shared" ref="F27:Q27" si="2">F17+F25</f>
        <v>1187</v>
      </c>
      <c r="G27" s="78">
        <f t="shared" si="2"/>
        <v>1460</v>
      </c>
      <c r="H27" s="78">
        <f t="shared" si="2"/>
        <v>1522</v>
      </c>
      <c r="I27" s="78">
        <f t="shared" si="2"/>
        <v>1349</v>
      </c>
      <c r="J27" s="78">
        <f t="shared" si="2"/>
        <v>1343</v>
      </c>
      <c r="K27" s="78">
        <f t="shared" si="2"/>
        <v>1282</v>
      </c>
      <c r="L27" s="78">
        <f t="shared" si="2"/>
        <v>683</v>
      </c>
      <c r="M27" s="78">
        <f t="shared" si="2"/>
        <v>1561</v>
      </c>
      <c r="N27" s="78">
        <f t="shared" si="2"/>
        <v>2439</v>
      </c>
      <c r="O27" s="78">
        <f t="shared" si="2"/>
        <v>2628</v>
      </c>
      <c r="P27" s="78">
        <f t="shared" si="2"/>
        <v>2548</v>
      </c>
      <c r="Q27" s="78">
        <f t="shared" si="2"/>
        <v>3447</v>
      </c>
      <c r="R27" s="78">
        <f>R17+R25</f>
        <v>3959</v>
      </c>
      <c r="S27" s="154">
        <f>S17+S25</f>
        <v>4298</v>
      </c>
      <c r="T27" s="154">
        <f>T17+T25</f>
        <v>3562</v>
      </c>
    </row>
    <row r="28" spans="1:20">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03" t="str">
        <f>IF(S27=S10+S11,"","check")</f>
        <v/>
      </c>
      <c r="T28" s="103" t="str">
        <f>IF(T27=T10+T11,"","check")</f>
        <v>check</v>
      </c>
    </row>
    <row r="29" spans="1:20">
      <c r="B29" t="s">
        <v>92</v>
      </c>
    </row>
    <row r="30" spans="1:20">
      <c r="E30" s="78">
        <f>E25-E22</f>
        <v>0</v>
      </c>
      <c r="F30" s="78">
        <f t="shared" ref="F30:Q30" si="4">F25-F22</f>
        <v>167</v>
      </c>
      <c r="G30" s="78">
        <f t="shared" si="4"/>
        <v>185</v>
      </c>
      <c r="H30" s="78">
        <f t="shared" si="4"/>
        <v>159</v>
      </c>
      <c r="I30" s="78">
        <f t="shared" si="4"/>
        <v>169</v>
      </c>
      <c r="J30" s="78">
        <f t="shared" si="4"/>
        <v>0</v>
      </c>
      <c r="K30" s="78">
        <f t="shared" si="4"/>
        <v>0</v>
      </c>
      <c r="L30" s="78">
        <f t="shared" si="4"/>
        <v>-900</v>
      </c>
      <c r="M30" s="78">
        <f t="shared" si="4"/>
        <v>-674</v>
      </c>
      <c r="N30" s="78">
        <f t="shared" si="4"/>
        <v>-270</v>
      </c>
      <c r="O30" s="78">
        <f t="shared" si="4"/>
        <v>-278</v>
      </c>
      <c r="P30" s="78">
        <f t="shared" si="4"/>
        <v>-680</v>
      </c>
      <c r="Q30" s="78">
        <f t="shared" si="4"/>
        <v>-13</v>
      </c>
      <c r="R30" s="78">
        <f>R25-R22</f>
        <v>91</v>
      </c>
      <c r="S30" s="154">
        <f>S25-S22</f>
        <v>-91</v>
      </c>
      <c r="T30" s="154">
        <f>T25-T22</f>
        <v>-2087</v>
      </c>
    </row>
    <row r="31" spans="1:20">
      <c r="E31" s="78"/>
      <c r="F31" s="78"/>
      <c r="G31" s="78"/>
      <c r="H31" s="78"/>
      <c r="I31" s="78"/>
      <c r="J31" s="78"/>
      <c r="K31" s="78"/>
      <c r="L31" s="78"/>
      <c r="M31" s="78"/>
      <c r="N31" s="78"/>
      <c r="O31" s="78"/>
      <c r="P31" s="78"/>
      <c r="Q31" s="78"/>
      <c r="R31" s="78"/>
      <c r="S31" s="154"/>
      <c r="T31" s="154"/>
    </row>
    <row r="32" spans="1:20">
      <c r="E32" s="77">
        <v>2000</v>
      </c>
      <c r="F32" s="77">
        <v>2001</v>
      </c>
      <c r="G32" s="77">
        <v>2002</v>
      </c>
      <c r="H32" s="77">
        <v>2003</v>
      </c>
      <c r="I32" s="77">
        <v>2004</v>
      </c>
      <c r="J32" s="77">
        <v>2005</v>
      </c>
      <c r="K32" s="77">
        <v>2006</v>
      </c>
      <c r="L32" s="77">
        <v>2007</v>
      </c>
      <c r="M32" s="77">
        <v>2008</v>
      </c>
      <c r="N32" s="77">
        <v>2009</v>
      </c>
      <c r="O32" s="77">
        <v>2010</v>
      </c>
      <c r="P32" s="77">
        <v>2011</v>
      </c>
      <c r="Q32" s="77">
        <v>2012</v>
      </c>
      <c r="R32" s="77">
        <v>2013</v>
      </c>
      <c r="S32" s="153">
        <v>2013</v>
      </c>
      <c r="T32" s="153">
        <f>T6</f>
        <v>9.2014999999999993</v>
      </c>
    </row>
    <row r="33" spans="1:20">
      <c r="A33" s="22"/>
      <c r="B33" s="3" t="s">
        <v>40</v>
      </c>
      <c r="C33" s="3"/>
      <c r="D33" s="3"/>
      <c r="E33" s="32"/>
      <c r="F33" s="32"/>
      <c r="G33" s="32"/>
      <c r="H33" s="32"/>
      <c r="I33" s="32"/>
      <c r="J33" s="32"/>
      <c r="K33" s="32"/>
      <c r="L33" s="32"/>
      <c r="M33" s="32"/>
      <c r="N33" s="32"/>
      <c r="O33" s="32"/>
      <c r="P33" s="32"/>
      <c r="Q33" s="32"/>
      <c r="R33" s="32"/>
      <c r="S33" s="131"/>
      <c r="T33" s="131"/>
    </row>
    <row r="34" spans="1:20">
      <c r="A34" s="22"/>
      <c r="B34" s="3" t="s">
        <v>41</v>
      </c>
      <c r="C34" s="3"/>
      <c r="D34" s="3"/>
      <c r="E34" s="32"/>
      <c r="F34" s="32"/>
      <c r="G34" s="32"/>
      <c r="H34" s="32"/>
      <c r="I34" s="32"/>
      <c r="J34" s="32"/>
      <c r="K34" s="32"/>
      <c r="L34" s="32"/>
      <c r="M34" s="32"/>
      <c r="N34" s="32"/>
      <c r="O34" s="32"/>
      <c r="P34" s="32"/>
      <c r="Q34" s="32"/>
      <c r="R34" s="32"/>
      <c r="S34" s="131"/>
      <c r="T34" s="131"/>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132">
        <v>24711</v>
      </c>
      <c r="S35" s="132">
        <v>25235</v>
      </c>
      <c r="T35" s="132">
        <v>25720</v>
      </c>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131">
        <v>337894</v>
      </c>
      <c r="T36" s="131">
        <v>360612</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133">
        <v>59169</v>
      </c>
      <c r="T37" s="133">
        <v>75514</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131">
        <f t="shared" si="6"/>
        <v>422298</v>
      </c>
      <c r="T38" s="131">
        <v>461846</v>
      </c>
    </row>
    <row r="39" spans="1:20">
      <c r="A39" s="22"/>
      <c r="B39" s="24"/>
      <c r="C39" s="24"/>
      <c r="D39" s="3"/>
      <c r="E39" s="32"/>
      <c r="F39" s="32"/>
      <c r="G39" s="32"/>
      <c r="H39" s="32"/>
      <c r="I39" s="32"/>
      <c r="J39" s="32"/>
      <c r="K39" s="32"/>
      <c r="L39" s="32"/>
      <c r="M39" s="32"/>
      <c r="N39" s="32"/>
      <c r="O39" s="32"/>
      <c r="P39" s="32"/>
      <c r="Q39" s="32"/>
      <c r="R39" s="32"/>
      <c r="S39" s="131"/>
      <c r="T39" s="131"/>
    </row>
    <row r="40" spans="1:20">
      <c r="A40" s="22"/>
      <c r="B40" s="24" t="s">
        <v>49</v>
      </c>
      <c r="C40" s="24"/>
      <c r="D40" s="24"/>
      <c r="E40" s="32"/>
      <c r="F40" s="32"/>
      <c r="G40" s="32"/>
      <c r="H40" s="32"/>
      <c r="I40" s="32"/>
      <c r="J40" s="32"/>
      <c r="K40" s="32"/>
      <c r="L40" s="32"/>
      <c r="M40" s="32"/>
      <c r="N40" s="32"/>
      <c r="O40" s="32"/>
      <c r="P40" s="32"/>
      <c r="Q40" s="32"/>
      <c r="R40" s="32"/>
      <c r="S40" s="131"/>
      <c r="T40" s="131"/>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131">
        <v>9521</v>
      </c>
      <c r="T41" s="131">
        <v>9736</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131">
        <v>114795</v>
      </c>
      <c r="T42" s="131">
        <v>121623</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131">
        <v>17429</v>
      </c>
      <c r="T43" s="131">
        <v>20909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158">
        <f t="shared" si="8"/>
        <v>141745</v>
      </c>
      <c r="T44" s="158">
        <v>152268</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134">
        <f t="shared" si="10"/>
        <v>280553</v>
      </c>
      <c r="T45" s="134">
        <v>309578</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133">
        <v>-54652</v>
      </c>
      <c r="T46" s="133">
        <v>-65064</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134">
        <f t="shared" si="12"/>
        <v>225901</v>
      </c>
      <c r="T47" s="134">
        <v>244514</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131">
        <v>14762</v>
      </c>
      <c r="T48" s="131">
        <v>12739</v>
      </c>
    </row>
    <row r="49" spans="1:20">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134">
        <v>0</v>
      </c>
      <c r="T49" s="134">
        <v>0</v>
      </c>
    </row>
    <row r="50" spans="1:20">
      <c r="A50" s="25">
        <v>45</v>
      </c>
      <c r="B50" s="26" t="s">
        <v>54</v>
      </c>
      <c r="C50" s="26"/>
      <c r="D50" s="26"/>
      <c r="E50" s="35"/>
      <c r="F50" s="35"/>
      <c r="G50" s="35"/>
      <c r="H50" s="35"/>
      <c r="I50" s="35"/>
      <c r="J50" s="35"/>
      <c r="K50" s="35"/>
      <c r="L50" s="35"/>
      <c r="M50" s="35"/>
      <c r="N50" s="35"/>
      <c r="O50" s="35"/>
      <c r="P50" s="35">
        <v>-1012</v>
      </c>
      <c r="Q50" s="35">
        <v>-816</v>
      </c>
      <c r="R50" s="35">
        <f>-12-320</f>
        <v>-332</v>
      </c>
      <c r="S50" s="134">
        <v>-479</v>
      </c>
      <c r="T50" s="134">
        <v>-484</v>
      </c>
    </row>
    <row r="51" spans="1:20">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133">
        <v>10073</v>
      </c>
      <c r="T51" s="133">
        <v>12310</v>
      </c>
    </row>
    <row r="52" spans="1:20">
      <c r="A52" s="22"/>
      <c r="B52" s="3"/>
      <c r="C52" s="3"/>
      <c r="D52" s="3"/>
      <c r="E52" s="4"/>
      <c r="F52" s="4"/>
      <c r="G52" s="4"/>
      <c r="H52" s="4"/>
      <c r="I52" s="4"/>
      <c r="J52" s="4"/>
      <c r="K52" s="4"/>
      <c r="L52" s="4"/>
      <c r="M52" s="4"/>
      <c r="N52" s="4"/>
      <c r="O52" s="4"/>
      <c r="P52" s="4"/>
      <c r="Q52" s="4"/>
      <c r="R52" s="4"/>
      <c r="S52" s="29"/>
      <c r="T52" s="29"/>
    </row>
    <row r="53" spans="1:20">
      <c r="A53" s="22"/>
      <c r="B53" s="3"/>
      <c r="C53" s="3"/>
      <c r="D53" s="3"/>
      <c r="E53" s="32"/>
      <c r="F53" s="32"/>
      <c r="G53" s="32"/>
      <c r="H53" s="32"/>
      <c r="I53" s="32"/>
      <c r="J53" s="32"/>
      <c r="K53" s="32"/>
      <c r="L53" s="32"/>
      <c r="M53" s="32"/>
      <c r="N53" s="32"/>
      <c r="O53" s="32"/>
      <c r="P53" s="32"/>
      <c r="Q53" s="32"/>
      <c r="R53" s="32"/>
      <c r="S53" s="131"/>
      <c r="T53" s="131"/>
    </row>
    <row r="54" spans="1:20" ht="13.5"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159">
        <f t="shared" si="14"/>
        <v>250257</v>
      </c>
      <c r="T54" s="159">
        <v>269079</v>
      </c>
    </row>
    <row r="55" spans="1:20" ht="13.5" thickTop="1">
      <c r="A55" s="81"/>
      <c r="B55" s="82"/>
      <c r="C55" s="82"/>
      <c r="D55" s="82"/>
      <c r="E55" s="89"/>
      <c r="F55" s="83"/>
      <c r="G55" s="83"/>
      <c r="H55" s="83"/>
      <c r="I55" s="83"/>
      <c r="J55" s="83"/>
      <c r="K55" s="83"/>
      <c r="L55" s="83"/>
      <c r="M55" s="83"/>
      <c r="N55" s="83"/>
      <c r="O55" s="83"/>
      <c r="P55" s="83"/>
      <c r="Q55" s="83"/>
    </row>
    <row r="56" spans="1:20">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20">
      <c r="B58" s="84" t="s">
        <v>93</v>
      </c>
    </row>
    <row r="59" spans="1:20">
      <c r="A59" s="67" t="s">
        <v>95</v>
      </c>
      <c r="D59" s="85" t="s">
        <v>96</v>
      </c>
      <c r="E59" s="79">
        <v>181</v>
      </c>
      <c r="F59" s="79">
        <v>164</v>
      </c>
      <c r="G59" s="79">
        <v>148</v>
      </c>
      <c r="H59" s="79">
        <v>132</v>
      </c>
      <c r="I59" s="79">
        <v>85</v>
      </c>
      <c r="J59" s="79">
        <v>100</v>
      </c>
      <c r="K59" s="79">
        <v>53</v>
      </c>
      <c r="L59" s="79">
        <v>69</v>
      </c>
      <c r="M59" s="79">
        <v>53</v>
      </c>
      <c r="N59" s="79">
        <v>38</v>
      </c>
      <c r="O59" s="79">
        <v>0</v>
      </c>
      <c r="P59" s="79">
        <v>0</v>
      </c>
      <c r="Q59" s="79">
        <v>0</v>
      </c>
      <c r="R59" s="79">
        <v>0</v>
      </c>
      <c r="S59" s="135">
        <v>0</v>
      </c>
      <c r="T59" s="170">
        <v>0</v>
      </c>
    </row>
    <row r="60" spans="1:20">
      <c r="A60" s="67" t="s">
        <v>106</v>
      </c>
      <c r="D60" s="85" t="s">
        <v>98</v>
      </c>
      <c r="E60" s="79">
        <v>3576</v>
      </c>
      <c r="F60" s="79">
        <v>3142</v>
      </c>
      <c r="G60" s="79">
        <v>2709</v>
      </c>
      <c r="H60" s="79">
        <v>2275</v>
      </c>
      <c r="I60" s="79">
        <v>1120</v>
      </c>
      <c r="J60" s="79">
        <v>1457</v>
      </c>
      <c r="K60" s="79">
        <v>1120</v>
      </c>
      <c r="L60" s="79">
        <v>784</v>
      </c>
      <c r="M60" s="79">
        <v>448</v>
      </c>
      <c r="N60" s="79">
        <v>0</v>
      </c>
      <c r="O60" s="79">
        <v>0</v>
      </c>
      <c r="P60" s="79">
        <v>0</v>
      </c>
      <c r="Q60" s="79">
        <v>0</v>
      </c>
      <c r="R60" s="79">
        <v>0</v>
      </c>
      <c r="S60" s="135">
        <v>0</v>
      </c>
      <c r="T60" s="170">
        <v>0</v>
      </c>
    </row>
    <row r="61" spans="1:20">
      <c r="A61" s="67" t="s">
        <v>97</v>
      </c>
      <c r="D61" s="85" t="s">
        <v>98</v>
      </c>
      <c r="E61" s="79">
        <v>-15</v>
      </c>
      <c r="F61" s="79">
        <v>-2</v>
      </c>
      <c r="G61" s="79">
        <v>-2</v>
      </c>
      <c r="H61" s="79">
        <v>-14</v>
      </c>
      <c r="I61" s="79">
        <v>-1</v>
      </c>
      <c r="J61" s="79">
        <v>-28</v>
      </c>
      <c r="K61" s="79">
        <v>-75</v>
      </c>
      <c r="L61" s="79">
        <v>-64</v>
      </c>
      <c r="M61" s="79">
        <v>-49</v>
      </c>
      <c r="N61" s="79">
        <v>-38</v>
      </c>
      <c r="O61" s="79">
        <v>-31</v>
      </c>
      <c r="P61" s="79">
        <v>-22</v>
      </c>
      <c r="Q61" s="79">
        <v>-18</v>
      </c>
      <c r="R61" s="79">
        <v>-12</v>
      </c>
      <c r="S61" s="135">
        <v>-12</v>
      </c>
      <c r="T61" s="170">
        <v>-12</v>
      </c>
    </row>
    <row r="62" spans="1:20">
      <c r="A62" s="67" t="s">
        <v>99</v>
      </c>
      <c r="D62" s="85" t="s">
        <v>98</v>
      </c>
      <c r="E62" s="79"/>
      <c r="F62" s="79"/>
      <c r="G62" s="79"/>
      <c r="H62" s="79"/>
      <c r="I62" s="79"/>
      <c r="J62" s="79"/>
      <c r="K62" s="79"/>
      <c r="L62" s="79"/>
      <c r="M62" s="79"/>
      <c r="N62" s="79">
        <v>-1359</v>
      </c>
      <c r="O62" s="79">
        <v>-1132</v>
      </c>
      <c r="P62" s="79">
        <v>-990</v>
      </c>
      <c r="Q62" s="79">
        <v>-798</v>
      </c>
      <c r="R62" s="79">
        <v>-320</v>
      </c>
      <c r="S62" s="135">
        <v>-467</v>
      </c>
      <c r="T62" s="170">
        <v>-472</v>
      </c>
    </row>
    <row r="63" spans="1:20">
      <c r="A63" s="67"/>
    </row>
    <row r="64" spans="1:20">
      <c r="A64" s="67" t="s">
        <v>5</v>
      </c>
      <c r="E64" s="78">
        <f t="shared" ref="E64:R64" si="15">SUM(E59:E62)</f>
        <v>3742</v>
      </c>
      <c r="F64" s="78">
        <f t="shared" si="15"/>
        <v>3304</v>
      </c>
      <c r="G64" s="78">
        <f t="shared" si="15"/>
        <v>2855</v>
      </c>
      <c r="H64" s="78">
        <f t="shared" si="15"/>
        <v>2393</v>
      </c>
      <c r="I64" s="78">
        <f t="shared" si="15"/>
        <v>1204</v>
      </c>
      <c r="J64" s="78">
        <f t="shared" si="15"/>
        <v>1529</v>
      </c>
      <c r="K64" s="78">
        <f t="shared" si="15"/>
        <v>1098</v>
      </c>
      <c r="L64" s="78">
        <f t="shared" si="15"/>
        <v>789</v>
      </c>
      <c r="M64" s="78">
        <f t="shared" si="15"/>
        <v>452</v>
      </c>
      <c r="N64" s="78">
        <f t="shared" si="15"/>
        <v>-1359</v>
      </c>
      <c r="O64" s="78">
        <f t="shared" si="15"/>
        <v>-1163</v>
      </c>
      <c r="P64" s="78">
        <f t="shared" si="15"/>
        <v>-1012</v>
      </c>
      <c r="Q64" s="78">
        <f t="shared" si="15"/>
        <v>-816</v>
      </c>
      <c r="R64" s="78">
        <f t="shared" si="15"/>
        <v>-332</v>
      </c>
      <c r="S64" s="154">
        <f t="shared" ref="S64:T64" si="16">SUM(S59:S62)</f>
        <v>-479</v>
      </c>
      <c r="T64" s="154">
        <f t="shared" si="16"/>
        <v>-484</v>
      </c>
    </row>
    <row r="65" spans="1:20">
      <c r="A65" s="67"/>
      <c r="E65" s="78"/>
      <c r="F65" s="78"/>
      <c r="G65" s="78"/>
      <c r="H65" s="78"/>
      <c r="I65" s="78"/>
      <c r="J65" s="78"/>
      <c r="K65" s="78"/>
      <c r="L65" s="78"/>
      <c r="M65" s="78"/>
      <c r="N65" s="78"/>
      <c r="O65" s="78"/>
      <c r="P65" s="78"/>
      <c r="Q65" s="78"/>
    </row>
    <row r="66" spans="1:20">
      <c r="A66" s="67" t="s">
        <v>33</v>
      </c>
      <c r="E66" s="78">
        <f>SUM(E60:E62)</f>
        <v>3561</v>
      </c>
      <c r="F66" s="78">
        <f t="shared" ref="F66:O66" si="17">SUM(F60:F62)</f>
        <v>3140</v>
      </c>
      <c r="G66" s="78">
        <f t="shared" si="17"/>
        <v>2707</v>
      </c>
      <c r="H66" s="78">
        <f t="shared" si="17"/>
        <v>2261</v>
      </c>
      <c r="I66" s="78">
        <f t="shared" si="17"/>
        <v>1119</v>
      </c>
      <c r="J66" s="78">
        <f t="shared" si="17"/>
        <v>1429</v>
      </c>
      <c r="K66" s="78">
        <f t="shared" si="17"/>
        <v>1045</v>
      </c>
      <c r="L66" s="78">
        <f t="shared" si="17"/>
        <v>720</v>
      </c>
      <c r="M66" s="78">
        <f t="shared" si="17"/>
        <v>399</v>
      </c>
      <c r="N66" s="78">
        <f t="shared" si="17"/>
        <v>-1397</v>
      </c>
      <c r="O66" s="78">
        <f t="shared" si="17"/>
        <v>-1163</v>
      </c>
      <c r="P66" s="78"/>
      <c r="Q66" s="78"/>
    </row>
    <row r="67" spans="1:20">
      <c r="A67" s="67" t="s">
        <v>96</v>
      </c>
      <c r="E67" s="78">
        <f>E59</f>
        <v>181</v>
      </c>
      <c r="F67" s="78">
        <f t="shared" ref="F67:O67" si="18">F59</f>
        <v>164</v>
      </c>
      <c r="G67" s="78">
        <f t="shared" si="18"/>
        <v>148</v>
      </c>
      <c r="H67" s="78">
        <f t="shared" si="18"/>
        <v>132</v>
      </c>
      <c r="I67" s="78">
        <f t="shared" si="18"/>
        <v>85</v>
      </c>
      <c r="J67" s="78">
        <f t="shared" si="18"/>
        <v>100</v>
      </c>
      <c r="K67" s="78">
        <f t="shared" si="18"/>
        <v>53</v>
      </c>
      <c r="L67" s="78">
        <f t="shared" si="18"/>
        <v>69</v>
      </c>
      <c r="M67" s="78">
        <f t="shared" si="18"/>
        <v>53</v>
      </c>
      <c r="N67" s="78">
        <f t="shared" si="18"/>
        <v>38</v>
      </c>
      <c r="O67" s="78">
        <f t="shared" si="18"/>
        <v>0</v>
      </c>
      <c r="P67" s="78"/>
      <c r="Q67" s="78"/>
    </row>
    <row r="68" spans="1:20">
      <c r="A68" s="67" t="s">
        <v>94</v>
      </c>
      <c r="E68" s="78"/>
      <c r="F68" s="78"/>
      <c r="G68" s="78"/>
      <c r="H68" s="78"/>
      <c r="I68" s="78"/>
      <c r="J68" s="78"/>
      <c r="K68" s="78"/>
      <c r="L68" s="78"/>
      <c r="M68" s="78"/>
      <c r="N68" s="78"/>
      <c r="O68" s="78"/>
      <c r="P68" s="78">
        <f>SUM(P59:P62)</f>
        <v>-1012</v>
      </c>
      <c r="Q68" s="78">
        <f>SUM(Q59:Q62)</f>
        <v>-816</v>
      </c>
      <c r="R68" s="78">
        <f>SUM(R59:R62)</f>
        <v>-332</v>
      </c>
      <c r="S68" s="154">
        <f>SUM(S59:S62)</f>
        <v>-479</v>
      </c>
      <c r="T68" s="154">
        <f>SUM(T59:T62)</f>
        <v>-484</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2019-10-03T07:00:00+00:00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8C61CF-7316-4437-A73E-E68504F63E7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24f70c62-691b-492e-ba59-9d389529a97e"/>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E3FDCB60-32DB-4097-8F16-5C59A1C8BA49}">
  <ds:schemaRefs>
    <ds:schemaRef ds:uri="http://schemas.microsoft.com/sharepoint/v3/contenttype/forms"/>
  </ds:schemaRefs>
</ds:datastoreItem>
</file>

<file path=customXml/itemProps3.xml><?xml version="1.0" encoding="utf-8"?>
<ds:datastoreItem xmlns:ds="http://schemas.openxmlformats.org/officeDocument/2006/customXml" ds:itemID="{1FBFABB2-FB25-4C54-935E-7B4E20212421}"/>
</file>

<file path=customXml/itemProps4.xml><?xml version="1.0" encoding="utf-8"?>
<ds:datastoreItem xmlns:ds="http://schemas.openxmlformats.org/officeDocument/2006/customXml" ds:itemID="{28CA1E17-8CE6-4BCE-B49C-2D8B550FEB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Growth Rate Table</vt:lpstr>
      <vt:lpstr>Lead</vt:lpstr>
      <vt:lpstr>4.01</vt:lpstr>
      <vt:lpstr>4.02</vt:lpstr>
      <vt:lpstr>4.03 UG.Dep</vt:lpstr>
      <vt:lpstr>4.04</vt:lpstr>
      <vt:lpstr>4.05</vt:lpstr>
      <vt:lpstr>4.06 D.Dep</vt:lpstr>
      <vt:lpstr>4.07</vt:lpstr>
      <vt:lpstr>4.08</vt:lpstr>
      <vt:lpstr>4.09</vt:lpstr>
      <vt:lpstr>4.10</vt:lpstr>
      <vt:lpstr>4.11 A.Dep</vt:lpstr>
      <vt:lpstr>4.12</vt:lpstr>
      <vt:lpstr>4.13</vt:lpstr>
      <vt:lpstr>4.14</vt:lpstr>
      <vt:lpstr>4.15</vt:lpstr>
      <vt:lpstr>Cost Trends</vt:lpstr>
      <vt:lpstr>Riders and Gas Cost Revenue</vt:lpstr>
      <vt:lpstr>Reg Amort and Other RB</vt:lpstr>
      <vt:lpstr>'4.01'!Print_Area</vt:lpstr>
      <vt:lpstr>'4.02'!Print_Area</vt:lpstr>
      <vt:lpstr>'4.03 UG.Dep'!Print_Area</vt:lpstr>
      <vt:lpstr>'4.04'!Print_Area</vt:lpstr>
      <vt:lpstr>'4.05'!Print_Area</vt:lpstr>
      <vt:lpstr>'4.06 D.Dep'!Print_Area</vt:lpstr>
      <vt:lpstr>'4.07'!Print_Area</vt:lpstr>
      <vt:lpstr>'4.08'!Print_Area</vt:lpstr>
      <vt:lpstr>'4.09'!Print_Area</vt:lpstr>
      <vt:lpstr>'4.10'!Print_Area</vt:lpstr>
      <vt:lpstr>'4.11 A.Dep'!Print_Area</vt:lpstr>
      <vt:lpstr>'4.12'!Print_Area</vt:lpstr>
      <vt:lpstr>'4.13'!Print_Area</vt:lpstr>
      <vt:lpstr>'4.14'!Print_Area</vt:lpstr>
      <vt:lpstr>'4.15'!Print_Area</vt:lpstr>
      <vt:lpstr>'Cost Trends'!Print_Area</vt:lpstr>
      <vt:lpstr>'Growth Rate Table'!Print_Area</vt:lpstr>
      <vt:lpstr>Lead!Print_Area</vt:lpstr>
      <vt:lpstr>'Riders and Gas Cost Revenue'!Print_Area</vt:lpstr>
      <vt:lpstr>'Cost Trends'!Print_Titles</vt:lpstr>
      <vt:lpstr>'Riders and Gas Cost Revenue'!Print_Titles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cp:lastModifiedBy>Mullins</cp:lastModifiedBy>
  <cp:lastPrinted>2016-09-16T14:19:24Z</cp:lastPrinted>
  <dcterms:created xsi:type="dcterms:W3CDTF">1997-05-15T21:41:44Z</dcterms:created>
  <dcterms:modified xsi:type="dcterms:W3CDTF">2019-10-03T13:31:22Z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