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6\2016_WA_Elec_and_Gas_GRC\Bench Request\"/>
    </mc:Choice>
  </mc:AlternateContent>
  <bookViews>
    <workbookView xWindow="0" yWindow="90" windowWidth="12195" windowHeight="6630"/>
  </bookViews>
  <sheets>
    <sheet name="E-RPT" sheetId="11" r:id="rId1"/>
    <sheet name="G-RPT" sheetId="10" r:id="rId2"/>
    <sheet name="HPA-1" sheetId="12" r:id="rId3"/>
    <sheet name="2015 +5y - #4  March 29, 2016" sheetId="13" r:id="rId4"/>
    <sheet name="Macro1" sheetId="9" state="veryHidden" r:id="rId5"/>
  </sheets>
  <externalReferences>
    <externalReference r:id="rId6"/>
  </externalReferences>
  <definedNames>
    <definedName name="Macro1">Macro1!$A$1</definedName>
    <definedName name="Macro10">Macro1!$B$1</definedName>
    <definedName name="Macro11">Macro1!$B$8</definedName>
    <definedName name="Macro12">Macro1!$B$15</definedName>
    <definedName name="Macro13">Macro1!$B$22</definedName>
    <definedName name="Macro14">Macro1!$B$29</definedName>
    <definedName name="Macro15">Macro1!$B$36</definedName>
    <definedName name="Macro16">Macro1!$B$43</definedName>
    <definedName name="Macro17">Macro1!$B$50</definedName>
    <definedName name="Macro18">Macro1!$B$57</definedName>
    <definedName name="Macro19">Macro1!$C$1</definedName>
    <definedName name="Macro2">Macro1!$A$8</definedName>
    <definedName name="Macro20">Macro1!$C$8</definedName>
    <definedName name="Macro21">Macro1!$C$15</definedName>
    <definedName name="Macro22">Macro1!$C$22</definedName>
    <definedName name="Macro23">Macro1!$C$29</definedName>
    <definedName name="Macro24">Macro1!$C$36</definedName>
    <definedName name="Macro25">Macro1!$C$43</definedName>
    <definedName name="Macro26">Macro1!$C$50</definedName>
    <definedName name="Macro27">Macro1!$C$57</definedName>
    <definedName name="Macro28">Macro1!$D$1</definedName>
    <definedName name="Macro29">Macro1!$D$8</definedName>
    <definedName name="Macro3">Macro1!$A$15</definedName>
    <definedName name="Macro30">Macro1!$D$15</definedName>
    <definedName name="Macro31">Macro1!$D$22</definedName>
    <definedName name="Macro32">Macro1!$D$29</definedName>
    <definedName name="Macro33">Macro1!$D$36</definedName>
    <definedName name="Macro34">Macro1!$D$43</definedName>
    <definedName name="Macro35">Macro1!$D$50</definedName>
    <definedName name="Macro36">Macro1!$D$57</definedName>
    <definedName name="Macro37">Macro1!$E$1</definedName>
    <definedName name="Macro38">Macro1!$E$8</definedName>
    <definedName name="Macro39">Macro1!$E$15</definedName>
    <definedName name="Macro4">Macro1!$A$22</definedName>
    <definedName name="Macro40">Macro1!$E$22</definedName>
    <definedName name="Macro41">Macro1!$E$29</definedName>
    <definedName name="Macro42">Macro1!$E$36</definedName>
    <definedName name="Macro43">Macro1!$E$43</definedName>
    <definedName name="Macro44">Macro1!$E$50</definedName>
    <definedName name="Macro45">Macro1!$E$57</definedName>
    <definedName name="Macro46">Macro1!$F$1</definedName>
    <definedName name="Macro47">Macro1!$F$8</definedName>
    <definedName name="Macro48">Macro1!$F$15</definedName>
    <definedName name="Macro49">Macro1!$F$22</definedName>
    <definedName name="Macro5">Macro1!$A$29</definedName>
    <definedName name="Macro50">Macro1!$F$29</definedName>
    <definedName name="Macro51">Macro1!$F$36</definedName>
    <definedName name="Macro52">Macro1!$F$43</definedName>
    <definedName name="Macro53">Macro1!$F$50</definedName>
    <definedName name="Macro54">Macro1!$F$57</definedName>
    <definedName name="Macro55">Macro1!$G$1</definedName>
    <definedName name="Macro56">Macro1!$G$8</definedName>
    <definedName name="Macro57">Macro1!$G$15</definedName>
    <definedName name="Macro58">Macro1!$G$22</definedName>
    <definedName name="Macro59">Macro1!$G$29</definedName>
    <definedName name="Macro6">Macro1!$A$36</definedName>
    <definedName name="Macro60">Macro1!$G$36</definedName>
    <definedName name="Macro61">Macro1!$G$43</definedName>
    <definedName name="Macro62">Macro1!$G$50</definedName>
    <definedName name="Macro63">Macro1!$G$57</definedName>
    <definedName name="Macro64">Macro1!$H$1</definedName>
    <definedName name="Macro65">Macro1!$H$8</definedName>
    <definedName name="Macro66">Macro1!$H$15</definedName>
    <definedName name="Macro67">Macro1!$H$22</definedName>
    <definedName name="Macro68">Macro1!$H$29</definedName>
    <definedName name="Macro69">Macro1!$H$36</definedName>
    <definedName name="Macro7">Macro1!$A$43</definedName>
    <definedName name="Macro70">Macro1!$H$43</definedName>
    <definedName name="Macro71">Macro1!$H$50</definedName>
    <definedName name="Macro72">Macro1!$H$57</definedName>
    <definedName name="Macro8">Macro1!$A$50</definedName>
    <definedName name="Macro9">Macro1!$A$57</definedName>
    <definedName name="_xlnm.Print_Area" localSheetId="3">'2015 +5y - #4  March 29, 2016'!$A$1:$AA$202</definedName>
    <definedName name="_xlnm.Print_Area" localSheetId="2">'HPA-1'!$A$1:$M$80</definedName>
    <definedName name="Recover">Macro1!$A$97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V192" i="13" l="1"/>
  <c r="M192" i="13"/>
  <c r="J191" i="13"/>
  <c r="X190" i="13"/>
  <c r="V190" i="13"/>
  <c r="S190" i="13"/>
  <c r="M190" i="13"/>
  <c r="C184" i="13"/>
  <c r="V179" i="13"/>
  <c r="S179" i="13"/>
  <c r="O168" i="13"/>
  <c r="O192" i="13" s="1"/>
  <c r="O195" i="13" s="1"/>
  <c r="X166" i="13"/>
  <c r="V166" i="13"/>
  <c r="S166" i="13"/>
  <c r="R166" i="13" s="1"/>
  <c r="Q166" i="13"/>
  <c r="O166" i="13"/>
  <c r="N166" i="13" s="1"/>
  <c r="M166" i="13"/>
  <c r="L166" i="13" s="1"/>
  <c r="H166" i="13"/>
  <c r="F166" i="13"/>
  <c r="C166" i="13"/>
  <c r="J164" i="13"/>
  <c r="X163" i="13"/>
  <c r="X165" i="13" s="1"/>
  <c r="X168" i="13" s="1"/>
  <c r="X192" i="13" s="1"/>
  <c r="S163" i="13"/>
  <c r="S165" i="13" s="1"/>
  <c r="S168" i="13" s="1"/>
  <c r="S192" i="13" s="1"/>
  <c r="O163" i="13"/>
  <c r="O165" i="13" s="1"/>
  <c r="J163" i="13"/>
  <c r="J165" i="13" s="1"/>
  <c r="J168" i="13" s="1"/>
  <c r="J192" i="13" s="1"/>
  <c r="F163" i="13"/>
  <c r="F165" i="13" s="1"/>
  <c r="F168" i="13" s="1"/>
  <c r="F192" i="13" s="1"/>
  <c r="C163" i="13"/>
  <c r="C165" i="13" s="1"/>
  <c r="C168" i="13" s="1"/>
  <c r="C192" i="13" s="1"/>
  <c r="Z160" i="13"/>
  <c r="Z163" i="13" s="1"/>
  <c r="Z165" i="13" s="1"/>
  <c r="X160" i="13"/>
  <c r="V160" i="13"/>
  <c r="V163" i="13" s="1"/>
  <c r="V165" i="13" s="1"/>
  <c r="V168" i="13" s="1"/>
  <c r="S160" i="13"/>
  <c r="Q160" i="13"/>
  <c r="Q163" i="13" s="1"/>
  <c r="Q165" i="13" s="1"/>
  <c r="Q168" i="13" s="1"/>
  <c r="Q192" i="13" s="1"/>
  <c r="O160" i="13"/>
  <c r="M160" i="13"/>
  <c r="M163" i="13" s="1"/>
  <c r="M165" i="13" s="1"/>
  <c r="M168" i="13" s="1"/>
  <c r="J160" i="13"/>
  <c r="H160" i="13"/>
  <c r="H163" i="13" s="1"/>
  <c r="H165" i="13" s="1"/>
  <c r="C157" i="13"/>
  <c r="AA155" i="13"/>
  <c r="Z155" i="13"/>
  <c r="C150" i="13"/>
  <c r="C191" i="13" s="1"/>
  <c r="X148" i="13"/>
  <c r="W148" i="13"/>
  <c r="V148" i="13"/>
  <c r="U148" i="13"/>
  <c r="S148" i="13"/>
  <c r="R148" i="13"/>
  <c r="Q148" i="13"/>
  <c r="P148" i="13"/>
  <c r="O148" i="13"/>
  <c r="N148" i="13"/>
  <c r="M148" i="13"/>
  <c r="L148" i="13"/>
  <c r="J148" i="13"/>
  <c r="V147" i="13"/>
  <c r="V150" i="13" s="1"/>
  <c r="V191" i="13" s="1"/>
  <c r="M147" i="13"/>
  <c r="M150" i="13" s="1"/>
  <c r="M191" i="13" s="1"/>
  <c r="C147" i="13"/>
  <c r="Q146" i="13"/>
  <c r="V145" i="13"/>
  <c r="Q145" i="13"/>
  <c r="Q147" i="13" s="1"/>
  <c r="Q150" i="13" s="1"/>
  <c r="Q191" i="13" s="1"/>
  <c r="M145" i="13"/>
  <c r="H145" i="13"/>
  <c r="H147" i="13" s="1"/>
  <c r="H150" i="13" s="1"/>
  <c r="H191" i="13" s="1"/>
  <c r="H144" i="13"/>
  <c r="X143" i="13"/>
  <c r="X145" i="13" s="1"/>
  <c r="X147" i="13" s="1"/>
  <c r="V143" i="13"/>
  <c r="O143" i="13"/>
  <c r="O145" i="13" s="1"/>
  <c r="O147" i="13" s="1"/>
  <c r="O150" i="13" s="1"/>
  <c r="O191" i="13" s="1"/>
  <c r="M143" i="13"/>
  <c r="J143" i="13"/>
  <c r="J145" i="13" s="1"/>
  <c r="J147" i="13" s="1"/>
  <c r="J150" i="13" s="1"/>
  <c r="H143" i="13"/>
  <c r="Z142" i="13"/>
  <c r="AA142" i="13" s="1"/>
  <c r="AB142" i="13" s="1"/>
  <c r="AC142" i="13" s="1"/>
  <c r="AD142" i="13" s="1"/>
  <c r="X142" i="13"/>
  <c r="S142" i="13"/>
  <c r="S143" i="13" s="1"/>
  <c r="S145" i="13" s="1"/>
  <c r="S147" i="13" s="1"/>
  <c r="S150" i="13" s="1"/>
  <c r="S191" i="13" s="1"/>
  <c r="S195" i="13" s="1"/>
  <c r="Q142" i="13"/>
  <c r="Q143" i="13" s="1"/>
  <c r="C142" i="13"/>
  <c r="AD140" i="13"/>
  <c r="AC140" i="13"/>
  <c r="AB140" i="13"/>
  <c r="AA140" i="13"/>
  <c r="Z140" i="13"/>
  <c r="F140" i="13"/>
  <c r="C140" i="13"/>
  <c r="AD139" i="13"/>
  <c r="AC139" i="13"/>
  <c r="AB139" i="13"/>
  <c r="AA139" i="13"/>
  <c r="Z139" i="13"/>
  <c r="AA138" i="13" s="1"/>
  <c r="F139" i="13"/>
  <c r="F156" i="13" s="1"/>
  <c r="C139" i="13"/>
  <c r="Z138" i="13"/>
  <c r="O133" i="13"/>
  <c r="O190" i="13" s="1"/>
  <c r="H133" i="13"/>
  <c r="H190" i="13" s="1"/>
  <c r="P131" i="13"/>
  <c r="N131" i="13"/>
  <c r="L131" i="13"/>
  <c r="S129" i="13"/>
  <c r="Q129" i="13"/>
  <c r="O129" i="13"/>
  <c r="M129" i="13"/>
  <c r="J129" i="13"/>
  <c r="F129" i="13"/>
  <c r="C129" i="13"/>
  <c r="V128" i="13"/>
  <c r="V129" i="13" s="1"/>
  <c r="M128" i="13"/>
  <c r="M130" i="13" s="1"/>
  <c r="H128" i="13"/>
  <c r="H129" i="13" s="1"/>
  <c r="F128" i="13"/>
  <c r="F130" i="13" s="1"/>
  <c r="F133" i="13" s="1"/>
  <c r="F190" i="13" s="1"/>
  <c r="V126" i="13"/>
  <c r="S126" i="13"/>
  <c r="S128" i="13" s="1"/>
  <c r="O126" i="13"/>
  <c r="O128" i="13" s="1"/>
  <c r="M126" i="13"/>
  <c r="J126" i="13"/>
  <c r="J128" i="13" s="1"/>
  <c r="J130" i="13" s="1"/>
  <c r="J133" i="13" s="1"/>
  <c r="J190" i="13" s="1"/>
  <c r="J195" i="13" s="1"/>
  <c r="F126" i="13"/>
  <c r="C126" i="13"/>
  <c r="C128" i="13" s="1"/>
  <c r="C130" i="13" s="1"/>
  <c r="C133" i="13" s="1"/>
  <c r="C190" i="13" s="1"/>
  <c r="C195" i="13" s="1"/>
  <c r="X125" i="13"/>
  <c r="V125" i="13"/>
  <c r="Q125" i="13"/>
  <c r="AA124" i="13"/>
  <c r="AB124" i="13" s="1"/>
  <c r="AC124" i="13" s="1"/>
  <c r="AD124" i="13" s="1"/>
  <c r="X124" i="13"/>
  <c r="Z124" i="13" s="1"/>
  <c r="V124" i="13"/>
  <c r="Q124" i="13"/>
  <c r="AC121" i="13"/>
  <c r="AD121" i="13" s="1"/>
  <c r="AA121" i="13"/>
  <c r="AB121" i="13" s="1"/>
  <c r="Z121" i="13"/>
  <c r="H121" i="13"/>
  <c r="X114" i="13"/>
  <c r="X184" i="13" s="1"/>
  <c r="S114" i="13"/>
  <c r="S184" i="13" s="1"/>
  <c r="Q114" i="13"/>
  <c r="Q184" i="13" s="1"/>
  <c r="J114" i="13"/>
  <c r="J184" i="13" s="1"/>
  <c r="H114" i="13"/>
  <c r="H184" i="13" s="1"/>
  <c r="F114" i="13"/>
  <c r="F184" i="13" s="1"/>
  <c r="C114" i="13"/>
  <c r="W111" i="13"/>
  <c r="V111" i="13"/>
  <c r="V114" i="13" s="1"/>
  <c r="V184" i="13" s="1"/>
  <c r="U111" i="13"/>
  <c r="S111" i="13"/>
  <c r="R111" i="13"/>
  <c r="O111" i="13"/>
  <c r="M111" i="13"/>
  <c r="AD104" i="13"/>
  <c r="Z104" i="13"/>
  <c r="AA104" i="13" s="1"/>
  <c r="AB104" i="13" s="1"/>
  <c r="AC104" i="13" s="1"/>
  <c r="J104" i="13"/>
  <c r="W96" i="13"/>
  <c r="U96" i="13"/>
  <c r="S96" i="13"/>
  <c r="R96" i="13"/>
  <c r="P96" i="13"/>
  <c r="N96" i="13"/>
  <c r="L96" i="13"/>
  <c r="F96" i="13"/>
  <c r="C96" i="13"/>
  <c r="V95" i="13"/>
  <c r="V98" i="13" s="1"/>
  <c r="V183" i="13" s="1"/>
  <c r="Q95" i="13"/>
  <c r="Q98" i="13" s="1"/>
  <c r="Q183" i="13" s="1"/>
  <c r="H95" i="13"/>
  <c r="H98" i="13" s="1"/>
  <c r="H183" i="13" s="1"/>
  <c r="V93" i="13"/>
  <c r="J93" i="13"/>
  <c r="J95" i="13" s="1"/>
  <c r="J98" i="13" s="1"/>
  <c r="J183" i="13" s="1"/>
  <c r="J91" i="13"/>
  <c r="X88" i="13"/>
  <c r="X91" i="13" s="1"/>
  <c r="X93" i="13" s="1"/>
  <c r="X95" i="13" s="1"/>
  <c r="V88" i="13"/>
  <c r="Q88" i="13"/>
  <c r="Q91" i="13" s="1"/>
  <c r="Q93" i="13" s="1"/>
  <c r="M88" i="13"/>
  <c r="M91" i="13" s="1"/>
  <c r="M93" i="13" s="1"/>
  <c r="M95" i="13" s="1"/>
  <c r="M98" i="13" s="1"/>
  <c r="M183" i="13" s="1"/>
  <c r="J88" i="13"/>
  <c r="H88" i="13"/>
  <c r="H91" i="13" s="1"/>
  <c r="H93" i="13" s="1"/>
  <c r="C88" i="13"/>
  <c r="C91" i="13" s="1"/>
  <c r="C93" i="13" s="1"/>
  <c r="C95" i="13" s="1"/>
  <c r="C98" i="13" s="1"/>
  <c r="C183" i="13" s="1"/>
  <c r="AD85" i="13"/>
  <c r="AC85" i="13"/>
  <c r="AB85" i="13"/>
  <c r="AA85" i="13"/>
  <c r="Z85" i="13"/>
  <c r="S85" i="13"/>
  <c r="Q85" i="13"/>
  <c r="O85" i="13"/>
  <c r="M85" i="13"/>
  <c r="F85" i="13"/>
  <c r="C85" i="13"/>
  <c r="S84" i="13"/>
  <c r="Q84" i="13"/>
  <c r="O84" i="13"/>
  <c r="O88" i="13" s="1"/>
  <c r="O91" i="13" s="1"/>
  <c r="O93" i="13" s="1"/>
  <c r="O95" i="13" s="1"/>
  <c r="O98" i="13" s="1"/>
  <c r="O183" i="13" s="1"/>
  <c r="M84" i="13"/>
  <c r="F84" i="13"/>
  <c r="C84" i="13"/>
  <c r="Z83" i="13"/>
  <c r="X75" i="13"/>
  <c r="V75" i="13"/>
  <c r="U75" i="13" s="1"/>
  <c r="S75" i="13"/>
  <c r="R75" i="13" s="1"/>
  <c r="P75" i="13"/>
  <c r="N75" i="13"/>
  <c r="L75" i="13"/>
  <c r="C73" i="13"/>
  <c r="O72" i="13"/>
  <c r="O74" i="13" s="1"/>
  <c r="O77" i="13" s="1"/>
  <c r="O182" i="13" s="1"/>
  <c r="AB71" i="13"/>
  <c r="AC71" i="13" s="1"/>
  <c r="AD71" i="13" s="1"/>
  <c r="Z71" i="13"/>
  <c r="AA71" i="13" s="1"/>
  <c r="X71" i="13"/>
  <c r="V71" i="13"/>
  <c r="S71" i="13"/>
  <c r="Q71" i="13"/>
  <c r="M71" i="13"/>
  <c r="J71" i="13"/>
  <c r="H71" i="13"/>
  <c r="F71" i="13"/>
  <c r="C71" i="13"/>
  <c r="V70" i="13"/>
  <c r="V72" i="13" s="1"/>
  <c r="V74" i="13" s="1"/>
  <c r="V77" i="13" s="1"/>
  <c r="V182" i="13" s="1"/>
  <c r="M70" i="13"/>
  <c r="M72" i="13" s="1"/>
  <c r="M74" i="13" s="1"/>
  <c r="M77" i="13" s="1"/>
  <c r="M182" i="13" s="1"/>
  <c r="V68" i="13"/>
  <c r="S68" i="13"/>
  <c r="Q68" i="13"/>
  <c r="O68" i="13"/>
  <c r="M68" i="13"/>
  <c r="J68" i="13"/>
  <c r="H68" i="13"/>
  <c r="F68" i="13"/>
  <c r="C68" i="13"/>
  <c r="V67" i="13"/>
  <c r="Q67" i="13"/>
  <c r="Q70" i="13" s="1"/>
  <c r="Q72" i="13" s="1"/>
  <c r="Q74" i="13" s="1"/>
  <c r="Q77" i="13" s="1"/>
  <c r="Q182" i="13" s="1"/>
  <c r="M67" i="13"/>
  <c r="H67" i="13"/>
  <c r="H70" i="13" s="1"/>
  <c r="H72" i="13" s="1"/>
  <c r="H74" i="13" s="1"/>
  <c r="H77" i="13" s="1"/>
  <c r="H182" i="13" s="1"/>
  <c r="F67" i="13"/>
  <c r="C67" i="13"/>
  <c r="C70" i="13" s="1"/>
  <c r="C72" i="13" s="1"/>
  <c r="C74" i="13" s="1"/>
  <c r="C77" i="13" s="1"/>
  <c r="C182" i="13" s="1"/>
  <c r="AA66" i="13"/>
  <c r="AB66" i="13" s="1"/>
  <c r="AC66" i="13" s="1"/>
  <c r="AD66" i="13" s="1"/>
  <c r="X66" i="13"/>
  <c r="Z66" i="13" s="1"/>
  <c r="S66" i="13"/>
  <c r="Q66" i="13"/>
  <c r="J66" i="13"/>
  <c r="H66" i="13"/>
  <c r="X64" i="13"/>
  <c r="X67" i="13" s="1"/>
  <c r="X70" i="13" s="1"/>
  <c r="X72" i="13" s="1"/>
  <c r="X74" i="13" s="1"/>
  <c r="V64" i="13"/>
  <c r="S64" i="13"/>
  <c r="S67" i="13" s="1"/>
  <c r="S70" i="13" s="1"/>
  <c r="S72" i="13" s="1"/>
  <c r="S74" i="13" s="1"/>
  <c r="S77" i="13" s="1"/>
  <c r="S182" i="13" s="1"/>
  <c r="Q64" i="13"/>
  <c r="O64" i="13"/>
  <c r="O67" i="13" s="1"/>
  <c r="O70" i="13" s="1"/>
  <c r="M64" i="13"/>
  <c r="J64" i="13"/>
  <c r="J67" i="13" s="1"/>
  <c r="J70" i="13" s="1"/>
  <c r="J72" i="13" s="1"/>
  <c r="J74" i="13" s="1"/>
  <c r="J77" i="13" s="1"/>
  <c r="J182" i="13" s="1"/>
  <c r="H64" i="13"/>
  <c r="Z63" i="13"/>
  <c r="AD62" i="13"/>
  <c r="AC62" i="13"/>
  <c r="AB62" i="13"/>
  <c r="AA62" i="13"/>
  <c r="Z62" i="13"/>
  <c r="AD60" i="13"/>
  <c r="AC60" i="13"/>
  <c r="AB60" i="13"/>
  <c r="AA60" i="13"/>
  <c r="Z60" i="13"/>
  <c r="AA58" i="13"/>
  <c r="Z58" i="13"/>
  <c r="C53" i="13"/>
  <c r="C181" i="13" s="1"/>
  <c r="Y51" i="13"/>
  <c r="Y75" i="13" s="1"/>
  <c r="Y96" i="13" s="1"/>
  <c r="X51" i="13"/>
  <c r="W51" i="13"/>
  <c r="V51" i="13"/>
  <c r="U51" i="13"/>
  <c r="S51" i="13"/>
  <c r="R51" i="13"/>
  <c r="O51" i="13"/>
  <c r="M51" i="13"/>
  <c r="L51" i="13" s="1"/>
  <c r="J51" i="13"/>
  <c r="C50" i="13"/>
  <c r="Q48" i="13"/>
  <c r="Q50" i="13" s="1"/>
  <c r="Q53" i="13" s="1"/>
  <c r="Q181" i="13" s="1"/>
  <c r="H48" i="13"/>
  <c r="H50" i="13" s="1"/>
  <c r="H53" i="13" s="1"/>
  <c r="H181" i="13" s="1"/>
  <c r="AB47" i="13"/>
  <c r="AC47" i="13" s="1"/>
  <c r="AD47" i="13" s="1"/>
  <c r="Z47" i="13"/>
  <c r="AA47" i="13" s="1"/>
  <c r="X47" i="13"/>
  <c r="V47" i="13"/>
  <c r="S47" i="13"/>
  <c r="Q47" i="13"/>
  <c r="O47" i="13"/>
  <c r="M47" i="13"/>
  <c r="J47" i="13"/>
  <c r="H47" i="13"/>
  <c r="C47" i="13"/>
  <c r="V46" i="13"/>
  <c r="V48" i="13" s="1"/>
  <c r="V50" i="13" s="1"/>
  <c r="V53" i="13" s="1"/>
  <c r="V181" i="13" s="1"/>
  <c r="Q46" i="13"/>
  <c r="O46" i="13"/>
  <c r="O48" i="13" s="1"/>
  <c r="O50" i="13" s="1"/>
  <c r="O53" i="13" s="1"/>
  <c r="O181" i="13" s="1"/>
  <c r="M46" i="13"/>
  <c r="M48" i="13" s="1"/>
  <c r="M50" i="13" s="1"/>
  <c r="M53" i="13" s="1"/>
  <c r="M181" i="13" s="1"/>
  <c r="J46" i="13"/>
  <c r="J48" i="13" s="1"/>
  <c r="J50" i="13" s="1"/>
  <c r="J53" i="13" s="1"/>
  <c r="J181" i="13" s="1"/>
  <c r="H46" i="13"/>
  <c r="C46" i="13"/>
  <c r="X45" i="13"/>
  <c r="V45" i="13"/>
  <c r="S45" i="13"/>
  <c r="S46" i="13" s="1"/>
  <c r="S48" i="13" s="1"/>
  <c r="S50" i="13" s="1"/>
  <c r="S53" i="13" s="1"/>
  <c r="S181" i="13" s="1"/>
  <c r="AD42" i="13"/>
  <c r="AC42" i="13"/>
  <c r="AB42" i="13"/>
  <c r="AA42" i="13"/>
  <c r="Z42" i="13"/>
  <c r="F42" i="13"/>
  <c r="AD41" i="13"/>
  <c r="AC41" i="13"/>
  <c r="AB41" i="13"/>
  <c r="AA41" i="13"/>
  <c r="Z41" i="13"/>
  <c r="AD40" i="13"/>
  <c r="AC40" i="13"/>
  <c r="AB40" i="13"/>
  <c r="AA40" i="13"/>
  <c r="Z40" i="13"/>
  <c r="AD38" i="13"/>
  <c r="AC38" i="13"/>
  <c r="AB38" i="13"/>
  <c r="AA38" i="13"/>
  <c r="Z38" i="13"/>
  <c r="F37" i="13"/>
  <c r="Z36" i="13"/>
  <c r="AA36" i="13" s="1"/>
  <c r="O30" i="13"/>
  <c r="O179" i="13" s="1"/>
  <c r="Z28" i="13"/>
  <c r="X28" i="13"/>
  <c r="L28" i="13"/>
  <c r="O27" i="13"/>
  <c r="H27" i="13"/>
  <c r="H30" i="13" s="1"/>
  <c r="H179" i="13" s="1"/>
  <c r="S24" i="13"/>
  <c r="Q24" i="13"/>
  <c r="M24" i="13"/>
  <c r="J24" i="13"/>
  <c r="H24" i="13"/>
  <c r="F24" i="13"/>
  <c r="C24" i="13"/>
  <c r="S23" i="13"/>
  <c r="S25" i="13" s="1"/>
  <c r="S27" i="13" s="1"/>
  <c r="S28" i="13" s="1"/>
  <c r="R28" i="13" s="1"/>
  <c r="J23" i="13"/>
  <c r="J25" i="13" s="1"/>
  <c r="J27" i="13" s="1"/>
  <c r="J30" i="13" s="1"/>
  <c r="J179" i="13" s="1"/>
  <c r="H23" i="13"/>
  <c r="F23" i="13"/>
  <c r="F25" i="13" s="1"/>
  <c r="F27" i="13" s="1"/>
  <c r="F30" i="13" s="1"/>
  <c r="F179" i="13" s="1"/>
  <c r="J22" i="13"/>
  <c r="S21" i="13"/>
  <c r="Q21" i="13"/>
  <c r="Q23" i="13" s="1"/>
  <c r="Q25" i="13" s="1"/>
  <c r="Q27" i="13" s="1"/>
  <c r="Q30" i="13" s="1"/>
  <c r="Q179" i="13" s="1"/>
  <c r="O21" i="13"/>
  <c r="O23" i="13" s="1"/>
  <c r="O24" i="13" s="1"/>
  <c r="M21" i="13"/>
  <c r="M23" i="13" s="1"/>
  <c r="M25" i="13" s="1"/>
  <c r="M27" i="13" s="1"/>
  <c r="M30" i="13" s="1"/>
  <c r="M179" i="13" s="1"/>
  <c r="J21" i="13"/>
  <c r="F21" i="13"/>
  <c r="C21" i="13"/>
  <c r="C23" i="13" s="1"/>
  <c r="X20" i="13"/>
  <c r="Z20" i="13" s="1"/>
  <c r="AA20" i="13" s="1"/>
  <c r="AB20" i="13" s="1"/>
  <c r="AC20" i="13" s="1"/>
  <c r="AD20" i="13" s="1"/>
  <c r="V20" i="13"/>
  <c r="Z19" i="13"/>
  <c r="X19" i="13"/>
  <c r="V19" i="13"/>
  <c r="V21" i="13" s="1"/>
  <c r="V23" i="13" s="1"/>
  <c r="V24" i="13" s="1"/>
  <c r="AD15" i="13"/>
  <c r="AD39" i="13" s="1"/>
  <c r="AC15" i="13"/>
  <c r="AC39" i="13" s="1"/>
  <c r="AB15" i="13"/>
  <c r="AB39" i="13" s="1"/>
  <c r="AA15" i="13"/>
  <c r="AA39" i="13" s="1"/>
  <c r="Z15" i="13"/>
  <c r="Z39" i="13" s="1"/>
  <c r="Z12" i="13"/>
  <c r="AA12" i="13" s="1"/>
  <c r="AB12" i="13" s="1"/>
  <c r="AC12" i="13" s="1"/>
  <c r="AD12" i="13" s="1"/>
  <c r="H12" i="13"/>
  <c r="R76" i="12"/>
  <c r="J76" i="12"/>
  <c r="G76" i="12"/>
  <c r="F76" i="12"/>
  <c r="D76" i="12"/>
  <c r="C76" i="12"/>
  <c r="J75" i="12"/>
  <c r="E75" i="12"/>
  <c r="K74" i="12"/>
  <c r="J74" i="12"/>
  <c r="E74" i="12"/>
  <c r="E76" i="12" s="1"/>
  <c r="G73" i="12"/>
  <c r="F73" i="12"/>
  <c r="E73" i="12"/>
  <c r="D73" i="12"/>
  <c r="C73" i="12"/>
  <c r="M72" i="12"/>
  <c r="J72" i="12"/>
  <c r="G72" i="12"/>
  <c r="F72" i="12"/>
  <c r="E72" i="12"/>
  <c r="D72" i="12"/>
  <c r="C72" i="12"/>
  <c r="R68" i="12"/>
  <c r="G68" i="12"/>
  <c r="F68" i="12"/>
  <c r="D68" i="12"/>
  <c r="C68" i="12"/>
  <c r="J67" i="12"/>
  <c r="E66" i="12"/>
  <c r="G65" i="12"/>
  <c r="F65" i="12"/>
  <c r="D65" i="12"/>
  <c r="C65" i="12"/>
  <c r="J64" i="12"/>
  <c r="G64" i="12"/>
  <c r="E64" i="12"/>
  <c r="D64" i="12"/>
  <c r="C64" i="12"/>
  <c r="R60" i="12"/>
  <c r="G60" i="12"/>
  <c r="F60" i="12"/>
  <c r="E60" i="12"/>
  <c r="D60" i="12"/>
  <c r="C60" i="12"/>
  <c r="B60" i="12"/>
  <c r="G57" i="12"/>
  <c r="F57" i="12"/>
  <c r="E57" i="12"/>
  <c r="D57" i="12"/>
  <c r="C57" i="12"/>
  <c r="J56" i="12"/>
  <c r="G56" i="12"/>
  <c r="F56" i="12"/>
  <c r="E56" i="12"/>
  <c r="D56" i="12"/>
  <c r="C56" i="12"/>
  <c r="J50" i="12"/>
  <c r="R44" i="12"/>
  <c r="J44" i="12"/>
  <c r="J43" i="12"/>
  <c r="G43" i="12"/>
  <c r="F43" i="12"/>
  <c r="E43" i="12"/>
  <c r="D43" i="12"/>
  <c r="C43" i="12"/>
  <c r="O42" i="12"/>
  <c r="K42" i="12"/>
  <c r="J42" i="12"/>
  <c r="K41" i="12"/>
  <c r="J41" i="12"/>
  <c r="G41" i="12"/>
  <c r="F41" i="12"/>
  <c r="E41" i="12"/>
  <c r="D41" i="12"/>
  <c r="C41" i="12"/>
  <c r="M40" i="12"/>
  <c r="K40" i="12"/>
  <c r="J40" i="12"/>
  <c r="G40" i="12"/>
  <c r="F40" i="12"/>
  <c r="E40" i="12"/>
  <c r="D40" i="12"/>
  <c r="C40" i="12"/>
  <c r="R37" i="12"/>
  <c r="G37" i="12"/>
  <c r="F37" i="12"/>
  <c r="E37" i="12"/>
  <c r="D37" i="12"/>
  <c r="C37" i="12"/>
  <c r="J36" i="12"/>
  <c r="G34" i="12"/>
  <c r="F34" i="12"/>
  <c r="E34" i="12"/>
  <c r="D34" i="12"/>
  <c r="C34" i="12"/>
  <c r="J33" i="12"/>
  <c r="G33" i="12"/>
  <c r="F33" i="12"/>
  <c r="E33" i="12"/>
  <c r="D33" i="12"/>
  <c r="C33" i="12"/>
  <c r="R29" i="12"/>
  <c r="G29" i="12"/>
  <c r="F29" i="12"/>
  <c r="E29" i="12"/>
  <c r="D29" i="12"/>
  <c r="C29" i="12"/>
  <c r="J28" i="12"/>
  <c r="G26" i="12"/>
  <c r="F26" i="12"/>
  <c r="E26" i="12"/>
  <c r="D26" i="12"/>
  <c r="C26" i="12"/>
  <c r="J25" i="12"/>
  <c r="G25" i="12"/>
  <c r="F25" i="12"/>
  <c r="E25" i="12"/>
  <c r="D25" i="12"/>
  <c r="C25" i="12"/>
  <c r="R21" i="12"/>
  <c r="G21" i="12"/>
  <c r="F21" i="12"/>
  <c r="D21" i="12"/>
  <c r="C21" i="12"/>
  <c r="J20" i="12"/>
  <c r="E20" i="12"/>
  <c r="E19" i="12"/>
  <c r="E21" i="12" s="1"/>
  <c r="G18" i="12"/>
  <c r="F18" i="12"/>
  <c r="E18" i="12"/>
  <c r="D18" i="12"/>
  <c r="C18" i="12"/>
  <c r="J17" i="12"/>
  <c r="G17" i="12"/>
  <c r="F17" i="12"/>
  <c r="E17" i="12"/>
  <c r="D17" i="12"/>
  <c r="C17" i="12"/>
  <c r="R13" i="12"/>
  <c r="G13" i="12"/>
  <c r="F13" i="12"/>
  <c r="E13" i="12"/>
  <c r="D13" i="12"/>
  <c r="C13" i="12"/>
  <c r="B13" i="12"/>
  <c r="J12" i="12"/>
  <c r="G10" i="12"/>
  <c r="F10" i="12"/>
  <c r="E10" i="12"/>
  <c r="D10" i="12"/>
  <c r="C10" i="12"/>
  <c r="J9" i="12"/>
  <c r="G9" i="12"/>
  <c r="F9" i="12"/>
  <c r="E9" i="12"/>
  <c r="D9" i="12"/>
  <c r="C9" i="12"/>
  <c r="J3" i="12"/>
  <c r="Q186" i="13" l="1"/>
  <c r="AB36" i="13"/>
  <c r="AC36" i="13" s="1"/>
  <c r="AD36" i="13" s="1"/>
  <c r="Y111" i="13"/>
  <c r="Z96" i="13"/>
  <c r="J186" i="13"/>
  <c r="J197" i="13" s="1"/>
  <c r="X98" i="13"/>
  <c r="X183" i="13" s="1"/>
  <c r="J35" i="12"/>
  <c r="J27" i="12"/>
  <c r="X77" i="13"/>
  <c r="X182" i="13" s="1"/>
  <c r="H186" i="13"/>
  <c r="AB58" i="13"/>
  <c r="AA63" i="13"/>
  <c r="F195" i="13"/>
  <c r="X150" i="13"/>
  <c r="X191" i="13" s="1"/>
  <c r="X195" i="13" s="1"/>
  <c r="J66" i="12"/>
  <c r="E65" i="12"/>
  <c r="F64" i="12"/>
  <c r="E68" i="12"/>
  <c r="AA28" i="13"/>
  <c r="K12" i="12"/>
  <c r="F46" i="13"/>
  <c r="F48" i="13" s="1"/>
  <c r="F50" i="13" s="1"/>
  <c r="F53" i="13" s="1"/>
  <c r="F181" i="13" s="1"/>
  <c r="F186" i="13" s="1"/>
  <c r="F197" i="13" s="1"/>
  <c r="N51" i="13"/>
  <c r="P51" i="13"/>
  <c r="F70" i="13"/>
  <c r="F72" i="13" s="1"/>
  <c r="F74" i="13" s="1"/>
  <c r="F77" i="13" s="1"/>
  <c r="F182" i="13" s="1"/>
  <c r="Z75" i="13"/>
  <c r="F88" i="13"/>
  <c r="F91" i="13" s="1"/>
  <c r="F93" i="13" s="1"/>
  <c r="F95" i="13" s="1"/>
  <c r="F98" i="13" s="1"/>
  <c r="F183" i="13" s="1"/>
  <c r="S88" i="13"/>
  <c r="S91" i="13" s="1"/>
  <c r="S93" i="13" s="1"/>
  <c r="S95" i="13" s="1"/>
  <c r="S98" i="13" s="1"/>
  <c r="S183" i="13" s="1"/>
  <c r="S186" i="13" s="1"/>
  <c r="S197" i="13" s="1"/>
  <c r="S130" i="13"/>
  <c r="S131" i="13" s="1"/>
  <c r="R131" i="13" s="1"/>
  <c r="Z21" i="13"/>
  <c r="Z23" i="13" s="1"/>
  <c r="AA19" i="13"/>
  <c r="V25" i="13"/>
  <c r="V27" i="13" s="1"/>
  <c r="V28" i="13" s="1"/>
  <c r="X21" i="13"/>
  <c r="X23" i="13" s="1"/>
  <c r="AA83" i="13"/>
  <c r="Z88" i="13"/>
  <c r="Z91" i="13" s="1"/>
  <c r="Z93" i="13" s="1"/>
  <c r="Z95" i="13" s="1"/>
  <c r="AB138" i="13"/>
  <c r="AA143" i="13"/>
  <c r="AA145" i="13" s="1"/>
  <c r="AA147" i="13" s="1"/>
  <c r="J73" i="12"/>
  <c r="K72" i="12"/>
  <c r="K73" i="12" s="1"/>
  <c r="C25" i="13"/>
  <c r="C27" i="13" s="1"/>
  <c r="C30" i="13" s="1"/>
  <c r="C179" i="13" s="1"/>
  <c r="C186" i="13" s="1"/>
  <c r="C197" i="13" s="1"/>
  <c r="X46" i="13"/>
  <c r="X48" i="13" s="1"/>
  <c r="X50" i="13" s="1"/>
  <c r="Z45" i="13"/>
  <c r="Z51" i="13"/>
  <c r="Z64" i="13"/>
  <c r="Z67" i="13" s="1"/>
  <c r="Z70" i="13" s="1"/>
  <c r="Z72" i="13" s="1"/>
  <c r="Z74" i="13" s="1"/>
  <c r="AA64" i="13"/>
  <c r="AA67" i="13" s="1"/>
  <c r="AA70" i="13" s="1"/>
  <c r="AA72" i="13" s="1"/>
  <c r="AA74" i="13" s="1"/>
  <c r="Z125" i="13"/>
  <c r="AA125" i="13" s="1"/>
  <c r="AB125" i="13" s="1"/>
  <c r="AC125" i="13" s="1"/>
  <c r="AD125" i="13" s="1"/>
  <c r="AD126" i="13" s="1"/>
  <c r="AD128" i="13" s="1"/>
  <c r="X126" i="13"/>
  <c r="X128" i="13" s="1"/>
  <c r="AC126" i="13"/>
  <c r="AC128" i="13" s="1"/>
  <c r="M42" i="12"/>
  <c r="W75" i="13"/>
  <c r="M114" i="13"/>
  <c r="M184" i="13" s="1"/>
  <c r="M186" i="13" s="1"/>
  <c r="M197" i="13" s="1"/>
  <c r="M201" i="13" s="1"/>
  <c r="L111" i="13"/>
  <c r="Q126" i="13"/>
  <c r="Q128" i="13" s="1"/>
  <c r="Q130" i="13" s="1"/>
  <c r="Q133" i="13" s="1"/>
  <c r="Q190" i="13" s="1"/>
  <c r="Q195" i="13" s="1"/>
  <c r="W166" i="13"/>
  <c r="P111" i="13"/>
  <c r="N111" i="13"/>
  <c r="Z126" i="13"/>
  <c r="Z128" i="13" s="1"/>
  <c r="C143" i="13"/>
  <c r="C156" i="13"/>
  <c r="F157" i="13"/>
  <c r="F143" i="13"/>
  <c r="F145" i="13" s="1"/>
  <c r="F147" i="13" s="1"/>
  <c r="F150" i="13" s="1"/>
  <c r="F191" i="13" s="1"/>
  <c r="V186" i="13"/>
  <c r="O114" i="13"/>
  <c r="O184" i="13" s="1"/>
  <c r="O186" i="13" s="1"/>
  <c r="O197" i="13" s="1"/>
  <c r="O201" i="13" s="1"/>
  <c r="AB126" i="13"/>
  <c r="AB128" i="13" s="1"/>
  <c r="AA126" i="13"/>
  <c r="AA128" i="13" s="1"/>
  <c r="V130" i="13"/>
  <c r="V131" i="13" s="1"/>
  <c r="U131" i="13" s="1"/>
  <c r="V195" i="13"/>
  <c r="U166" i="13"/>
  <c r="M195" i="13"/>
  <c r="Z143" i="13"/>
  <c r="Z145" i="13" s="1"/>
  <c r="Z147" i="13" s="1"/>
  <c r="AA160" i="13"/>
  <c r="AA163" i="13" s="1"/>
  <c r="AA165" i="13" s="1"/>
  <c r="AB155" i="13"/>
  <c r="H168" i="13"/>
  <c r="H192" i="13" s="1"/>
  <c r="H195" i="13" s="1"/>
  <c r="P166" i="13"/>
  <c r="X130" i="13" l="1"/>
  <c r="X129" i="13"/>
  <c r="Z129" i="13" s="1"/>
  <c r="AA129" i="13" s="1"/>
  <c r="AB129" i="13" s="1"/>
  <c r="AC129" i="13" s="1"/>
  <c r="AD129" i="13" s="1"/>
  <c r="AD130" i="13" s="1"/>
  <c r="K20" i="12"/>
  <c r="AA51" i="13"/>
  <c r="Z98" i="13"/>
  <c r="Z183" i="13" s="1"/>
  <c r="K35" i="12"/>
  <c r="W28" i="13"/>
  <c r="U28" i="13"/>
  <c r="Z25" i="13"/>
  <c r="Z27" i="13" s="1"/>
  <c r="AB28" i="13"/>
  <c r="M12" i="12"/>
  <c r="J68" i="12"/>
  <c r="J65" i="12"/>
  <c r="K64" i="12"/>
  <c r="J34" i="12"/>
  <c r="K33" i="12"/>
  <c r="J37" i="12"/>
  <c r="Y131" i="13"/>
  <c r="Y148" i="13" s="1"/>
  <c r="Z111" i="13"/>
  <c r="AC155" i="13"/>
  <c r="AB160" i="13"/>
  <c r="AB163" i="13" s="1"/>
  <c r="AB165" i="13" s="1"/>
  <c r="AB130" i="13"/>
  <c r="Z130" i="13"/>
  <c r="Z46" i="13"/>
  <c r="Z48" i="13" s="1"/>
  <c r="Z50" i="13" s="1"/>
  <c r="AA45" i="13"/>
  <c r="AA88" i="13"/>
  <c r="AA91" i="13" s="1"/>
  <c r="AA93" i="13" s="1"/>
  <c r="AA95" i="13" s="1"/>
  <c r="AB83" i="13"/>
  <c r="AB63" i="13"/>
  <c r="AB64" i="13" s="1"/>
  <c r="AB67" i="13" s="1"/>
  <c r="AB70" i="13" s="1"/>
  <c r="AB72" i="13" s="1"/>
  <c r="AB74" i="13" s="1"/>
  <c r="AC58" i="13"/>
  <c r="M74" i="12"/>
  <c r="M41" i="12"/>
  <c r="O40" i="12"/>
  <c r="O41" i="12" s="1"/>
  <c r="M27" i="12"/>
  <c r="X53" i="13"/>
  <c r="X181" i="13" s="1"/>
  <c r="J19" i="12"/>
  <c r="M66" i="12"/>
  <c r="AA75" i="13"/>
  <c r="K28" i="12"/>
  <c r="H197" i="13"/>
  <c r="J26" i="12"/>
  <c r="K25" i="12"/>
  <c r="J29" i="12"/>
  <c r="Q197" i="13"/>
  <c r="Q201" i="13" s="1"/>
  <c r="K66" i="12"/>
  <c r="V197" i="13"/>
  <c r="V201" i="13" s="1"/>
  <c r="AC130" i="13"/>
  <c r="Z77" i="13"/>
  <c r="Z182" i="13" s="1"/>
  <c r="K27" i="12"/>
  <c r="AB143" i="13"/>
  <c r="AB145" i="13" s="1"/>
  <c r="AB147" i="13" s="1"/>
  <c r="AC138" i="13"/>
  <c r="X24" i="13"/>
  <c r="Z24" i="13" s="1"/>
  <c r="AA24" i="13" s="1"/>
  <c r="AB24" i="13" s="1"/>
  <c r="AC24" i="13" s="1"/>
  <c r="AD24" i="13" s="1"/>
  <c r="X25" i="13"/>
  <c r="X27" i="13" s="1"/>
  <c r="AA21" i="13"/>
  <c r="AA23" i="13" s="1"/>
  <c r="AA25" i="13" s="1"/>
  <c r="AA27" i="13" s="1"/>
  <c r="AB19" i="13"/>
  <c r="AA96" i="13"/>
  <c r="K43" i="12"/>
  <c r="K36" i="12"/>
  <c r="O27" i="12" l="1"/>
  <c r="O25" i="12"/>
  <c r="K58" i="12"/>
  <c r="X30" i="13"/>
  <c r="X179" i="13" s="1"/>
  <c r="X186" i="13" s="1"/>
  <c r="X197" i="13" s="1"/>
  <c r="X201" i="13" s="1"/>
  <c r="J11" i="12"/>
  <c r="K29" i="12"/>
  <c r="K26" i="12"/>
  <c r="M25" i="12"/>
  <c r="M26" i="12" s="1"/>
  <c r="K65" i="12"/>
  <c r="M64" i="12"/>
  <c r="AB75" i="13"/>
  <c r="M28" i="12"/>
  <c r="M29" i="12" s="1"/>
  <c r="Q29" i="12" s="1"/>
  <c r="AB45" i="13"/>
  <c r="AA46" i="13"/>
  <c r="AA48" i="13" s="1"/>
  <c r="AA50" i="13" s="1"/>
  <c r="O74" i="12"/>
  <c r="Z30" i="13"/>
  <c r="Z179" i="13" s="1"/>
  <c r="K11" i="12"/>
  <c r="X131" i="13"/>
  <c r="J58" i="12"/>
  <c r="AB96" i="13"/>
  <c r="M36" i="12"/>
  <c r="M43" i="12"/>
  <c r="O64" i="12"/>
  <c r="M65" i="12"/>
  <c r="AA77" i="13"/>
  <c r="AA182" i="13" s="1"/>
  <c r="M73" i="12"/>
  <c r="O72" i="12"/>
  <c r="K19" i="12"/>
  <c r="Z53" i="13"/>
  <c r="Z181" i="13" s="1"/>
  <c r="AC160" i="13"/>
  <c r="AC163" i="13" s="1"/>
  <c r="AC165" i="13" s="1"/>
  <c r="AD155" i="13"/>
  <c r="AD160" i="13" s="1"/>
  <c r="AD163" i="13" s="1"/>
  <c r="AD165" i="13" s="1"/>
  <c r="AB51" i="13"/>
  <c r="M20" i="12"/>
  <c r="AA130" i="13"/>
  <c r="AB21" i="13"/>
  <c r="AB23" i="13" s="1"/>
  <c r="AB25" i="13" s="1"/>
  <c r="AB27" i="13" s="1"/>
  <c r="AC19" i="13"/>
  <c r="AD138" i="13"/>
  <c r="AD143" i="13" s="1"/>
  <c r="AD145" i="13" s="1"/>
  <c r="AD147" i="13" s="1"/>
  <c r="AC143" i="13"/>
  <c r="AC145" i="13" s="1"/>
  <c r="AC147" i="13" s="1"/>
  <c r="AC83" i="13"/>
  <c r="AB88" i="13"/>
  <c r="AB91" i="13" s="1"/>
  <c r="AB93" i="13" s="1"/>
  <c r="AB95" i="13" s="1"/>
  <c r="AA111" i="13"/>
  <c r="Z114" i="13"/>
  <c r="S201" i="13"/>
  <c r="M11" i="12"/>
  <c r="AA30" i="13"/>
  <c r="AA179" i="13" s="1"/>
  <c r="O66" i="12"/>
  <c r="J18" i="12"/>
  <c r="K17" i="12"/>
  <c r="J21" i="12"/>
  <c r="AC63" i="13"/>
  <c r="AD58" i="13"/>
  <c r="AC64" i="13"/>
  <c r="AC67" i="13" s="1"/>
  <c r="AC70" i="13" s="1"/>
  <c r="AC72" i="13" s="1"/>
  <c r="AC74" i="13" s="1"/>
  <c r="AA98" i="13"/>
  <c r="AA183" i="13" s="1"/>
  <c r="M35" i="12"/>
  <c r="O58" i="12"/>
  <c r="Y166" i="13"/>
  <c r="Z166" i="13" s="1"/>
  <c r="Z148" i="13"/>
  <c r="AC28" i="13"/>
  <c r="AD28" i="13" s="1"/>
  <c r="O12" i="12"/>
  <c r="K37" i="12"/>
  <c r="K34" i="12"/>
  <c r="M33" i="12"/>
  <c r="K13" i="12" l="1"/>
  <c r="K47" i="12"/>
  <c r="M9" i="12"/>
  <c r="AC75" i="13"/>
  <c r="AD75" i="13" s="1"/>
  <c r="O28" i="12"/>
  <c r="AD63" i="13"/>
  <c r="AD64" i="13" s="1"/>
  <c r="AD67" i="13" s="1"/>
  <c r="AD70" i="13" s="1"/>
  <c r="AD72" i="13" s="1"/>
  <c r="AD74" i="13" s="1"/>
  <c r="AD77" i="13" s="1"/>
  <c r="AD182" i="13" s="1"/>
  <c r="O9" i="12"/>
  <c r="M13" i="12"/>
  <c r="Q13" i="12" s="1"/>
  <c r="M10" i="12"/>
  <c r="AB98" i="13"/>
  <c r="AB183" i="13" s="1"/>
  <c r="O35" i="12"/>
  <c r="AD19" i="13"/>
  <c r="AD21" i="13" s="1"/>
  <c r="AD23" i="13" s="1"/>
  <c r="AD25" i="13" s="1"/>
  <c r="AD27" i="13" s="1"/>
  <c r="AD30" i="13" s="1"/>
  <c r="AD179" i="13" s="1"/>
  <c r="AC21" i="13"/>
  <c r="AC23" i="13" s="1"/>
  <c r="AC25" i="13" s="1"/>
  <c r="AC27" i="13" s="1"/>
  <c r="AC30" i="13" s="1"/>
  <c r="AC179" i="13" s="1"/>
  <c r="AC51" i="13"/>
  <c r="AD51" i="13" s="1"/>
  <c r="O20" i="12"/>
  <c r="J57" i="12"/>
  <c r="K56" i="12"/>
  <c r="K57" i="12" s="1"/>
  <c r="AB46" i="13"/>
  <c r="AB48" i="13" s="1"/>
  <c r="AB50" i="13" s="1"/>
  <c r="AC45" i="13"/>
  <c r="AA148" i="13"/>
  <c r="K67" i="12"/>
  <c r="K68" i="12" s="1"/>
  <c r="Z150" i="13"/>
  <c r="Z191" i="13" s="1"/>
  <c r="M34" i="12"/>
  <c r="O33" i="12"/>
  <c r="M37" i="12"/>
  <c r="Q37" i="12" s="1"/>
  <c r="O65" i="12"/>
  <c r="AC88" i="13"/>
  <c r="AC91" i="13" s="1"/>
  <c r="AC93" i="13" s="1"/>
  <c r="AC95" i="13" s="1"/>
  <c r="AD83" i="13"/>
  <c r="AD88" i="13" s="1"/>
  <c r="AD91" i="13" s="1"/>
  <c r="AD93" i="13" s="1"/>
  <c r="AD95" i="13" s="1"/>
  <c r="AB30" i="13"/>
  <c r="AB179" i="13" s="1"/>
  <c r="O11" i="12"/>
  <c r="K21" i="12"/>
  <c r="M17" i="12"/>
  <c r="K18" i="12"/>
  <c r="Z131" i="13"/>
  <c r="W131" i="13"/>
  <c r="J59" i="12"/>
  <c r="J60" i="12" s="1"/>
  <c r="J79" i="12" s="1"/>
  <c r="O73" i="12"/>
  <c r="J13" i="12"/>
  <c r="J78" i="12" s="1"/>
  <c r="J80" i="12" s="1"/>
  <c r="J10" i="12"/>
  <c r="J47" i="12"/>
  <c r="K9" i="12"/>
  <c r="K10" i="12" s="1"/>
  <c r="O29" i="12"/>
  <c r="S29" i="12" s="1"/>
  <c r="O26" i="12"/>
  <c r="AA166" i="13"/>
  <c r="K75" i="12"/>
  <c r="K76" i="12" s="1"/>
  <c r="Z168" i="13"/>
  <c r="Z192" i="13" s="1"/>
  <c r="Z184" i="13"/>
  <c r="K44" i="12"/>
  <c r="M58" i="12"/>
  <c r="AB77" i="13"/>
  <c r="AB182" i="13" s="1"/>
  <c r="AC77" i="13"/>
  <c r="AC182" i="13" s="1"/>
  <c r="AA114" i="13"/>
  <c r="AB111" i="13"/>
  <c r="O43" i="12"/>
  <c r="AC96" i="13"/>
  <c r="AD96" i="13" s="1"/>
  <c r="O36" i="12"/>
  <c r="Z186" i="13"/>
  <c r="AA53" i="13"/>
  <c r="AA181" i="13" s="1"/>
  <c r="M19" i="12"/>
  <c r="M47" i="12" s="1"/>
  <c r="M56" i="12"/>
  <c r="AA186" i="13" l="1"/>
  <c r="AA184" i="13"/>
  <c r="M44" i="12"/>
  <c r="Z197" i="13"/>
  <c r="Z201" i="13" s="1"/>
  <c r="K78" i="12"/>
  <c r="AB166" i="13"/>
  <c r="M75" i="12"/>
  <c r="M76" i="12" s="1"/>
  <c r="AA168" i="13"/>
  <c r="AA192" i="13" s="1"/>
  <c r="O19" i="12"/>
  <c r="AB53" i="13"/>
  <c r="AB181" i="13" s="1"/>
  <c r="O37" i="12"/>
  <c r="S37" i="12" s="1"/>
  <c r="O34" i="12"/>
  <c r="M57" i="12"/>
  <c r="O56" i="12"/>
  <c r="O57" i="12" s="1"/>
  <c r="AD98" i="13"/>
  <c r="AD183" i="13" s="1"/>
  <c r="M18" i="12"/>
  <c r="O17" i="12"/>
  <c r="M21" i="12"/>
  <c r="Q21" i="12" s="1"/>
  <c r="AB114" i="13"/>
  <c r="AC111" i="13"/>
  <c r="AC98" i="13"/>
  <c r="AC183" i="13" s="1"/>
  <c r="AB148" i="13"/>
  <c r="M67" i="12"/>
  <c r="M68" i="12" s="1"/>
  <c r="Q68" i="12" s="1"/>
  <c r="AA150" i="13"/>
  <c r="AA191" i="13" s="1"/>
  <c r="K79" i="12"/>
  <c r="AA131" i="13"/>
  <c r="K59" i="12"/>
  <c r="K60" i="12" s="1"/>
  <c r="Z133" i="13"/>
  <c r="Z190" i="13" s="1"/>
  <c r="Z195" i="13" s="1"/>
  <c r="O47" i="12"/>
  <c r="O10" i="12"/>
  <c r="O13" i="12"/>
  <c r="S13" i="12" s="1"/>
  <c r="AC46" i="13"/>
  <c r="AC48" i="13" s="1"/>
  <c r="AC50" i="13" s="1"/>
  <c r="AC53" i="13" s="1"/>
  <c r="AC181" i="13" s="1"/>
  <c r="AD45" i="13"/>
  <c r="AD46" i="13" s="1"/>
  <c r="AD48" i="13" s="1"/>
  <c r="AD50" i="13" s="1"/>
  <c r="AD53" i="13" s="1"/>
  <c r="AD181" i="13" s="1"/>
  <c r="AB131" i="13" l="1"/>
  <c r="M59" i="12"/>
  <c r="M60" i="12" s="1"/>
  <c r="Q60" i="12" s="1"/>
  <c r="AA133" i="13"/>
  <c r="AA190" i="13" s="1"/>
  <c r="AA195" i="13" s="1"/>
  <c r="AA197" i="13" s="1"/>
  <c r="AA201" i="13" s="1"/>
  <c r="AD111" i="13"/>
  <c r="AD114" i="13" s="1"/>
  <c r="AD184" i="13" s="1"/>
  <c r="AD186" i="13" s="1"/>
  <c r="AC114" i="13"/>
  <c r="AC184" i="13" s="1"/>
  <c r="AC186" i="13" s="1"/>
  <c r="O21" i="12"/>
  <c r="S21" i="12" s="1"/>
  <c r="O18" i="12"/>
  <c r="AC166" i="13"/>
  <c r="O75" i="12"/>
  <c r="O76" i="12" s="1"/>
  <c r="AB168" i="13"/>
  <c r="AB192" i="13" s="1"/>
  <c r="M78" i="12"/>
  <c r="Q44" i="12"/>
  <c r="P44" i="12" s="1"/>
  <c r="O44" i="12"/>
  <c r="AB184" i="13"/>
  <c r="AB186" i="13" s="1"/>
  <c r="K80" i="12"/>
  <c r="AC148" i="13"/>
  <c r="O67" i="12"/>
  <c r="O68" i="12" s="1"/>
  <c r="S68" i="12" s="1"/>
  <c r="AB150" i="13"/>
  <c r="AB191" i="13" s="1"/>
  <c r="Q76" i="12"/>
  <c r="S44" i="12" l="1"/>
  <c r="O78" i="12"/>
  <c r="S76" i="12"/>
  <c r="AC131" i="13"/>
  <c r="O59" i="12"/>
  <c r="O60" i="12" s="1"/>
  <c r="S60" i="12" s="1"/>
  <c r="AB133" i="13"/>
  <c r="AB190" i="13" s="1"/>
  <c r="AB195" i="13" s="1"/>
  <c r="AB197" i="13" s="1"/>
  <c r="AB201" i="13" s="1"/>
  <c r="AD148" i="13"/>
  <c r="AD150" i="13" s="1"/>
  <c r="AD191" i="13" s="1"/>
  <c r="AC150" i="13"/>
  <c r="AC191" i="13" s="1"/>
  <c r="AD166" i="13"/>
  <c r="AD168" i="13" s="1"/>
  <c r="AD192" i="13" s="1"/>
  <c r="AC168" i="13"/>
  <c r="AC192" i="13" s="1"/>
  <c r="M79" i="12"/>
  <c r="M80" i="12"/>
  <c r="AD131" i="13" l="1"/>
  <c r="AD133" i="13" s="1"/>
  <c r="AD190" i="13" s="1"/>
  <c r="AD195" i="13" s="1"/>
  <c r="AD197" i="13" s="1"/>
  <c r="AC133" i="13"/>
  <c r="AC190" i="13" s="1"/>
  <c r="AC195" i="13" s="1"/>
  <c r="AC197" i="13" s="1"/>
  <c r="AC201" i="13" s="1"/>
  <c r="O79" i="12"/>
  <c r="O80" i="12" s="1"/>
  <c r="AD201" i="13" l="1"/>
  <c r="I21" i="10" l="1"/>
  <c r="B21" i="10"/>
  <c r="K24" i="10"/>
  <c r="J24" i="10"/>
  <c r="K19" i="10"/>
  <c r="J19" i="10"/>
  <c r="I19" i="10"/>
  <c r="J20" i="11"/>
  <c r="J19" i="11"/>
  <c r="J24" i="11"/>
  <c r="I24" i="11"/>
  <c r="I21" i="11"/>
  <c r="I20" i="11"/>
  <c r="I19" i="11"/>
  <c r="J16" i="11"/>
  <c r="G6" i="11" l="1"/>
  <c r="G7" i="11"/>
  <c r="F8" i="11" l="1"/>
  <c r="F13" i="11" s="1"/>
  <c r="E8" i="11"/>
  <c r="E13" i="11" s="1"/>
  <c r="E20" i="11" s="1"/>
  <c r="E32" i="11" s="1"/>
  <c r="D8" i="11"/>
  <c r="D13" i="11" s="1"/>
  <c r="D20" i="11" s="1"/>
  <c r="D32" i="11" s="1"/>
  <c r="J11" i="11"/>
  <c r="I11" i="11"/>
  <c r="B8" i="11"/>
  <c r="F36" i="11"/>
  <c r="E36" i="11"/>
  <c r="D36" i="11"/>
  <c r="F32" i="11"/>
  <c r="G16" i="11"/>
  <c r="H8" i="11"/>
  <c r="H13" i="11" s="1"/>
  <c r="J2" i="11"/>
  <c r="F34" i="10"/>
  <c r="F31" i="10"/>
  <c r="F36" i="10"/>
  <c r="E31" i="10"/>
  <c r="D31" i="10"/>
  <c r="C31" i="10"/>
  <c r="F26" i="10"/>
  <c r="G18" i="10"/>
  <c r="F12" i="10"/>
  <c r="D12" i="10"/>
  <c r="I10" i="10"/>
  <c r="K10" i="10"/>
  <c r="E12" i="10"/>
  <c r="E24" i="10" s="1"/>
  <c r="C8" i="11" l="1"/>
  <c r="C13" i="11" s="1"/>
  <c r="C19" i="11" s="1"/>
  <c r="B13" i="11"/>
  <c r="B24" i="11" s="1"/>
  <c r="E34" i="10"/>
  <c r="E36" i="10" s="1"/>
  <c r="K34" i="10"/>
  <c r="E26" i="10"/>
  <c r="L10" i="10"/>
  <c r="C12" i="10"/>
  <c r="D24" i="10" s="1"/>
  <c r="J10" i="10"/>
  <c r="G10" i="10"/>
  <c r="D19" i="11"/>
  <c r="F19" i="11"/>
  <c r="E19" i="11"/>
  <c r="K11" i="11"/>
  <c r="G11" i="11"/>
  <c r="G7" i="10" l="1"/>
  <c r="I7" i="10" s="1"/>
  <c r="B12" i="10"/>
  <c r="C20" i="11"/>
  <c r="C32" i="11" s="1"/>
  <c r="C24" i="11"/>
  <c r="C36" i="11" s="1"/>
  <c r="J36" i="11" s="1"/>
  <c r="B19" i="11"/>
  <c r="G19" i="11" s="1"/>
  <c r="B20" i="11"/>
  <c r="D34" i="10"/>
  <c r="D36" i="10" s="1"/>
  <c r="D26" i="10"/>
  <c r="C24" i="10"/>
  <c r="D21" i="11"/>
  <c r="D26" i="11" s="1"/>
  <c r="D31" i="11"/>
  <c r="D33" i="11" s="1"/>
  <c r="D38" i="11" s="1"/>
  <c r="F31" i="11"/>
  <c r="F33" i="11" s="1"/>
  <c r="F38" i="11" s="1"/>
  <c r="F21" i="11"/>
  <c r="F26" i="11" s="1"/>
  <c r="E21" i="11"/>
  <c r="E26" i="11" s="1"/>
  <c r="E31" i="11"/>
  <c r="E33" i="11" s="1"/>
  <c r="E38" i="11" s="1"/>
  <c r="I7" i="11"/>
  <c r="J7" i="11"/>
  <c r="C31" i="11"/>
  <c r="C33" i="11" s="1"/>
  <c r="J6" i="11"/>
  <c r="G8" i="11"/>
  <c r="G13" i="11" s="1"/>
  <c r="I6" i="11"/>
  <c r="B36" i="11"/>
  <c r="B21" i="11" l="1"/>
  <c r="B26" i="11" s="1"/>
  <c r="B32" i="11"/>
  <c r="G32" i="11" s="1"/>
  <c r="K7" i="10"/>
  <c r="K12" i="10" s="1"/>
  <c r="J7" i="10"/>
  <c r="J12" i="10" s="1"/>
  <c r="G12" i="10"/>
  <c r="B24" i="10"/>
  <c r="I24" i="10" s="1"/>
  <c r="G24" i="11"/>
  <c r="C38" i="11"/>
  <c r="G20" i="11"/>
  <c r="J32" i="11" s="1"/>
  <c r="C21" i="11"/>
  <c r="C26" i="11" s="1"/>
  <c r="B31" i="11"/>
  <c r="G31" i="11" s="1"/>
  <c r="C34" i="10"/>
  <c r="C36" i="10" s="1"/>
  <c r="J34" i="10"/>
  <c r="C26" i="10"/>
  <c r="K24" i="11"/>
  <c r="K7" i="11"/>
  <c r="J8" i="11"/>
  <c r="J13" i="11" s="1"/>
  <c r="I8" i="11"/>
  <c r="I13" i="11" s="1"/>
  <c r="K6" i="11"/>
  <c r="G36" i="11"/>
  <c r="I36" i="11"/>
  <c r="K36" i="11" s="1"/>
  <c r="G21" i="11" l="1"/>
  <c r="B33" i="11"/>
  <c r="B38" i="11" s="1"/>
  <c r="G21" i="10"/>
  <c r="B26" i="10"/>
  <c r="B31" i="10"/>
  <c r="B34" i="10"/>
  <c r="G34" i="10" s="1"/>
  <c r="I34" i="10"/>
  <c r="L34" i="10" s="1"/>
  <c r="I12" i="10"/>
  <c r="L7" i="10"/>
  <c r="L12" i="10" s="1"/>
  <c r="G24" i="10"/>
  <c r="K20" i="11"/>
  <c r="G33" i="11"/>
  <c r="G38" i="11" s="1"/>
  <c r="G26" i="11"/>
  <c r="K8" i="11"/>
  <c r="K13" i="11" s="1"/>
  <c r="J21" i="11"/>
  <c r="J26" i="11" s="1"/>
  <c r="J31" i="11"/>
  <c r="J33" i="11" s="1"/>
  <c r="J38" i="11" s="1"/>
  <c r="I31" i="11"/>
  <c r="K19" i="11"/>
  <c r="J21" i="10" l="1"/>
  <c r="K21" i="10"/>
  <c r="I32" i="11"/>
  <c r="K32" i="11" s="1"/>
  <c r="I26" i="11"/>
  <c r="L24" i="10"/>
  <c r="G26" i="10"/>
  <c r="G31" i="10"/>
  <c r="G36" i="10" s="1"/>
  <c r="B36" i="10"/>
  <c r="K21" i="11"/>
  <c r="K26" i="11" s="1"/>
  <c r="K31" i="11"/>
  <c r="I33" i="11" l="1"/>
  <c r="I38" i="11" s="1"/>
  <c r="K33" i="11"/>
  <c r="K38" i="11" s="1"/>
  <c r="K31" i="10"/>
  <c r="K36" i="10" s="1"/>
  <c r="K26" i="10"/>
  <c r="I31" i="10"/>
  <c r="I26" i="10"/>
  <c r="L21" i="10"/>
  <c r="L26" i="10" s="1"/>
  <c r="J26" i="10"/>
  <c r="J31" i="10"/>
  <c r="J36" i="10" s="1"/>
  <c r="I36" i="10" l="1"/>
  <c r="L31" i="10"/>
  <c r="L36" i="10" s="1"/>
</calcChain>
</file>

<file path=xl/comments1.xml><?xml version="1.0" encoding="utf-8"?>
<comments xmlns="http://schemas.openxmlformats.org/spreadsheetml/2006/main">
  <authors>
    <author>RFF9457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</commentList>
</comments>
</file>

<file path=xl/comments2.xml><?xml version="1.0" encoding="utf-8"?>
<comments xmlns="http://schemas.openxmlformats.org/spreadsheetml/2006/main">
  <authors>
    <author>RFF9457</author>
  </authors>
  <commentList>
    <comment ref="I17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</commentList>
</comments>
</file>

<file path=xl/comments3.xml><?xml version="1.0" encoding="utf-8"?>
<comments xmlns="http://schemas.openxmlformats.org/spreadsheetml/2006/main">
  <authors>
    <author>gz5v1n</author>
  </authors>
  <commentList>
    <comment ref="Q199" authorId="0" shapeId="0">
      <text>
        <r>
          <rPr>
            <b/>
            <sz val="8"/>
            <color indexed="81"/>
            <rFont val="Tahoma"/>
            <family val="2"/>
          </rPr>
          <t>gz5v1n:</t>
        </r>
        <r>
          <rPr>
            <sz val="8"/>
            <color indexed="81"/>
            <rFont val="Tahoma"/>
            <family val="2"/>
          </rPr>
          <t xml:space="preserve">
Checked with Howard Grimsrud. 2012
 adds to plt-in-svc are in line with original estimate from a yr ago.
</t>
        </r>
      </text>
    </comment>
  </commentList>
</comments>
</file>

<file path=xl/sharedStrings.xml><?xml version="1.0" encoding="utf-8"?>
<sst xmlns="http://schemas.openxmlformats.org/spreadsheetml/2006/main" count="617" uniqueCount="270">
  <si>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</si>
  <si>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</si>
  <si>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</si>
  <si>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</si>
  <si>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</si>
  <si>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</si>
  <si>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</si>
  <si>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</si>
  <si>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</si>
  <si>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</si>
  <si>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</si>
  <si>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</si>
  <si>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</si>
  <si>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</si>
  <si>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</si>
  <si>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</si>
  <si>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</si>
  <si>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</si>
  <si>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</si>
  <si>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</si>
  <si>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</si>
  <si>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</si>
  <si>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</si>
  <si>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</si>
  <si>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</si>
  <si>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</si>
  <si>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</si>
  <si>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</si>
  <si>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</si>
  <si>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</si>
  <si>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</si>
  <si>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</si>
  <si>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</si>
  <si>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</si>
  <si>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</si>
  <si>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</si>
  <si>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</si>
  <si>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</si>
  <si>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</si>
  <si>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</si>
  <si>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</si>
  <si>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</si>
  <si>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</si>
  <si>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</si>
  <si>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</si>
  <si>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</si>
  <si>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</si>
  <si>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</si>
  <si>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</si>
  <si>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</si>
  <si>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</si>
  <si>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</si>
  <si>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</si>
  <si>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</si>
  <si>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</si>
  <si>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</si>
  <si>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</si>
  <si>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</si>
  <si>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</si>
  <si>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</si>
  <si>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Macro60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</si>
  <si>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</si>
  <si>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</si>
  <si>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</si>
  <si>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</si>
  <si>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</si>
  <si>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</si>
  <si>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</si>
  <si>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</si>
  <si>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</si>
  <si>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</si>
  <si>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</si>
  <si>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</si>
  <si>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Auto_Open</t>
  </si>
  <si>
    <t>Adjustment</t>
  </si>
  <si>
    <t>PAYMENTS MADE TO JURISDICTIONS FOR NATURAL GAS</t>
  </si>
  <si>
    <t>ALLOCATION</t>
  </si>
  <si>
    <t>Washington</t>
  </si>
  <si>
    <t>Idaho</t>
  </si>
  <si>
    <t>Montana</t>
  </si>
  <si>
    <t>Oregon</t>
  </si>
  <si>
    <t>Colstrip</t>
  </si>
  <si>
    <t>Total</t>
  </si>
  <si>
    <t>Actual Per Results</t>
  </si>
  <si>
    <t>U/G Storage (1):</t>
  </si>
  <si>
    <t>Dist:</t>
  </si>
  <si>
    <t>U/G Storage Allocation</t>
  </si>
  <si>
    <t>U/G Storage:</t>
  </si>
  <si>
    <t>PAYMENTS MADE TO JURISDICTIONS FOR ELECTRIC</t>
  </si>
  <si>
    <t>P/T:</t>
  </si>
  <si>
    <t xml:space="preserve">   P/T Total</t>
  </si>
  <si>
    <t>P/T</t>
  </si>
  <si>
    <t>Restated</t>
  </si>
  <si>
    <t>Pro Forma 2016</t>
  </si>
  <si>
    <r>
      <t xml:space="preserve">REVISED (09.2015 PF/CC) </t>
    </r>
    <r>
      <rPr>
        <u/>
        <sz val="11"/>
        <color theme="1"/>
        <rFont val="Calibri"/>
        <family val="2"/>
        <scheme val="minor"/>
      </rPr>
      <t>Restated</t>
    </r>
    <r>
      <rPr>
        <sz val="11"/>
        <color theme="1"/>
        <rFont val="Calibri"/>
        <family val="2"/>
        <scheme val="minor"/>
      </rPr>
      <t xml:space="preserve"> Property Tax Adj 2.02</t>
    </r>
  </si>
  <si>
    <r>
      <t xml:space="preserve">REVISED (09.2015 PF/CC) </t>
    </r>
    <r>
      <rPr>
        <u/>
        <sz val="11"/>
        <color theme="1"/>
        <rFont val="Calibri"/>
        <family val="2"/>
        <scheme val="minor"/>
      </rPr>
      <t xml:space="preserve">Pro Forma </t>
    </r>
    <r>
      <rPr>
        <sz val="11"/>
        <color theme="1"/>
        <rFont val="Calibri"/>
        <family val="2"/>
        <scheme val="minor"/>
      </rPr>
      <t>Property Tax Adj 3.04</t>
    </r>
  </si>
  <si>
    <t>Allocations revised 1/1/2016</t>
  </si>
  <si>
    <r>
      <t xml:space="preserve">REVISED (09.2015 PF/CC) </t>
    </r>
    <r>
      <rPr>
        <b/>
        <u/>
        <sz val="11"/>
        <color theme="1"/>
        <rFont val="Calibri"/>
        <family val="2"/>
        <scheme val="minor"/>
      </rPr>
      <t>Restated</t>
    </r>
    <r>
      <rPr>
        <b/>
        <sz val="11"/>
        <color theme="1"/>
        <rFont val="Calibri"/>
        <family val="2"/>
        <scheme val="minor"/>
      </rPr>
      <t xml:space="preserve"> Property Tax Adj 2.02</t>
    </r>
  </si>
  <si>
    <r>
      <t xml:space="preserve">REVISED (09.2015 PF/CC) </t>
    </r>
    <r>
      <rPr>
        <b/>
        <u/>
        <sz val="11"/>
        <color theme="1"/>
        <rFont val="Calibri"/>
        <family val="2"/>
        <scheme val="minor"/>
      </rPr>
      <t xml:space="preserve">Pro Forma </t>
    </r>
    <r>
      <rPr>
        <b/>
        <sz val="11"/>
        <color theme="1"/>
        <rFont val="Calibri"/>
        <family val="2"/>
        <scheme val="minor"/>
      </rPr>
      <t>Property Tax Adj 3.06</t>
    </r>
  </si>
  <si>
    <t>&lt;----(Allocations for 2016 forward)</t>
  </si>
  <si>
    <t>(2015 Allocations)</t>
  </si>
  <si>
    <t>&lt;----(2015 Allocations 2015)</t>
  </si>
  <si>
    <t>CY</t>
  </si>
  <si>
    <t>Book Value as of</t>
  </si>
  <si>
    <t>Accrual year</t>
  </si>
  <si>
    <t>Electric</t>
  </si>
  <si>
    <t>Beginning Balance</t>
  </si>
  <si>
    <t>Changes</t>
  </si>
  <si>
    <t>Tax Basis</t>
  </si>
  <si>
    <t>Tax Rate</t>
  </si>
  <si>
    <t>Total Actual Taxes Paid</t>
  </si>
  <si>
    <t>(imnaha transmission line)</t>
  </si>
  <si>
    <t>(coyote springs)</t>
  </si>
  <si>
    <t>Coyote</t>
  </si>
  <si>
    <t>Gas</t>
  </si>
  <si>
    <t>Total Taxes Paid</t>
  </si>
  <si>
    <t>2015 as of 03/29/2016</t>
  </si>
  <si>
    <t xml:space="preserve"> </t>
  </si>
  <si>
    <t>in thousands</t>
  </si>
  <si>
    <t>BOOK VALUE @ DEC</t>
  </si>
  <si>
    <t>YEAR ASSESSED</t>
  </si>
  <si>
    <t>YEAR TAX ACCRUED</t>
  </si>
  <si>
    <t>YEAR TAX PAYABLE ( oregon &amp; california)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</si>
  <si>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</si>
  <si>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</si>
  <si>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</si>
  <si>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</si>
  <si>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</si>
  <si>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</si>
  <si>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</si>
  <si>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</si>
  <si>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</si>
  <si>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</si>
  <si>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</si>
  <si>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</si>
  <si>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</si>
  <si>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</si>
  <si>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</si>
  <si>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2006 Actual</t>
  </si>
  <si>
    <t>2007 Actual</t>
  </si>
  <si>
    <t>2008 Actual</t>
  </si>
  <si>
    <t>2009 Actual</t>
  </si>
  <si>
    <t>2010 Actual</t>
  </si>
  <si>
    <t>2011 Actual</t>
  </si>
  <si>
    <t>2012 Actual</t>
  </si>
  <si>
    <t>2013 ACTUALS</t>
  </si>
  <si>
    <t>2014 ACTUALS</t>
  </si>
  <si>
    <t>2015 ACTUALS</t>
  </si>
  <si>
    <t>2018 Estimate</t>
  </si>
  <si>
    <t>2019 Estimate</t>
  </si>
  <si>
    <t>2020 Estimate</t>
  </si>
  <si>
    <t>WASHINGTON - ELECTRIC</t>
  </si>
  <si>
    <t>50% CS II added, Off. Bldg added</t>
  </si>
  <si>
    <t>Rathdrum in beg assessment</t>
  </si>
  <si>
    <t>HIST COST INDICATOR</t>
  </si>
  <si>
    <t>ESTIMATED SYSTEM VALUE</t>
  </si>
  <si>
    <t>ADD : NET ADDITIONS TO PLANT</t>
  </si>
  <si>
    <t>per YTD Dec 2009 adds E &amp; C</t>
  </si>
  <si>
    <t>LESS: Intangibles Other</t>
  </si>
  <si>
    <t>ADD : Smart Grid CIAC</t>
  </si>
  <si>
    <t>LESS : Vehicles</t>
  </si>
  <si>
    <t>LESS : DEPR EST</t>
  </si>
  <si>
    <t>use 2008 E as est, Form 1 pg 114</t>
  </si>
  <si>
    <t>TAXABLE PERCENTAGE</t>
  </si>
  <si>
    <t>STATE ALLOCATION %</t>
  </si>
  <si>
    <t>ALLOCATED VALUE</t>
  </si>
  <si>
    <t>add:adjustments</t>
  </si>
  <si>
    <t>GROSS ASSESSED VALUE</t>
  </si>
  <si>
    <t>equalization factor</t>
  </si>
  <si>
    <t>ASSESSED VALUE</t>
  </si>
  <si>
    <t>OTHER</t>
  </si>
  <si>
    <t>TAX RATE</t>
  </si>
  <si>
    <t>TAX</t>
  </si>
  <si>
    <t>2010 ACTUAL</t>
  </si>
  <si>
    <t>2013 Actual</t>
  </si>
  <si>
    <t>2014 Actual</t>
  </si>
  <si>
    <t>2015 Actual</t>
  </si>
  <si>
    <t>IDAHO - ELECTRIC</t>
  </si>
  <si>
    <t>Includes CS II 50% addition in 2005</t>
  </si>
  <si>
    <t>LESS : OTHER</t>
  </si>
  <si>
    <t>RATIO</t>
  </si>
  <si>
    <t>MONTANA - ELECTRIC</t>
  </si>
  <si>
    <t>combined method in MT</t>
  </si>
  <si>
    <t>(combine  E &amp; G)</t>
  </si>
  <si>
    <r>
      <t xml:space="preserve">Hist Cost Indicator - </t>
    </r>
    <r>
      <rPr>
        <b/>
        <u/>
        <sz val="8"/>
        <rFont val="Helv"/>
      </rPr>
      <t>before</t>
    </r>
    <r>
      <rPr>
        <b/>
        <sz val="8"/>
        <rFont val="Helv"/>
      </rPr>
      <t xml:space="preserve"> IRR reduction</t>
    </r>
  </si>
  <si>
    <r>
      <t xml:space="preserve">HIST COST INDICATOR - </t>
    </r>
    <r>
      <rPr>
        <b/>
        <u/>
        <sz val="8"/>
        <rFont val="Helv"/>
      </rPr>
      <t>after</t>
    </r>
    <r>
      <rPr>
        <b/>
        <sz val="8"/>
        <rFont val="Helv"/>
      </rPr>
      <t xml:space="preserve"> IPP reduction</t>
    </r>
  </si>
  <si>
    <t>ADD : NET ADDITIONS TO PLANT - E &amp; G</t>
  </si>
  <si>
    <t>LESS : INTANGIBLE EST</t>
  </si>
  <si>
    <t>LESS : INTANGIBLE EST (10%)</t>
  </si>
  <si>
    <t>add: adjustments</t>
  </si>
  <si>
    <t>EQUALIZATION FACTOR</t>
  </si>
  <si>
    <t>GROSS MARKET VALUE</t>
  </si>
  <si>
    <t>taxable VALUE</t>
  </si>
  <si>
    <t>adjustments</t>
  </si>
  <si>
    <t>taxable value</t>
  </si>
  <si>
    <t>OREGON - ELECTRIC</t>
  </si>
  <si>
    <t>06/07 Actual</t>
  </si>
  <si>
    <t>07/08 Actual</t>
  </si>
  <si>
    <t>08/09 Actual</t>
  </si>
  <si>
    <t>09/10 Actual</t>
  </si>
  <si>
    <t>10/11 ACTUAL</t>
  </si>
  <si>
    <t>11/12 Actual</t>
  </si>
  <si>
    <t>12/13 Actual</t>
  </si>
  <si>
    <t>13/14 Actual</t>
  </si>
  <si>
    <t>14/15 Actual</t>
  </si>
  <si>
    <t>15/16 Actual</t>
  </si>
  <si>
    <t>18/19 Estimate</t>
  </si>
  <si>
    <t>19/20 Estimate</t>
  </si>
  <si>
    <t>2020/2021 Estimate</t>
  </si>
  <si>
    <t>(transmission line)</t>
  </si>
  <si>
    <t>(Imnaha transmission line)</t>
  </si>
  <si>
    <t>ADD : LOLO-OXBOW TRANSMISSION LINE - LOCATION 640 (ptn in ID, ptn in OR)</t>
  </si>
  <si>
    <t>ADD: POLL CONTROL EQUIP</t>
  </si>
  <si>
    <t>09/10 Actual / Estimate</t>
  </si>
  <si>
    <t>Coyote Springs II + misc</t>
  </si>
  <si>
    <t>Coyote Springs II &amp; misc</t>
  </si>
  <si>
    <t>LESS : DEPR</t>
  </si>
  <si>
    <t>ADD : 100% CS II GENERATING PLANT March 1, 2003 ?</t>
  </si>
  <si>
    <t>na</t>
  </si>
  <si>
    <t>Other Misc property taxes</t>
  </si>
  <si>
    <t>In Lieu of Ad Valorem Taxes for 5 year staring in 2003 - Flat Rate</t>
  </si>
  <si>
    <t>Estimated levy rate</t>
  </si>
  <si>
    <t>% ownership of plant</t>
  </si>
  <si>
    <t>Tax due from Avista Corp</t>
  </si>
  <si>
    <t>Actual and Estimated @ 12/31/2009</t>
  </si>
  <si>
    <t>WASHINGTON - GAS</t>
  </si>
  <si>
    <t xml:space="preserve">2009 Actual </t>
  </si>
  <si>
    <t xml:space="preserve">2010 Actual </t>
  </si>
  <si>
    <t>2013 Actuals</t>
  </si>
  <si>
    <t>2014 Actuals</t>
  </si>
  <si>
    <t>2015 Actuals</t>
  </si>
  <si>
    <t>IDAHO - GAS</t>
  </si>
  <si>
    <t>OREGON - GAS</t>
  </si>
  <si>
    <t xml:space="preserve">09/10 Actual </t>
  </si>
  <si>
    <t>HIST COST OREGON</t>
  </si>
  <si>
    <t>ESTIMATED STATE VALUE</t>
  </si>
  <si>
    <t>STATE VALUE</t>
  </si>
  <si>
    <t>Adjustments:</t>
  </si>
  <si>
    <t>To Rosemary Coulson on April 11, 2016</t>
  </si>
  <si>
    <t>at 10/13/2015</t>
  </si>
  <si>
    <t>at 3/29/2016</t>
  </si>
  <si>
    <t>SUMMARY:</t>
  </si>
  <si>
    <t>Actual</t>
  </si>
  <si>
    <t xml:space="preserve">Actual </t>
  </si>
  <si>
    <t>Actual (Accrued OR)</t>
  </si>
  <si>
    <t>Estimate</t>
  </si>
  <si>
    <t>ELECTRIC:</t>
  </si>
  <si>
    <t xml:space="preserve">     WASHINGTON</t>
  </si>
  <si>
    <t xml:space="preserve">     EST ADJ TO WASH</t>
  </si>
  <si>
    <t xml:space="preserve">     IDAHO</t>
  </si>
  <si>
    <t xml:space="preserve">     MONTANA</t>
  </si>
  <si>
    <t xml:space="preserve">     OREGON - Transm line only</t>
  </si>
  <si>
    <t xml:space="preserve">     OREGON - Coyote Springs II</t>
  </si>
  <si>
    <t xml:space="preserve">          SUBTOTAL</t>
  </si>
  <si>
    <t>GAS:</t>
  </si>
  <si>
    <t xml:space="preserve">     WASHINGTON </t>
  </si>
  <si>
    <t xml:space="preserve">     OREGON</t>
  </si>
  <si>
    <t>TOTAL EST TAX</t>
  </si>
  <si>
    <t>Uses 2% levy increases</t>
  </si>
  <si>
    <t>CS 2 full assessment</t>
  </si>
  <si>
    <t>2016 Expected</t>
  </si>
  <si>
    <t>2017 Expected</t>
  </si>
  <si>
    <r>
      <t xml:space="preserve">ADD : Net Additions to Plt - </t>
    </r>
    <r>
      <rPr>
        <b/>
        <u/>
        <sz val="8"/>
        <rFont val="Helv"/>
      </rPr>
      <t>E &amp; G &amp; C</t>
    </r>
  </si>
  <si>
    <r>
      <t xml:space="preserve">LESS : DEPR EST - </t>
    </r>
    <r>
      <rPr>
        <b/>
        <u/>
        <sz val="8"/>
        <rFont val="Helv"/>
      </rPr>
      <t>E &amp; G &amp; C</t>
    </r>
  </si>
  <si>
    <r>
      <t xml:space="preserve">PROPERTY TAX ESTIMATES FOR </t>
    </r>
    <r>
      <rPr>
        <b/>
        <u/>
        <sz val="10"/>
        <rFont val="Helv"/>
      </rPr>
      <t xml:space="preserve"> 2016-2020 5YR FORECAST </t>
    </r>
    <r>
      <rPr>
        <b/>
        <sz val="10"/>
        <color indexed="12"/>
        <rFont val="Helv"/>
      </rPr>
      <t/>
    </r>
  </si>
  <si>
    <t>16/17 Expected</t>
  </si>
  <si>
    <t>17/18 Expected</t>
  </si>
  <si>
    <t>(Restated)</t>
  </si>
  <si>
    <t>(PF 2016)</t>
  </si>
  <si>
    <t>(CC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</si>
</sst>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00"/>
    <numFmt numFmtId="167" formatCode="_(* #,##0.000000_);_(* \(#,##0.000000\);_(* &quot;-&quot;??_);_(@_)"/>
    <numFmt numFmtId="168" formatCode="_(&quot;$&quot;* #,##0_);_(&quot;$&quot;* \(#,##0\);_(&quot;$&quot;* &quot;-&quot;??_);_(@_)"/>
    <numFmt numFmtId="169" formatCode="0.00000"/>
    <numFmt numFmtId="170" formatCode="0.0000%"/>
    <numFmt numFmtId="171" formatCode="0.00000%"/>
    <numFmt numFmtId="172" formatCode="0.000"/>
    <numFmt numFmtId="173" formatCode="0.0000"/>
    <numFmt numFmtId="174" formatCode="0.0000000"/>
    <numFmt numFmtId="175" formatCode="0.000000%"/>
    <numFmt numFmtId="176" formatCode="0.000%"/>
    <numFmt numFmtId="177" formatCode="#,##0.0"/>
    <numFmt numFmtId="178" formatCode="0.00000000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CC"/>
      <name val="Calibri"/>
      <family val="2"/>
      <scheme val="minor"/>
    </font>
    <font>
      <sz val="10"/>
      <name val="Helv"/>
    </font>
    <font>
      <sz val="8"/>
      <name val="Arial"/>
      <family val="2"/>
    </font>
    <font>
      <sz val="8"/>
      <name val="Helv"/>
    </font>
    <font>
      <i/>
      <sz val="8"/>
      <name val="Helv"/>
    </font>
    <font>
      <b/>
      <sz val="10"/>
      <name val="Helv"/>
    </font>
    <font>
      <b/>
      <i/>
      <sz val="10"/>
      <name val="Helv"/>
    </font>
    <font>
      <b/>
      <sz val="8"/>
      <name val="Helv"/>
    </font>
    <font>
      <b/>
      <i/>
      <sz val="8"/>
      <name val="Helv"/>
    </font>
    <font>
      <b/>
      <u/>
      <sz val="8"/>
      <name val="Helv"/>
    </font>
    <font>
      <sz val="14"/>
      <name val="Helv"/>
    </font>
    <font>
      <b/>
      <sz val="9"/>
      <name val="Helv"/>
    </font>
    <font>
      <b/>
      <sz val="7"/>
      <name val="Helv"/>
    </font>
    <font>
      <b/>
      <sz val="14"/>
      <name val="Helv"/>
    </font>
    <font>
      <sz val="9"/>
      <name val="Helv"/>
    </font>
    <font>
      <b/>
      <sz val="10"/>
      <color indexed="12"/>
      <name val="Helv"/>
    </font>
    <font>
      <i/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u/>
      <sz val="8"/>
      <name val="Helv"/>
    </font>
    <font>
      <b/>
      <u/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460">
    <xf numFmtId="0" fontId="0" fillId="0" borderId="0" xfId="0"/>
    <xf numFmtId="0" fontId="9" fillId="0" borderId="0" xfId="3" applyFont="1" applyAlignment="1">
      <alignment horizontal="left"/>
    </xf>
    <xf numFmtId="0" fontId="9" fillId="0" borderId="0" xfId="3" applyFont="1"/>
    <xf numFmtId="0" fontId="8" fillId="0" borderId="0" xfId="3" applyFont="1" applyBorder="1" applyAlignment="1">
      <alignment horizontal="center"/>
    </xf>
    <xf numFmtId="10" fontId="10" fillId="0" borderId="0" xfId="5" applyNumberFormat="1" applyFont="1" applyAlignment="1">
      <alignment horizontal="center"/>
    </xf>
    <xf numFmtId="0" fontId="11" fillId="0" borderId="0" xfId="3" applyFont="1" applyAlignment="1">
      <alignment horizontal="center" wrapText="1"/>
    </xf>
    <xf numFmtId="0" fontId="8" fillId="0" borderId="0" xfId="3" applyFont="1" applyAlignment="1">
      <alignment horizontal="left"/>
    </xf>
    <xf numFmtId="164" fontId="10" fillId="0" borderId="0" xfId="2" applyNumberFormat="1" applyFont="1"/>
    <xf numFmtId="164" fontId="9" fillId="0" borderId="0" xfId="3" applyNumberFormat="1" applyFont="1"/>
    <xf numFmtId="0" fontId="9" fillId="0" borderId="0" xfId="3" quotePrefix="1" applyFont="1"/>
    <xf numFmtId="164" fontId="10" fillId="0" borderId="1" xfId="2" applyNumberFormat="1" applyFont="1" applyBorder="1"/>
    <xf numFmtId="164" fontId="9" fillId="0" borderId="1" xfId="3" applyNumberFormat="1" applyFont="1" applyBorder="1"/>
    <xf numFmtId="164" fontId="10" fillId="0" borderId="5" xfId="2" applyNumberFormat="1" applyFont="1" applyBorder="1"/>
    <xf numFmtId="0" fontId="9" fillId="0" borderId="0" xfId="4" applyFont="1"/>
    <xf numFmtId="0" fontId="11" fillId="2" borderId="6" xfId="3" applyFont="1" applyFill="1" applyBorder="1" applyAlignment="1">
      <alignment horizontal="center" wrapText="1"/>
    </xf>
    <xf numFmtId="164" fontId="10" fillId="2" borderId="3" xfId="2" applyNumberFormat="1" applyFont="1" applyFill="1" applyBorder="1"/>
    <xf numFmtId="0" fontId="9" fillId="2" borderId="7" xfId="3" applyFont="1" applyFill="1" applyBorder="1"/>
    <xf numFmtId="0" fontId="9" fillId="2" borderId="8" xfId="3" applyFont="1" applyFill="1" applyBorder="1"/>
    <xf numFmtId="0" fontId="9" fillId="2" borderId="9" xfId="3" applyFont="1" applyFill="1" applyBorder="1" applyAlignment="1">
      <alignment horizontal="left"/>
    </xf>
    <xf numFmtId="0" fontId="9" fillId="2" borderId="0" xfId="3" applyFont="1" applyFill="1" applyBorder="1"/>
    <xf numFmtId="0" fontId="9" fillId="2" borderId="10" xfId="3" applyFont="1" applyFill="1" applyBorder="1"/>
    <xf numFmtId="164" fontId="10" fillId="2" borderId="0" xfId="2" applyNumberFormat="1" applyFont="1" applyFill="1" applyBorder="1"/>
    <xf numFmtId="164" fontId="9" fillId="2" borderId="0" xfId="3" applyNumberFormat="1" applyFont="1" applyFill="1" applyBorder="1"/>
    <xf numFmtId="164" fontId="9" fillId="2" borderId="10" xfId="3" applyNumberFormat="1" applyFont="1" applyFill="1" applyBorder="1"/>
    <xf numFmtId="164" fontId="10" fillId="2" borderId="1" xfId="2" applyNumberFormat="1" applyFont="1" applyFill="1" applyBorder="1"/>
    <xf numFmtId="164" fontId="9" fillId="2" borderId="1" xfId="3" applyNumberFormat="1" applyFont="1" applyFill="1" applyBorder="1"/>
    <xf numFmtId="164" fontId="9" fillId="2" borderId="11" xfId="3" applyNumberFormat="1" applyFont="1" applyFill="1" applyBorder="1"/>
    <xf numFmtId="0" fontId="9" fillId="2" borderId="12" xfId="3" applyFont="1" applyFill="1" applyBorder="1" applyAlignment="1">
      <alignment horizontal="left"/>
    </xf>
    <xf numFmtId="164" fontId="10" fillId="2" borderId="5" xfId="2" applyNumberFormat="1" applyFont="1" applyFill="1" applyBorder="1"/>
    <xf numFmtId="164" fontId="10" fillId="2" borderId="13" xfId="2" applyNumberFormat="1" applyFont="1" applyFill="1" applyBorder="1"/>
    <xf numFmtId="0" fontId="9" fillId="2" borderId="5" xfId="3" applyFont="1" applyFill="1" applyBorder="1"/>
    <xf numFmtId="0" fontId="9" fillId="2" borderId="13" xfId="3" applyFont="1" applyFill="1" applyBorder="1"/>
    <xf numFmtId="0" fontId="11" fillId="0" borderId="6" xfId="3" applyFont="1" applyBorder="1" applyAlignment="1">
      <alignment horizontal="left"/>
    </xf>
    <xf numFmtId="0" fontId="9" fillId="0" borderId="7" xfId="3" applyFont="1" applyBorder="1"/>
    <xf numFmtId="0" fontId="9" fillId="0" borderId="8" xfId="3" applyFont="1" applyBorder="1"/>
    <xf numFmtId="0" fontId="9" fillId="0" borderId="9" xfId="3" applyFont="1" applyBorder="1" applyAlignment="1">
      <alignment horizontal="left"/>
    </xf>
    <xf numFmtId="0" fontId="9" fillId="0" borderId="0" xfId="3" applyFont="1" applyBorder="1"/>
    <xf numFmtId="0" fontId="9" fillId="0" borderId="10" xfId="3" applyFont="1" applyBorder="1"/>
    <xf numFmtId="164" fontId="10" fillId="0" borderId="0" xfId="2" applyNumberFormat="1" applyFont="1" applyBorder="1"/>
    <xf numFmtId="164" fontId="9" fillId="0" borderId="10" xfId="3" applyNumberFormat="1" applyFont="1" applyBorder="1"/>
    <xf numFmtId="164" fontId="9" fillId="0" borderId="11" xfId="3" applyNumberFormat="1" applyFont="1" applyBorder="1"/>
    <xf numFmtId="164" fontId="10" fillId="0" borderId="13" xfId="2" applyNumberFormat="1" applyFont="1" applyBorder="1"/>
    <xf numFmtId="0" fontId="9" fillId="0" borderId="12" xfId="3" applyFont="1" applyBorder="1" applyAlignment="1">
      <alignment horizontal="left"/>
    </xf>
    <xf numFmtId="0" fontId="9" fillId="0" borderId="5" xfId="3" applyFont="1" applyBorder="1"/>
    <xf numFmtId="0" fontId="9" fillId="0" borderId="13" xfId="3" applyFont="1" applyBorder="1"/>
    <xf numFmtId="0" fontId="9" fillId="0" borderId="0" xfId="3" applyAlignment="1">
      <alignment horizontal="left"/>
    </xf>
    <xf numFmtId="0" fontId="9" fillId="0" borderId="0" xfId="3"/>
    <xf numFmtId="10" fontId="0" fillId="0" borderId="0" xfId="5" applyNumberFormat="1" applyFont="1" applyAlignment="1">
      <alignment horizontal="center"/>
    </xf>
    <xf numFmtId="164" fontId="0" fillId="0" borderId="0" xfId="2" applyNumberFormat="1" applyFont="1"/>
    <xf numFmtId="164" fontId="0" fillId="0" borderId="0" xfId="2" applyNumberFormat="1" applyFont="1" applyFill="1"/>
    <xf numFmtId="164" fontId="9" fillId="0" borderId="0" xfId="3" applyNumberFormat="1"/>
    <xf numFmtId="164" fontId="0" fillId="0" borderId="1" xfId="2" applyNumberFormat="1" applyFont="1" applyBorder="1"/>
    <xf numFmtId="164" fontId="9" fillId="0" borderId="1" xfId="3" applyNumberFormat="1" applyBorder="1"/>
    <xf numFmtId="164" fontId="0" fillId="0" borderId="14" xfId="2" applyNumberFormat="1" applyFont="1" applyBorder="1"/>
    <xf numFmtId="164" fontId="0" fillId="0" borderId="5" xfId="2" applyNumberFormat="1" applyFont="1" applyBorder="1"/>
    <xf numFmtId="0" fontId="9" fillId="2" borderId="7" xfId="3" applyFill="1" applyBorder="1"/>
    <xf numFmtId="0" fontId="9" fillId="2" borderId="8" xfId="3" applyFill="1" applyBorder="1"/>
    <xf numFmtId="0" fontId="9" fillId="2" borderId="9" xfId="3" applyFill="1" applyBorder="1" applyAlignment="1">
      <alignment horizontal="left"/>
    </xf>
    <xf numFmtId="0" fontId="9" fillId="2" borderId="0" xfId="3" applyFill="1" applyBorder="1"/>
    <xf numFmtId="0" fontId="9" fillId="2" borderId="10" xfId="3" applyFill="1" applyBorder="1"/>
    <xf numFmtId="164" fontId="5" fillId="2" borderId="0" xfId="2" applyNumberFormat="1" applyFont="1" applyFill="1" applyBorder="1"/>
    <xf numFmtId="164" fontId="9" fillId="2" borderId="0" xfId="3" applyNumberFormat="1" applyFill="1" applyBorder="1"/>
    <xf numFmtId="164" fontId="9" fillId="2" borderId="10" xfId="3" applyNumberFormat="1" applyFill="1" applyBorder="1"/>
    <xf numFmtId="164" fontId="5" fillId="2" borderId="1" xfId="2" applyNumberFormat="1" applyFont="1" applyFill="1" applyBorder="1"/>
    <xf numFmtId="164" fontId="5" fillId="2" borderId="14" xfId="2" applyNumberFormat="1" applyFont="1" applyFill="1" applyBorder="1"/>
    <xf numFmtId="164" fontId="5" fillId="2" borderId="15" xfId="2" applyNumberFormat="1" applyFont="1" applyFill="1" applyBorder="1"/>
    <xf numFmtId="164" fontId="9" fillId="2" borderId="1" xfId="3" applyNumberFormat="1" applyFill="1" applyBorder="1"/>
    <xf numFmtId="164" fontId="9" fillId="2" borderId="11" xfId="3" applyNumberFormat="1" applyFill="1" applyBorder="1"/>
    <xf numFmtId="164" fontId="5" fillId="2" borderId="5" xfId="2" applyNumberFormat="1" applyFont="1" applyFill="1" applyBorder="1"/>
    <xf numFmtId="165" fontId="5" fillId="2" borderId="0" xfId="5" applyNumberFormat="1" applyFont="1" applyFill="1" applyBorder="1"/>
    <xf numFmtId="164" fontId="5" fillId="2" borderId="13" xfId="2" applyNumberFormat="1" applyFont="1" applyFill="1" applyBorder="1"/>
    <xf numFmtId="0" fontId="9" fillId="2" borderId="12" xfId="3" applyFill="1" applyBorder="1" applyAlignment="1">
      <alignment horizontal="left"/>
    </xf>
    <xf numFmtId="0" fontId="9" fillId="2" borderId="5" xfId="3" applyFill="1" applyBorder="1"/>
    <xf numFmtId="0" fontId="9" fillId="2" borderId="13" xfId="3" applyFill="1" applyBorder="1"/>
    <xf numFmtId="0" fontId="9" fillId="0" borderId="7" xfId="3" applyBorder="1"/>
    <xf numFmtId="0" fontId="9" fillId="0" borderId="8" xfId="3" applyBorder="1"/>
    <xf numFmtId="0" fontId="9" fillId="0" borderId="9" xfId="3" applyBorder="1" applyAlignment="1">
      <alignment horizontal="left"/>
    </xf>
    <xf numFmtId="0" fontId="9" fillId="0" borderId="0" xfId="3" applyBorder="1"/>
    <xf numFmtId="0" fontId="9" fillId="0" borderId="10" xfId="3" applyBorder="1"/>
    <xf numFmtId="164" fontId="0" fillId="0" borderId="0" xfId="2" applyNumberFormat="1" applyFont="1" applyBorder="1"/>
    <xf numFmtId="43" fontId="0" fillId="0" borderId="0" xfId="1" applyFont="1" applyBorder="1"/>
    <xf numFmtId="164" fontId="9" fillId="0" borderId="10" xfId="3" applyNumberFormat="1" applyBorder="1"/>
    <xf numFmtId="164" fontId="0" fillId="0" borderId="15" xfId="2" applyNumberFormat="1" applyFont="1" applyBorder="1"/>
    <xf numFmtId="164" fontId="9" fillId="0" borderId="11" xfId="3" applyNumberFormat="1" applyBorder="1"/>
    <xf numFmtId="165" fontId="0" fillId="0" borderId="0" xfId="5" applyNumberFormat="1" applyFont="1" applyBorder="1"/>
    <xf numFmtId="164" fontId="5" fillId="0" borderId="16" xfId="2" applyNumberFormat="1" applyFont="1" applyBorder="1"/>
    <xf numFmtId="164" fontId="0" fillId="0" borderId="13" xfId="2" applyNumberFormat="1" applyFont="1" applyBorder="1"/>
    <xf numFmtId="0" fontId="9" fillId="0" borderId="12" xfId="3" applyBorder="1" applyAlignment="1">
      <alignment horizontal="left"/>
    </xf>
    <xf numFmtId="0" fontId="9" fillId="0" borderId="5" xfId="3" applyBorder="1"/>
    <xf numFmtId="0" fontId="9" fillId="0" borderId="13" xfId="3" applyBorder="1"/>
    <xf numFmtId="164" fontId="5" fillId="2" borderId="3" xfId="2" applyNumberFormat="1" applyFont="1" applyFill="1" applyBorder="1"/>
    <xf numFmtId="10" fontId="10" fillId="0" borderId="0" xfId="5" applyNumberFormat="1" applyFont="1" applyFill="1" applyAlignment="1">
      <alignment horizontal="center"/>
    </xf>
    <xf numFmtId="164" fontId="5" fillId="0" borderId="0" xfId="2" applyNumberFormat="1" applyFont="1" applyBorder="1"/>
    <xf numFmtId="0" fontId="8" fillId="3" borderId="0" xfId="3" applyFont="1" applyFill="1" applyBorder="1" applyAlignment="1">
      <alignment horizontal="center"/>
    </xf>
    <xf numFmtId="0" fontId="3" fillId="3" borderId="0" xfId="3" applyFont="1" applyFill="1"/>
    <xf numFmtId="0" fontId="9" fillId="3" borderId="0" xfId="3" applyFill="1"/>
    <xf numFmtId="0" fontId="2" fillId="3" borderId="0" xfId="3" applyFont="1" applyFill="1" applyAlignment="1">
      <alignment horizontal="left"/>
    </xf>
    <xf numFmtId="10" fontId="8" fillId="3" borderId="7" xfId="3" applyNumberFormat="1" applyFont="1" applyFill="1" applyBorder="1"/>
    <xf numFmtId="0" fontId="8" fillId="3" borderId="0" xfId="3" applyFont="1" applyFill="1" applyAlignment="1">
      <alignment horizontal="left"/>
    </xf>
    <xf numFmtId="0" fontId="11" fillId="3" borderId="7" xfId="3" applyFont="1" applyFill="1" applyBorder="1" applyAlignment="1">
      <alignment horizontal="center" wrapText="1"/>
    </xf>
    <xf numFmtId="10" fontId="10" fillId="3" borderId="0" xfId="5" applyNumberFormat="1" applyFont="1" applyFill="1" applyBorder="1" applyAlignment="1">
      <alignment horizontal="center"/>
    </xf>
    <xf numFmtId="0" fontId="2" fillId="0" borderId="0" xfId="3" applyFont="1"/>
    <xf numFmtId="0" fontId="2" fillId="3" borderId="0" xfId="3" applyFont="1" applyFill="1"/>
    <xf numFmtId="0" fontId="9" fillId="3" borderId="0" xfId="3" applyFont="1" applyFill="1"/>
    <xf numFmtId="43" fontId="10" fillId="2" borderId="0" xfId="2" applyNumberFormat="1" applyFont="1" applyFill="1" applyBorder="1"/>
    <xf numFmtId="0" fontId="15" fillId="0" borderId="0" xfId="7" applyFont="1" applyFill="1"/>
    <xf numFmtId="0" fontId="15" fillId="0" borderId="0" xfId="7" applyNumberFormat="1" applyFont="1" applyFill="1"/>
    <xf numFmtId="0" fontId="15" fillId="0" borderId="0" xfId="7" applyFont="1" applyFill="1" applyAlignment="1">
      <alignment horizontal="right"/>
    </xf>
    <xf numFmtId="0" fontId="15" fillId="0" borderId="0" xfId="7" applyFont="1" applyFill="1" applyBorder="1" applyAlignment="1">
      <alignment horizontal="right"/>
    </xf>
    <xf numFmtId="0" fontId="15" fillId="0" borderId="0" xfId="7" applyFont="1" applyFill="1" applyBorder="1"/>
    <xf numFmtId="0" fontId="15" fillId="0" borderId="1" xfId="7" applyFont="1" applyFill="1" applyBorder="1"/>
    <xf numFmtId="0" fontId="10" fillId="0" borderId="0" xfId="7" applyFont="1" applyFill="1"/>
    <xf numFmtId="0" fontId="10" fillId="0" borderId="0" xfId="7" applyFont="1" applyFill="1" applyAlignment="1">
      <alignment horizontal="center" wrapText="1"/>
    </xf>
    <xf numFmtId="0" fontId="10" fillId="0" borderId="0" xfId="7" applyFont="1" applyFill="1" applyBorder="1" applyAlignment="1">
      <alignment horizontal="center" wrapText="1"/>
    </xf>
    <xf numFmtId="0" fontId="15" fillId="0" borderId="0" xfId="7" applyFont="1" applyFill="1" applyBorder="1" applyAlignment="1">
      <alignment horizontal="center"/>
    </xf>
    <xf numFmtId="0" fontId="10" fillId="0" borderId="0" xfId="7" applyFont="1" applyFill="1" applyBorder="1"/>
    <xf numFmtId="164" fontId="10" fillId="0" borderId="0" xfId="8" applyNumberFormat="1" applyFont="1" applyFill="1"/>
    <xf numFmtId="164" fontId="10" fillId="0" borderId="0" xfId="8" applyNumberFormat="1" applyFont="1" applyFill="1" applyBorder="1"/>
    <xf numFmtId="164" fontId="10" fillId="0" borderId="0" xfId="7" applyNumberFormat="1" applyFont="1" applyFill="1"/>
    <xf numFmtId="164" fontId="10" fillId="0" borderId="1" xfId="7" applyNumberFormat="1" applyFont="1" applyFill="1" applyBorder="1"/>
    <xf numFmtId="164" fontId="10" fillId="0" borderId="1" xfId="8" applyNumberFormat="1" applyFont="1" applyFill="1" applyBorder="1"/>
    <xf numFmtId="164" fontId="16" fillId="0" borderId="0" xfId="7" applyNumberFormat="1" applyFont="1" applyFill="1"/>
    <xf numFmtId="3" fontId="10" fillId="0" borderId="0" xfId="7" applyNumberFormat="1" applyFont="1" applyFill="1"/>
    <xf numFmtId="3" fontId="10" fillId="0" borderId="0" xfId="7" applyNumberFormat="1" applyFont="1" applyFill="1" applyBorder="1"/>
    <xf numFmtId="0" fontId="16" fillId="0" borderId="1" xfId="7" applyFont="1" applyFill="1" applyBorder="1"/>
    <xf numFmtId="0" fontId="10" fillId="0" borderId="1" xfId="7" applyFont="1" applyFill="1" applyBorder="1"/>
    <xf numFmtId="166" fontId="10" fillId="0" borderId="1" xfId="7" applyNumberFormat="1" applyFont="1" applyFill="1" applyBorder="1"/>
    <xf numFmtId="167" fontId="10" fillId="0" borderId="0" xfId="8" applyNumberFormat="1" applyFont="1" applyFill="1" applyBorder="1"/>
    <xf numFmtId="167" fontId="10" fillId="0" borderId="1" xfId="8" applyNumberFormat="1" applyFont="1" applyFill="1" applyBorder="1"/>
    <xf numFmtId="168" fontId="10" fillId="0" borderId="0" xfId="9" applyNumberFormat="1" applyFont="1" applyFill="1"/>
    <xf numFmtId="168" fontId="10" fillId="0" borderId="14" xfId="9" applyNumberFormat="1" applyFont="1" applyFill="1" applyBorder="1"/>
    <xf numFmtId="168" fontId="10" fillId="0" borderId="17" xfId="9" applyNumberFormat="1" applyFont="1" applyFill="1" applyBorder="1"/>
    <xf numFmtId="168" fontId="10" fillId="0" borderId="0" xfId="9" applyNumberFormat="1" applyFont="1" applyFill="1" applyBorder="1"/>
    <xf numFmtId="44" fontId="10" fillId="0" borderId="0" xfId="7" applyNumberFormat="1" applyFont="1" applyFill="1"/>
    <xf numFmtId="168" fontId="10" fillId="0" borderId="0" xfId="7" applyNumberFormat="1" applyFont="1" applyFill="1"/>
    <xf numFmtId="166" fontId="10" fillId="0" borderId="0" xfId="7" applyNumberFormat="1" applyFont="1" applyFill="1" applyBorder="1"/>
    <xf numFmtId="168" fontId="10" fillId="0" borderId="0" xfId="7" applyNumberFormat="1" applyFont="1" applyFill="1" applyBorder="1"/>
    <xf numFmtId="168" fontId="14" fillId="0" borderId="0" xfId="9" applyNumberFormat="1" applyFont="1" applyFill="1"/>
    <xf numFmtId="168" fontId="15" fillId="0" borderId="0" xfId="9" applyNumberFormat="1" applyFont="1" applyFill="1" applyBorder="1"/>
    <xf numFmtId="0" fontId="10" fillId="0" borderId="0" xfId="7" applyFont="1" applyFill="1" applyBorder="1" applyAlignment="1">
      <alignment horizontal="center"/>
    </xf>
    <xf numFmtId="0" fontId="10" fillId="0" borderId="17" xfId="7" applyFont="1" applyFill="1" applyBorder="1" applyAlignment="1">
      <alignment horizontal="center"/>
    </xf>
    <xf numFmtId="0" fontId="14" fillId="0" borderId="1" xfId="7" applyFont="1" applyFill="1" applyBorder="1"/>
    <xf numFmtId="169" fontId="10" fillId="0" borderId="1" xfId="7" applyNumberFormat="1" applyFont="1" applyFill="1" applyBorder="1"/>
    <xf numFmtId="0" fontId="19" fillId="0" borderId="18" xfId="10" applyFont="1" applyFill="1" applyBorder="1" applyAlignment="1">
      <alignment horizontal="center"/>
    </xf>
    <xf numFmtId="0" fontId="20" fillId="0" borderId="18" xfId="10" applyFont="1" applyFill="1" applyBorder="1" applyAlignment="1">
      <alignment horizontal="center"/>
    </xf>
    <xf numFmtId="165" fontId="19" fillId="0" borderId="18" xfId="6" applyNumberFormat="1" applyFont="1" applyFill="1" applyBorder="1" applyAlignment="1">
      <alignment horizontal="center"/>
    </xf>
    <xf numFmtId="0" fontId="19" fillId="0" borderId="19" xfId="10" applyFont="1" applyFill="1" applyBorder="1" applyAlignment="1">
      <alignment horizontal="center"/>
    </xf>
    <xf numFmtId="0" fontId="20" fillId="0" borderId="19" xfId="10" applyFont="1" applyFill="1" applyBorder="1" applyAlignment="1">
      <alignment horizontal="center"/>
    </xf>
    <xf numFmtId="165" fontId="19" fillId="0" borderId="19" xfId="6" applyNumberFormat="1" applyFont="1" applyFill="1" applyBorder="1" applyAlignment="1">
      <alignment horizontal="center"/>
    </xf>
    <xf numFmtId="0" fontId="21" fillId="0" borderId="19" xfId="10" applyFont="1" applyFill="1" applyBorder="1" applyAlignment="1">
      <alignment horizontal="center"/>
    </xf>
    <xf numFmtId="0" fontId="22" fillId="0" borderId="19" xfId="10" applyFont="1" applyFill="1" applyBorder="1" applyAlignment="1">
      <alignment horizontal="center"/>
    </xf>
    <xf numFmtId="165" fontId="21" fillId="0" borderId="19" xfId="6" applyNumberFormat="1" applyFont="1" applyFill="1" applyBorder="1" applyAlignment="1">
      <alignment horizontal="center"/>
    </xf>
    <xf numFmtId="0" fontId="19" fillId="0" borderId="18" xfId="10" quotePrefix="1" applyFont="1" applyFill="1" applyBorder="1" applyAlignment="1">
      <alignment horizontal="center"/>
    </xf>
    <xf numFmtId="0" fontId="23" fillId="0" borderId="22" xfId="10" applyFont="1" applyFill="1" applyBorder="1"/>
    <xf numFmtId="0" fontId="24" fillId="0" borderId="22" xfId="10" applyFont="1" applyFill="1" applyBorder="1"/>
    <xf numFmtId="165" fontId="23" fillId="0" borderId="22" xfId="6" applyNumberFormat="1" applyFont="1" applyFill="1" applyBorder="1"/>
    <xf numFmtId="0" fontId="23" fillId="0" borderId="22" xfId="10" applyFont="1" applyFill="1" applyBorder="1" applyAlignment="1">
      <alignment horizontal="center"/>
    </xf>
    <xf numFmtId="0" fontId="24" fillId="0" borderId="22" xfId="10" applyFont="1" applyFill="1" applyBorder="1" applyAlignment="1">
      <alignment horizontal="center"/>
    </xf>
    <xf numFmtId="0" fontId="19" fillId="0" borderId="19" xfId="10" applyFont="1" applyFill="1" applyBorder="1"/>
    <xf numFmtId="0" fontId="20" fillId="0" borderId="19" xfId="10" applyFont="1" applyFill="1" applyBorder="1"/>
    <xf numFmtId="0" fontId="23" fillId="0" borderId="19" xfId="10" applyFont="1" applyFill="1" applyBorder="1"/>
    <xf numFmtId="165" fontId="19" fillId="0" borderId="19" xfId="6" applyNumberFormat="1" applyFont="1" applyFill="1" applyBorder="1"/>
    <xf numFmtId="0" fontId="23" fillId="0" borderId="19" xfId="10" applyFont="1" applyFill="1" applyBorder="1" applyAlignment="1">
      <alignment horizontal="center"/>
    </xf>
    <xf numFmtId="3" fontId="23" fillId="0" borderId="19" xfId="10" applyNumberFormat="1" applyFont="1" applyFill="1" applyBorder="1" applyAlignment="1">
      <alignment horizontal="right"/>
    </xf>
    <xf numFmtId="3" fontId="20" fillId="0" borderId="19" xfId="10" applyNumberFormat="1" applyFont="1" applyFill="1" applyBorder="1" applyAlignment="1">
      <alignment horizontal="right"/>
    </xf>
    <xf numFmtId="3" fontId="21" fillId="0" borderId="19" xfId="10" applyNumberFormat="1" applyFont="1" applyFill="1" applyBorder="1" applyAlignment="1">
      <alignment horizontal="right"/>
    </xf>
    <xf numFmtId="0" fontId="23" fillId="0" borderId="23" xfId="10" applyFont="1" applyFill="1" applyBorder="1"/>
    <xf numFmtId="3" fontId="24" fillId="0" borderId="19" xfId="10" applyNumberFormat="1" applyFont="1" applyFill="1" applyBorder="1" applyAlignment="1">
      <alignment horizontal="right"/>
    </xf>
    <xf numFmtId="3" fontId="21" fillId="0" borderId="22" xfId="10" applyNumberFormat="1" applyFont="1" applyFill="1" applyBorder="1" applyAlignment="1">
      <alignment horizontal="right"/>
    </xf>
    <xf numFmtId="170" fontId="23" fillId="0" borderId="19" xfId="10" applyNumberFormat="1" applyFont="1" applyFill="1" applyBorder="1" applyAlignment="1">
      <alignment horizontal="right"/>
    </xf>
    <xf numFmtId="170" fontId="20" fillId="0" borderId="19" xfId="10" applyNumberFormat="1" applyFont="1" applyFill="1" applyBorder="1" applyAlignment="1">
      <alignment horizontal="right"/>
    </xf>
    <xf numFmtId="170" fontId="21" fillId="0" borderId="19" xfId="10" applyNumberFormat="1" applyFont="1" applyFill="1" applyBorder="1" applyAlignment="1">
      <alignment horizontal="right"/>
    </xf>
    <xf numFmtId="170" fontId="23" fillId="0" borderId="22" xfId="10" applyNumberFormat="1" applyFont="1" applyFill="1" applyBorder="1" applyAlignment="1">
      <alignment horizontal="right"/>
    </xf>
    <xf numFmtId="170" fontId="19" fillId="0" borderId="22" xfId="10" applyNumberFormat="1" applyFont="1" applyFill="1" applyBorder="1" applyAlignment="1">
      <alignment horizontal="right"/>
    </xf>
    <xf numFmtId="170" fontId="20" fillId="0" borderId="22" xfId="10" applyNumberFormat="1" applyFont="1" applyFill="1" applyBorder="1" applyAlignment="1">
      <alignment horizontal="right"/>
    </xf>
    <xf numFmtId="170" fontId="21" fillId="0" borderId="22" xfId="10" applyNumberFormat="1" applyFont="1" applyFill="1" applyBorder="1" applyAlignment="1">
      <alignment horizontal="right"/>
    </xf>
    <xf numFmtId="3" fontId="23" fillId="0" borderId="22" xfId="10" applyNumberFormat="1" applyFont="1" applyFill="1" applyBorder="1" applyAlignment="1">
      <alignment horizontal="right"/>
    </xf>
    <xf numFmtId="172" fontId="23" fillId="0" borderId="22" xfId="10" applyNumberFormat="1" applyFont="1" applyFill="1" applyBorder="1" applyAlignment="1">
      <alignment horizontal="right"/>
    </xf>
    <xf numFmtId="172" fontId="20" fillId="0" borderId="22" xfId="10" applyNumberFormat="1" applyFont="1" applyFill="1" applyBorder="1" applyAlignment="1">
      <alignment horizontal="right"/>
    </xf>
    <xf numFmtId="3" fontId="19" fillId="0" borderId="19" xfId="10" applyNumberFormat="1" applyFont="1" applyFill="1" applyBorder="1" applyAlignment="1">
      <alignment horizontal="right"/>
    </xf>
    <xf numFmtId="3" fontId="23" fillId="0" borderId="18" xfId="10" applyNumberFormat="1" applyFont="1" applyFill="1" applyBorder="1" applyAlignment="1">
      <alignment horizontal="right"/>
    </xf>
    <xf numFmtId="3" fontId="19" fillId="0" borderId="18" xfId="10" applyNumberFormat="1" applyFont="1" applyFill="1" applyBorder="1" applyAlignment="1">
      <alignment horizontal="right"/>
    </xf>
    <xf numFmtId="3" fontId="20" fillId="0" borderId="18" xfId="10" applyNumberFormat="1" applyFont="1" applyFill="1" applyBorder="1" applyAlignment="1">
      <alignment horizontal="right"/>
    </xf>
    <xf numFmtId="166" fontId="23" fillId="0" borderId="22" xfId="10" applyNumberFormat="1" applyFont="1" applyFill="1" applyBorder="1" applyAlignment="1">
      <alignment horizontal="right"/>
    </xf>
    <xf numFmtId="174" fontId="23" fillId="0" borderId="22" xfId="10" applyNumberFormat="1" applyFont="1" applyFill="1" applyBorder="1" applyAlignment="1">
      <alignment horizontal="right"/>
    </xf>
    <xf numFmtId="0" fontId="19" fillId="0" borderId="19" xfId="10" applyFont="1" applyFill="1" applyBorder="1" applyAlignment="1">
      <alignment horizontal="right"/>
    </xf>
    <xf numFmtId="0" fontId="20" fillId="0" borderId="19" xfId="10" applyFont="1" applyFill="1" applyBorder="1" applyAlignment="1">
      <alignment horizontal="right"/>
    </xf>
    <xf numFmtId="3" fontId="23" fillId="0" borderId="24" xfId="10" applyNumberFormat="1" applyFont="1" applyFill="1" applyBorder="1"/>
    <xf numFmtId="3" fontId="20" fillId="0" borderId="24" xfId="10" applyNumberFormat="1" applyFont="1" applyFill="1" applyBorder="1"/>
    <xf numFmtId="0" fontId="19" fillId="0" borderId="1" xfId="10" applyFont="1" applyFill="1" applyBorder="1"/>
    <xf numFmtId="0" fontId="20" fillId="0" borderId="1" xfId="10" applyFont="1" applyFill="1" applyBorder="1"/>
    <xf numFmtId="165" fontId="19" fillId="0" borderId="1" xfId="6" applyNumberFormat="1" applyFont="1" applyFill="1" applyBorder="1"/>
    <xf numFmtId="0" fontId="23" fillId="0" borderId="1" xfId="10" applyFont="1" applyFill="1" applyBorder="1" applyAlignment="1">
      <alignment horizontal="center"/>
    </xf>
    <xf numFmtId="0" fontId="19" fillId="0" borderId="18" xfId="10" applyFont="1" applyFill="1" applyBorder="1"/>
    <xf numFmtId="0" fontId="20" fillId="0" borderId="18" xfId="10" applyFont="1" applyFill="1" applyBorder="1"/>
    <xf numFmtId="165" fontId="19" fillId="0" borderId="18" xfId="6" applyNumberFormat="1" applyFont="1" applyFill="1" applyBorder="1"/>
    <xf numFmtId="170" fontId="19" fillId="0" borderId="19" xfId="10" applyNumberFormat="1" applyFont="1" applyFill="1" applyBorder="1" applyAlignment="1">
      <alignment horizontal="right"/>
    </xf>
    <xf numFmtId="3" fontId="20" fillId="0" borderId="22" xfId="10" applyNumberFormat="1" applyFont="1" applyFill="1" applyBorder="1" applyAlignment="1">
      <alignment horizontal="right"/>
    </xf>
    <xf numFmtId="2" fontId="23" fillId="0" borderId="22" xfId="10" applyNumberFormat="1" applyFont="1" applyFill="1" applyBorder="1" applyAlignment="1">
      <alignment horizontal="right"/>
    </xf>
    <xf numFmtId="2" fontId="20" fillId="0" borderId="22" xfId="10" applyNumberFormat="1" applyFont="1" applyFill="1" applyBorder="1" applyAlignment="1">
      <alignment horizontal="right"/>
    </xf>
    <xf numFmtId="2" fontId="21" fillId="0" borderId="22" xfId="10" applyNumberFormat="1" applyFont="1" applyFill="1" applyBorder="1" applyAlignment="1">
      <alignment horizontal="right"/>
    </xf>
    <xf numFmtId="169" fontId="23" fillId="0" borderId="22" xfId="10" applyNumberFormat="1" applyFont="1" applyFill="1" applyBorder="1" applyAlignment="1">
      <alignment horizontal="right"/>
    </xf>
    <xf numFmtId="169" fontId="23" fillId="0" borderId="0" xfId="10" applyNumberFormat="1" applyFont="1" applyFill="1" applyBorder="1" applyAlignment="1">
      <alignment horizontal="right"/>
    </xf>
    <xf numFmtId="0" fontId="23" fillId="0" borderId="19" xfId="10" applyFont="1" applyFill="1" applyBorder="1" applyAlignment="1">
      <alignment horizontal="right"/>
    </xf>
    <xf numFmtId="0" fontId="19" fillId="0" borderId="0" xfId="10" applyFont="1" applyFill="1" applyBorder="1"/>
    <xf numFmtId="0" fontId="20" fillId="0" borderId="0" xfId="10" applyFont="1" applyFill="1" applyBorder="1"/>
    <xf numFmtId="165" fontId="19" fillId="0" borderId="0" xfId="6" applyNumberFormat="1" applyFont="1" applyFill="1" applyBorder="1"/>
    <xf numFmtId="0" fontId="23" fillId="0" borderId="0" xfId="10" applyFont="1" applyFill="1" applyBorder="1" applyAlignment="1">
      <alignment horizontal="center"/>
    </xf>
    <xf numFmtId="0" fontId="23" fillId="0" borderId="18" xfId="10" applyFont="1" applyFill="1" applyBorder="1"/>
    <xf numFmtId="3" fontId="23" fillId="0" borderId="17" xfId="10" applyNumberFormat="1" applyFont="1" applyFill="1" applyBorder="1"/>
    <xf numFmtId="3" fontId="20" fillId="0" borderId="17" xfId="10" applyNumberFormat="1" applyFont="1" applyFill="1" applyBorder="1"/>
    <xf numFmtId="3" fontId="21" fillId="0" borderId="17" xfId="10" applyNumberFormat="1" applyFont="1" applyFill="1" applyBorder="1"/>
    <xf numFmtId="3" fontId="19" fillId="0" borderId="22" xfId="10" applyNumberFormat="1" applyFont="1" applyFill="1" applyBorder="1" applyAlignment="1">
      <alignment horizontal="right"/>
    </xf>
    <xf numFmtId="2" fontId="23" fillId="0" borderId="19" xfId="10" applyNumberFormat="1" applyFont="1" applyFill="1" applyBorder="1" applyAlignment="1">
      <alignment horizontal="right"/>
    </xf>
    <xf numFmtId="2" fontId="20" fillId="0" borderId="19" xfId="10" applyNumberFormat="1" applyFont="1" applyFill="1" applyBorder="1" applyAlignment="1">
      <alignment horizontal="right"/>
    </xf>
    <xf numFmtId="2" fontId="21" fillId="0" borderId="19" xfId="10" applyNumberFormat="1" applyFont="1" applyFill="1" applyBorder="1" applyAlignment="1">
      <alignment horizontal="right"/>
    </xf>
    <xf numFmtId="173" fontId="23" fillId="0" borderId="22" xfId="10" applyNumberFormat="1" applyFont="1" applyFill="1" applyBorder="1" applyAlignment="1">
      <alignment horizontal="right"/>
    </xf>
    <xf numFmtId="173" fontId="20" fillId="0" borderId="22" xfId="10" applyNumberFormat="1" applyFont="1" applyFill="1" applyBorder="1" applyAlignment="1">
      <alignment horizontal="right"/>
    </xf>
    <xf numFmtId="173" fontId="19" fillId="0" borderId="22" xfId="10" applyNumberFormat="1" applyFont="1" applyFill="1" applyBorder="1" applyAlignment="1">
      <alignment horizontal="right"/>
    </xf>
    <xf numFmtId="3" fontId="19" fillId="0" borderId="24" xfId="10" applyNumberFormat="1" applyFont="1" applyFill="1" applyBorder="1"/>
    <xf numFmtId="3" fontId="19" fillId="0" borderId="0" xfId="10" applyNumberFormat="1" applyFont="1" applyFill="1" applyBorder="1" applyAlignment="1">
      <alignment horizontal="center"/>
    </xf>
    <xf numFmtId="3" fontId="20" fillId="0" borderId="0" xfId="10" applyNumberFormat="1" applyFont="1" applyFill="1" applyBorder="1" applyAlignment="1">
      <alignment horizontal="center"/>
    </xf>
    <xf numFmtId="165" fontId="19" fillId="0" borderId="0" xfId="6" applyNumberFormat="1" applyFont="1" applyFill="1" applyBorder="1" applyAlignment="1">
      <alignment horizontal="center"/>
    </xf>
    <xf numFmtId="3" fontId="23" fillId="0" borderId="0" xfId="10" applyNumberFormat="1" applyFont="1" applyFill="1" applyBorder="1" applyAlignment="1">
      <alignment horizontal="center"/>
    </xf>
    <xf numFmtId="173" fontId="21" fillId="0" borderId="22" xfId="10" applyNumberFormat="1" applyFont="1" applyFill="1" applyBorder="1" applyAlignment="1">
      <alignment horizontal="right"/>
    </xf>
    <xf numFmtId="3" fontId="21" fillId="0" borderId="18" xfId="10" applyNumberFormat="1" applyFont="1" applyFill="1" applyBorder="1" applyAlignment="1">
      <alignment horizontal="right"/>
    </xf>
    <xf numFmtId="3" fontId="23" fillId="0" borderId="22" xfId="10" applyNumberFormat="1" applyFont="1" applyFill="1" applyBorder="1"/>
    <xf numFmtId="3" fontId="20" fillId="0" borderId="22" xfId="10" applyNumberFormat="1" applyFont="1" applyFill="1" applyBorder="1"/>
    <xf numFmtId="177" fontId="23" fillId="0" borderId="22" xfId="10" applyNumberFormat="1" applyFont="1" applyFill="1" applyBorder="1"/>
    <xf numFmtId="0" fontId="23" fillId="0" borderId="17" xfId="10" applyFont="1" applyFill="1" applyBorder="1" applyAlignment="1">
      <alignment horizontal="center"/>
    </xf>
    <xf numFmtId="0" fontId="24" fillId="0" borderId="17" xfId="10" applyFont="1" applyFill="1" applyBorder="1" applyAlignment="1">
      <alignment horizontal="center"/>
    </xf>
    <xf numFmtId="0" fontId="28" fillId="0" borderId="19" xfId="10" applyFont="1" applyFill="1" applyBorder="1" applyAlignment="1">
      <alignment horizontal="center"/>
    </xf>
    <xf numFmtId="3" fontId="23" fillId="0" borderId="19" xfId="8" applyNumberFormat="1" applyFont="1" applyFill="1" applyBorder="1"/>
    <xf numFmtId="3" fontId="20" fillId="0" borderId="19" xfId="8" applyNumberFormat="1" applyFont="1" applyFill="1" applyBorder="1"/>
    <xf numFmtId="3" fontId="23" fillId="0" borderId="0" xfId="8" applyNumberFormat="1" applyFont="1" applyFill="1" applyBorder="1"/>
    <xf numFmtId="3" fontId="21" fillId="0" borderId="19" xfId="8" applyNumberFormat="1" applyFont="1" applyFill="1" applyBorder="1"/>
    <xf numFmtId="3" fontId="23" fillId="0" borderId="0" xfId="10" applyNumberFormat="1" applyFont="1" applyFill="1" applyBorder="1" applyAlignment="1">
      <alignment horizontal="right"/>
    </xf>
    <xf numFmtId="3" fontId="23" fillId="0" borderId="19" xfId="8" applyNumberFormat="1" applyFont="1" applyFill="1" applyBorder="1" applyAlignment="1">
      <alignment horizontal="right"/>
    </xf>
    <xf numFmtId="3" fontId="20" fillId="0" borderId="19" xfId="8" applyNumberFormat="1" applyFont="1" applyFill="1" applyBorder="1" applyAlignment="1">
      <alignment horizontal="right"/>
    </xf>
    <xf numFmtId="3" fontId="23" fillId="0" borderId="0" xfId="8" applyNumberFormat="1" applyFont="1" applyFill="1" applyBorder="1" applyAlignment="1">
      <alignment horizontal="right"/>
    </xf>
    <xf numFmtId="10" fontId="23" fillId="0" borderId="22" xfId="6" applyNumberFormat="1" applyFont="1" applyFill="1" applyBorder="1"/>
    <xf numFmtId="10" fontId="20" fillId="0" borderId="22" xfId="6" applyNumberFormat="1" applyFont="1" applyFill="1" applyBorder="1"/>
    <xf numFmtId="10" fontId="23" fillId="0" borderId="0" xfId="6" applyNumberFormat="1" applyFont="1" applyFill="1" applyBorder="1" applyAlignment="1">
      <alignment horizontal="center"/>
    </xf>
    <xf numFmtId="10" fontId="23" fillId="0" borderId="22" xfId="6" applyNumberFormat="1" applyFont="1" applyFill="1" applyBorder="1" applyAlignment="1">
      <alignment horizontal="center"/>
    </xf>
    <xf numFmtId="1" fontId="23" fillId="0" borderId="17" xfId="6" applyNumberFormat="1" applyFont="1" applyFill="1" applyBorder="1"/>
    <xf numFmtId="1" fontId="19" fillId="0" borderId="17" xfId="6" applyNumberFormat="1" applyFont="1" applyFill="1" applyBorder="1"/>
    <xf numFmtId="1" fontId="23" fillId="0" borderId="0" xfId="6" applyNumberFormat="1" applyFont="1" applyFill="1" applyBorder="1"/>
    <xf numFmtId="0" fontId="23" fillId="0" borderId="17" xfId="10" applyFont="1" applyFill="1" applyBorder="1"/>
    <xf numFmtId="0" fontId="19" fillId="0" borderId="17" xfId="10" applyFont="1" applyFill="1" applyBorder="1"/>
    <xf numFmtId="0" fontId="23" fillId="0" borderId="0" xfId="10" applyFont="1" applyFill="1" applyBorder="1"/>
    <xf numFmtId="0" fontId="20" fillId="0" borderId="17" xfId="10" applyFont="1" applyFill="1" applyBorder="1"/>
    <xf numFmtId="9" fontId="23" fillId="0" borderId="17" xfId="6" applyFont="1" applyFill="1" applyBorder="1"/>
    <xf numFmtId="9" fontId="19" fillId="0" borderId="17" xfId="6" applyFont="1" applyFill="1" applyBorder="1"/>
    <xf numFmtId="9" fontId="23" fillId="0" borderId="0" xfId="6" applyFont="1" applyFill="1" applyBorder="1"/>
    <xf numFmtId="9" fontId="23" fillId="0" borderId="22" xfId="6" applyFont="1" applyFill="1" applyBorder="1"/>
    <xf numFmtId="9" fontId="19" fillId="0" borderId="22" xfId="6" applyFont="1" applyFill="1" applyBorder="1"/>
    <xf numFmtId="1" fontId="23" fillId="0" borderId="22" xfId="10" applyNumberFormat="1" applyFont="1" applyFill="1" applyBorder="1"/>
    <xf numFmtId="0" fontId="19" fillId="0" borderId="22" xfId="10" applyFont="1" applyFill="1" applyBorder="1"/>
    <xf numFmtId="3" fontId="23" fillId="0" borderId="0" xfId="10" applyNumberFormat="1" applyFont="1" applyFill="1" applyBorder="1"/>
    <xf numFmtId="0" fontId="21" fillId="0" borderId="19" xfId="10" applyFont="1" applyFill="1" applyBorder="1"/>
    <xf numFmtId="3" fontId="19" fillId="0" borderId="28" xfId="10" applyNumberFormat="1" applyFont="1" applyFill="1" applyBorder="1" applyAlignment="1">
      <alignment horizontal="right"/>
    </xf>
    <xf numFmtId="3" fontId="23" fillId="0" borderId="28" xfId="10" applyNumberFormat="1" applyFont="1" applyFill="1" applyBorder="1" applyAlignment="1">
      <alignment horizontal="right"/>
    </xf>
    <xf numFmtId="3" fontId="20" fillId="0" borderId="28" xfId="10" applyNumberFormat="1" applyFont="1" applyFill="1" applyBorder="1" applyAlignment="1">
      <alignment horizontal="right"/>
    </xf>
    <xf numFmtId="2" fontId="19" fillId="0" borderId="22" xfId="10" applyNumberFormat="1" applyFont="1" applyFill="1" applyBorder="1" applyAlignment="1">
      <alignment horizontal="right"/>
    </xf>
    <xf numFmtId="170" fontId="23" fillId="0" borderId="22" xfId="6" applyNumberFormat="1" applyFont="1" applyFill="1" applyBorder="1" applyAlignment="1">
      <alignment horizontal="right"/>
    </xf>
    <xf numFmtId="170" fontId="20" fillId="0" borderId="22" xfId="6" applyNumberFormat="1" applyFont="1" applyFill="1" applyBorder="1" applyAlignment="1">
      <alignment horizontal="right"/>
    </xf>
    <xf numFmtId="169" fontId="19" fillId="0" borderId="22" xfId="10" applyNumberFormat="1" applyFont="1" applyFill="1" applyBorder="1" applyAlignment="1">
      <alignment horizontal="right"/>
    </xf>
    <xf numFmtId="0" fontId="19" fillId="0" borderId="22" xfId="10" applyFont="1" applyFill="1" applyBorder="1" applyAlignment="1">
      <alignment horizontal="center"/>
    </xf>
    <xf numFmtId="3" fontId="23" fillId="0" borderId="29" xfId="10" applyNumberFormat="1" applyFont="1" applyFill="1" applyBorder="1" applyAlignment="1">
      <alignment horizontal="right"/>
    </xf>
    <xf numFmtId="3" fontId="20" fillId="0" borderId="29" xfId="10" applyNumberFormat="1" applyFont="1" applyFill="1" applyBorder="1" applyAlignment="1">
      <alignment horizontal="right"/>
    </xf>
    <xf numFmtId="0" fontId="23" fillId="0" borderId="18" xfId="10" applyFont="1" applyFill="1" applyBorder="1" applyAlignment="1">
      <alignment horizontal="right"/>
    </xf>
    <xf numFmtId="0" fontId="20" fillId="0" borderId="18" xfId="10" applyFont="1" applyFill="1" applyBorder="1" applyAlignment="1">
      <alignment horizontal="right"/>
    </xf>
    <xf numFmtId="0" fontId="23" fillId="0" borderId="17" xfId="10" quotePrefix="1" applyFont="1" applyFill="1" applyBorder="1" applyAlignment="1">
      <alignment horizontal="center"/>
    </xf>
    <xf numFmtId="10" fontId="23" fillId="0" borderId="19" xfId="10" applyNumberFormat="1" applyFont="1" applyFill="1" applyBorder="1" applyAlignment="1">
      <alignment horizontal="right"/>
    </xf>
    <xf numFmtId="10" fontId="20" fillId="0" borderId="19" xfId="10" applyNumberFormat="1" applyFont="1" applyFill="1" applyBorder="1" applyAlignment="1">
      <alignment horizontal="right"/>
    </xf>
    <xf numFmtId="10" fontId="21" fillId="0" borderId="19" xfId="10" applyNumberFormat="1" applyFont="1" applyFill="1" applyBorder="1" applyAlignment="1">
      <alignment horizontal="right"/>
    </xf>
    <xf numFmtId="172" fontId="21" fillId="0" borderId="22" xfId="10" applyNumberFormat="1" applyFont="1" applyFill="1" applyBorder="1" applyAlignment="1">
      <alignment horizontal="right"/>
    </xf>
    <xf numFmtId="0" fontId="23" fillId="0" borderId="0" xfId="10" applyFont="1" applyFill="1"/>
    <xf numFmtId="0" fontId="20" fillId="0" borderId="0" xfId="10" applyFont="1" applyFill="1"/>
    <xf numFmtId="0" fontId="17" fillId="0" borderId="0" xfId="10" applyFont="1" applyFill="1" applyBorder="1"/>
    <xf numFmtId="0" fontId="32" fillId="0" borderId="0" xfId="10" applyFont="1" applyFill="1" applyBorder="1"/>
    <xf numFmtId="0" fontId="21" fillId="0" borderId="0" xfId="10" applyFont="1" applyFill="1" applyBorder="1"/>
    <xf numFmtId="0" fontId="21" fillId="0" borderId="1" xfId="10" applyFont="1" applyFill="1" applyBorder="1"/>
    <xf numFmtId="0" fontId="21" fillId="0" borderId="29" xfId="10" applyFont="1" applyFill="1" applyBorder="1"/>
    <xf numFmtId="165" fontId="21" fillId="0" borderId="1" xfId="6" applyNumberFormat="1" applyFont="1" applyFill="1" applyBorder="1"/>
    <xf numFmtId="0" fontId="21" fillId="0" borderId="22" xfId="10" applyFont="1" applyFill="1" applyBorder="1"/>
    <xf numFmtId="0" fontId="21" fillId="0" borderId="28" xfId="10" applyFont="1" applyFill="1" applyBorder="1"/>
    <xf numFmtId="165" fontId="21" fillId="0" borderId="28" xfId="6" applyNumberFormat="1" applyFont="1" applyFill="1" applyBorder="1"/>
    <xf numFmtId="0" fontId="23" fillId="0" borderId="18" xfId="10" applyFont="1" applyFill="1" applyBorder="1" applyAlignment="1">
      <alignment horizontal="center"/>
    </xf>
    <xf numFmtId="0" fontId="23" fillId="0" borderId="22" xfId="10" quotePrefix="1" applyNumberFormat="1" applyFont="1" applyFill="1" applyBorder="1" applyAlignment="1">
      <alignment horizontal="center"/>
    </xf>
    <xf numFmtId="0" fontId="17" fillId="0" borderId="19" xfId="10" applyFont="1" applyFill="1" applyBorder="1"/>
    <xf numFmtId="165" fontId="17" fillId="0" borderId="19" xfId="6" applyNumberFormat="1" applyFont="1" applyFill="1" applyBorder="1"/>
    <xf numFmtId="3" fontId="21" fillId="0" borderId="19" xfId="10" applyNumberFormat="1" applyFont="1" applyFill="1" applyBorder="1"/>
    <xf numFmtId="3" fontId="17" fillId="0" borderId="19" xfId="10" applyNumberFormat="1" applyFont="1" applyFill="1" applyBorder="1"/>
    <xf numFmtId="177" fontId="21" fillId="0" borderId="19" xfId="10" applyNumberFormat="1" applyFont="1" applyFill="1" applyBorder="1"/>
    <xf numFmtId="3" fontId="21" fillId="0" borderId="22" xfId="10" applyNumberFormat="1" applyFont="1" applyFill="1" applyBorder="1"/>
    <xf numFmtId="3" fontId="17" fillId="0" borderId="22" xfId="10" applyNumberFormat="1" applyFont="1" applyFill="1" applyBorder="1"/>
    <xf numFmtId="177" fontId="21" fillId="0" borderId="22" xfId="10" applyNumberFormat="1" applyFont="1" applyFill="1" applyBorder="1"/>
    <xf numFmtId="3" fontId="17" fillId="0" borderId="0" xfId="10" applyNumberFormat="1" applyFont="1" applyFill="1" applyBorder="1"/>
    <xf numFmtId="3" fontId="21" fillId="0" borderId="28" xfId="10" applyNumberFormat="1" applyFont="1" applyFill="1" applyBorder="1"/>
    <xf numFmtId="3" fontId="17" fillId="0" borderId="28" xfId="10" applyNumberFormat="1" applyFont="1" applyFill="1" applyBorder="1"/>
    <xf numFmtId="3" fontId="21" fillId="0" borderId="24" xfId="10" applyNumberFormat="1" applyFont="1" applyFill="1" applyBorder="1"/>
    <xf numFmtId="3" fontId="17" fillId="0" borderId="24" xfId="10" applyNumberFormat="1" applyFont="1" applyFill="1" applyBorder="1"/>
    <xf numFmtId="3" fontId="17" fillId="0" borderId="1" xfId="10" applyNumberFormat="1" applyFont="1" applyFill="1" applyBorder="1"/>
    <xf numFmtId="3" fontId="32" fillId="0" borderId="1" xfId="10" applyNumberFormat="1" applyFont="1" applyFill="1" applyBorder="1"/>
    <xf numFmtId="3" fontId="17" fillId="0" borderId="29" xfId="10" applyNumberFormat="1" applyFont="1" applyFill="1" applyBorder="1"/>
    <xf numFmtId="170" fontId="21" fillId="0" borderId="29" xfId="6" applyNumberFormat="1" applyFont="1" applyFill="1" applyBorder="1"/>
    <xf numFmtId="165" fontId="17" fillId="0" borderId="28" xfId="6" applyNumberFormat="1" applyFont="1" applyFill="1" applyBorder="1"/>
    <xf numFmtId="3" fontId="21" fillId="0" borderId="28" xfId="10" applyNumberFormat="1" applyFont="1" applyFill="1" applyBorder="1" applyAlignment="1">
      <alignment horizontal="center"/>
    </xf>
    <xf numFmtId="3" fontId="23" fillId="0" borderId="28" xfId="10" applyNumberFormat="1" applyFont="1" applyFill="1" applyBorder="1" applyAlignment="1">
      <alignment horizontal="center"/>
    </xf>
    <xf numFmtId="3" fontId="19" fillId="0" borderId="28" xfId="10" applyNumberFormat="1" applyFont="1" applyFill="1" applyBorder="1" applyAlignment="1">
      <alignment horizontal="center"/>
    </xf>
    <xf numFmtId="165" fontId="19" fillId="0" borderId="28" xfId="6" applyNumberFormat="1" applyFont="1" applyFill="1" applyBorder="1" applyAlignment="1">
      <alignment horizontal="center"/>
    </xf>
    <xf numFmtId="0" fontId="19" fillId="0" borderId="0" xfId="10" applyFont="1" applyFill="1" applyBorder="1" applyAlignment="1">
      <alignment horizontal="center"/>
    </xf>
    <xf numFmtId="0" fontId="20" fillId="0" borderId="0" xfId="10" applyFont="1" applyFill="1" applyBorder="1" applyAlignment="1">
      <alignment horizontal="center"/>
    </xf>
    <xf numFmtId="0" fontId="23" fillId="0" borderId="28" xfId="10" applyFont="1" applyFill="1" applyBorder="1" applyAlignment="1">
      <alignment horizontal="center"/>
    </xf>
    <xf numFmtId="0" fontId="19" fillId="0" borderId="28" xfId="10" applyFont="1" applyFill="1" applyBorder="1" applyAlignment="1">
      <alignment horizontal="center"/>
    </xf>
    <xf numFmtId="0" fontId="17" fillId="0" borderId="1" xfId="10" applyFont="1" applyFill="1" applyBorder="1"/>
    <xf numFmtId="3" fontId="27" fillId="0" borderId="29" xfId="10" applyNumberFormat="1" applyFont="1" applyFill="1" applyBorder="1" applyAlignment="1">
      <alignment horizontal="center"/>
    </xf>
    <xf numFmtId="3" fontId="21" fillId="0" borderId="29" xfId="10" applyNumberFormat="1" applyFont="1" applyFill="1" applyBorder="1"/>
    <xf numFmtId="165" fontId="21" fillId="0" borderId="29" xfId="6" applyNumberFormat="1" applyFont="1" applyFill="1" applyBorder="1"/>
    <xf numFmtId="0" fontId="17" fillId="0" borderId="0" xfId="10" applyFont="1" applyFill="1"/>
    <xf numFmtId="165" fontId="17" fillId="0" borderId="0" xfId="6" applyNumberFormat="1" applyFont="1" applyFill="1"/>
    <xf numFmtId="0" fontId="8" fillId="0" borderId="2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8" fillId="0" borderId="4" xfId="3" applyFont="1" applyBorder="1" applyAlignment="1">
      <alignment horizontal="center"/>
    </xf>
    <xf numFmtId="10" fontId="13" fillId="3" borderId="5" xfId="5" applyNumberFormat="1" applyFont="1" applyFill="1" applyBorder="1" applyAlignment="1">
      <alignment horizontal="center"/>
    </xf>
    <xf numFmtId="0" fontId="18" fillId="0" borderId="0" xfId="10" applyFont="1" applyFill="1" applyBorder="1"/>
    <xf numFmtId="0" fontId="17" fillId="0" borderId="0" xfId="10" applyFont="1" applyFill="1" applyAlignment="1">
      <alignment horizontal="center"/>
    </xf>
    <xf numFmtId="0" fontId="18" fillId="0" borderId="0" xfId="10" applyFont="1" applyFill="1"/>
    <xf numFmtId="0" fontId="19" fillId="0" borderId="0" xfId="10" applyFont="1" applyFill="1" applyAlignment="1">
      <alignment horizontal="center"/>
    </xf>
    <xf numFmtId="0" fontId="21" fillId="0" borderId="0" xfId="10" applyFont="1" applyFill="1" applyAlignment="1">
      <alignment horizontal="center"/>
    </xf>
    <xf numFmtId="0" fontId="19" fillId="0" borderId="20" xfId="10" applyFont="1" applyFill="1" applyBorder="1" applyAlignment="1">
      <alignment horizontal="center"/>
    </xf>
    <xf numFmtId="0" fontId="20" fillId="0" borderId="18" xfId="10" quotePrefix="1" applyFont="1" applyFill="1" applyBorder="1" applyAlignment="1">
      <alignment horizontal="center"/>
    </xf>
    <xf numFmtId="0" fontId="23" fillId="0" borderId="21" xfId="10" applyFont="1" applyFill="1" applyBorder="1"/>
    <xf numFmtId="0" fontId="20" fillId="0" borderId="22" xfId="10" applyFont="1" applyFill="1" applyBorder="1" applyAlignment="1">
      <alignment horizontal="center"/>
    </xf>
    <xf numFmtId="0" fontId="25" fillId="0" borderId="23" xfId="10" applyFont="1" applyFill="1" applyBorder="1"/>
    <xf numFmtId="0" fontId="26" fillId="0" borderId="19" xfId="10" applyFont="1" applyFill="1" applyBorder="1" applyAlignment="1">
      <alignment horizontal="center"/>
    </xf>
    <xf numFmtId="171" fontId="23" fillId="0" borderId="19" xfId="10" applyNumberFormat="1" applyFont="1" applyFill="1" applyBorder="1" applyAlignment="1">
      <alignment horizontal="right"/>
    </xf>
    <xf numFmtId="171" fontId="23" fillId="0" borderId="22" xfId="10" applyNumberFormat="1" applyFont="1" applyFill="1" applyBorder="1" applyAlignment="1">
      <alignment horizontal="right"/>
    </xf>
    <xf numFmtId="172" fontId="19" fillId="0" borderId="22" xfId="10" applyNumberFormat="1" applyFont="1" applyFill="1" applyBorder="1" applyAlignment="1">
      <alignment horizontal="right"/>
    </xf>
    <xf numFmtId="169" fontId="20" fillId="0" borderId="22" xfId="10" applyNumberFormat="1" applyFont="1" applyFill="1" applyBorder="1" applyAlignment="1">
      <alignment horizontal="right"/>
    </xf>
    <xf numFmtId="169" fontId="27" fillId="0" borderId="22" xfId="10" applyNumberFormat="1" applyFont="1" applyFill="1" applyBorder="1" applyAlignment="1">
      <alignment horizontal="right"/>
    </xf>
    <xf numFmtId="0" fontId="25" fillId="0" borderId="19" xfId="10" applyFont="1" applyFill="1" applyBorder="1"/>
    <xf numFmtId="175" fontId="23" fillId="0" borderId="22" xfId="10" applyNumberFormat="1" applyFont="1" applyFill="1" applyBorder="1" applyAlignment="1">
      <alignment horizontal="right"/>
    </xf>
    <xf numFmtId="0" fontId="23" fillId="0" borderId="20" xfId="10" applyFont="1" applyFill="1" applyBorder="1"/>
    <xf numFmtId="0" fontId="23" fillId="0" borderId="23" xfId="10" applyFont="1" applyFill="1" applyBorder="1" applyAlignment="1">
      <alignment horizontal="left"/>
    </xf>
    <xf numFmtId="3" fontId="19" fillId="0" borderId="17" xfId="10" applyNumberFormat="1" applyFont="1" applyFill="1" applyBorder="1"/>
    <xf numFmtId="0" fontId="21" fillId="0" borderId="0" xfId="10" applyFont="1" applyFill="1"/>
    <xf numFmtId="2" fontId="19" fillId="0" borderId="19" xfId="10" applyNumberFormat="1" applyFont="1" applyFill="1" applyBorder="1" applyAlignment="1">
      <alignment horizontal="right"/>
    </xf>
    <xf numFmtId="0" fontId="23" fillId="0" borderId="23" xfId="10" quotePrefix="1" applyFont="1" applyFill="1" applyBorder="1" applyAlignment="1">
      <alignment horizontal="left"/>
    </xf>
    <xf numFmtId="3" fontId="19" fillId="0" borderId="22" xfId="10" applyNumberFormat="1" applyFont="1" applyFill="1" applyBorder="1"/>
    <xf numFmtId="0" fontId="25" fillId="0" borderId="18" xfId="10" applyFont="1" applyFill="1" applyBorder="1"/>
    <xf numFmtId="0" fontId="20" fillId="0" borderId="17" xfId="10" applyFont="1" applyFill="1" applyBorder="1" applyAlignment="1">
      <alignment horizontal="center"/>
    </xf>
    <xf numFmtId="0" fontId="19" fillId="0" borderId="17" xfId="10" applyFont="1" applyFill="1" applyBorder="1" applyAlignment="1">
      <alignment horizontal="center"/>
    </xf>
    <xf numFmtId="0" fontId="23" fillId="0" borderId="19" xfId="10" applyFont="1" applyFill="1" applyBorder="1" applyAlignment="1">
      <alignment horizontal="left"/>
    </xf>
    <xf numFmtId="3" fontId="19" fillId="0" borderId="19" xfId="8" applyNumberFormat="1" applyFont="1" applyFill="1" applyBorder="1"/>
    <xf numFmtId="10" fontId="19" fillId="0" borderId="22" xfId="6" applyNumberFormat="1" applyFont="1" applyFill="1" applyBorder="1"/>
    <xf numFmtId="10" fontId="19" fillId="0" borderId="22" xfId="6" applyNumberFormat="1" applyFont="1" applyFill="1" applyBorder="1" applyAlignment="1">
      <alignment horizontal="center"/>
    </xf>
    <xf numFmtId="10" fontId="20" fillId="0" borderId="1" xfId="6" applyNumberFormat="1" applyFont="1" applyFill="1" applyBorder="1"/>
    <xf numFmtId="3" fontId="23" fillId="0" borderId="17" xfId="6" applyNumberFormat="1" applyFont="1" applyFill="1" applyBorder="1"/>
    <xf numFmtId="10" fontId="19" fillId="0" borderId="1" xfId="6" applyNumberFormat="1" applyFont="1" applyFill="1" applyBorder="1"/>
    <xf numFmtId="0" fontId="20" fillId="0" borderId="26" xfId="10" applyFont="1" applyFill="1" applyBorder="1"/>
    <xf numFmtId="0" fontId="19" fillId="0" borderId="26" xfId="10" applyFont="1" applyFill="1" applyBorder="1"/>
    <xf numFmtId="9" fontId="19" fillId="0" borderId="27" xfId="6" applyFont="1" applyFill="1" applyBorder="1"/>
    <xf numFmtId="0" fontId="23" fillId="0" borderId="22" xfId="10" quotePrefix="1" applyFont="1" applyFill="1" applyBorder="1" applyAlignment="1">
      <alignment horizontal="center"/>
    </xf>
    <xf numFmtId="0" fontId="29" fillId="0" borderId="19" xfId="10" applyFont="1" applyFill="1" applyBorder="1" applyAlignment="1">
      <alignment horizontal="center"/>
    </xf>
    <xf numFmtId="170" fontId="18" fillId="0" borderId="0" xfId="6" applyNumberFormat="1" applyFont="1" applyFill="1"/>
    <xf numFmtId="170" fontId="27" fillId="0" borderId="22" xfId="6" applyNumberFormat="1" applyFont="1" applyFill="1" applyBorder="1" applyAlignment="1">
      <alignment horizontal="right"/>
    </xf>
    <xf numFmtId="165" fontId="13" fillId="0" borderId="0" xfId="6" applyNumberFormat="1" applyFont="1" applyFill="1"/>
    <xf numFmtId="0" fontId="30" fillId="0" borderId="19" xfId="10" applyFont="1" applyFill="1" applyBorder="1" applyAlignment="1">
      <alignment horizontal="right"/>
    </xf>
    <xf numFmtId="3" fontId="27" fillId="0" borderId="24" xfId="10" applyNumberFormat="1" applyFont="1" applyFill="1" applyBorder="1"/>
    <xf numFmtId="0" fontId="24" fillId="0" borderId="19" xfId="10" applyFont="1" applyFill="1" applyBorder="1"/>
    <xf numFmtId="3" fontId="19" fillId="0" borderId="29" xfId="10" applyNumberFormat="1" applyFont="1" applyFill="1" applyBorder="1" applyAlignment="1">
      <alignment horizontal="right"/>
    </xf>
    <xf numFmtId="0" fontId="19" fillId="0" borderId="18" xfId="10" applyFont="1" applyFill="1" applyBorder="1" applyAlignment="1">
      <alignment horizontal="right"/>
    </xf>
    <xf numFmtId="3" fontId="19" fillId="0" borderId="19" xfId="10" applyNumberFormat="1" applyFont="1" applyFill="1" applyBorder="1"/>
    <xf numFmtId="10" fontId="19" fillId="0" borderId="19" xfId="10" applyNumberFormat="1" applyFont="1" applyFill="1" applyBorder="1" applyAlignment="1">
      <alignment horizontal="right"/>
    </xf>
    <xf numFmtId="176" fontId="23" fillId="0" borderId="19" xfId="10" applyNumberFormat="1" applyFont="1" applyFill="1" applyBorder="1" applyAlignment="1">
      <alignment horizontal="right"/>
    </xf>
    <xf numFmtId="176" fontId="23" fillId="0" borderId="22" xfId="6" applyNumberFormat="1" applyFont="1" applyFill="1" applyBorder="1" applyAlignment="1">
      <alignment horizontal="right"/>
    </xf>
    <xf numFmtId="178" fontId="23" fillId="0" borderId="22" xfId="10" applyNumberFormat="1" applyFont="1" applyFill="1" applyBorder="1" applyAlignment="1">
      <alignment horizontal="right"/>
    </xf>
    <xf numFmtId="0" fontId="18" fillId="0" borderId="14" xfId="10" applyFont="1" applyFill="1" applyBorder="1"/>
    <xf numFmtId="0" fontId="21" fillId="0" borderId="23" xfId="10" applyFont="1" applyFill="1" applyBorder="1"/>
    <xf numFmtId="0" fontId="23" fillId="0" borderId="14" xfId="10" applyFont="1" applyFill="1" applyBorder="1" applyAlignment="1">
      <alignment horizontal="center"/>
    </xf>
    <xf numFmtId="0" fontId="32" fillId="0" borderId="18" xfId="10" applyFont="1" applyFill="1" applyBorder="1"/>
    <xf numFmtId="0" fontId="32" fillId="0" borderId="19" xfId="10" applyFont="1" applyFill="1" applyBorder="1"/>
    <xf numFmtId="0" fontId="21" fillId="0" borderId="23" xfId="10" applyFont="1" applyFill="1" applyBorder="1" applyAlignment="1">
      <alignment horizontal="left"/>
    </xf>
    <xf numFmtId="3" fontId="32" fillId="0" borderId="19" xfId="10" applyNumberFormat="1" applyFont="1" applyFill="1" applyBorder="1"/>
    <xf numFmtId="3" fontId="21" fillId="0" borderId="0" xfId="10" applyNumberFormat="1" applyFont="1" applyFill="1" applyBorder="1"/>
    <xf numFmtId="3" fontId="22" fillId="0" borderId="0" xfId="10" applyNumberFormat="1" applyFont="1" applyFill="1" applyBorder="1"/>
    <xf numFmtId="0" fontId="21" fillId="0" borderId="23" xfId="10" quotePrefix="1" applyFont="1" applyFill="1" applyBorder="1" applyAlignment="1">
      <alignment horizontal="left"/>
    </xf>
    <xf numFmtId="3" fontId="32" fillId="0" borderId="22" xfId="10" applyNumberFormat="1" applyFont="1" applyFill="1" applyBorder="1"/>
    <xf numFmtId="3" fontId="21" fillId="0" borderId="1" xfId="10" applyNumberFormat="1" applyFont="1" applyFill="1" applyBorder="1"/>
    <xf numFmtId="3" fontId="17" fillId="0" borderId="23" xfId="10" applyNumberFormat="1" applyFont="1" applyFill="1" applyBorder="1"/>
    <xf numFmtId="3" fontId="21" fillId="0" borderId="34" xfId="10" applyNumberFormat="1" applyFont="1" applyFill="1" applyBorder="1"/>
    <xf numFmtId="0" fontId="18" fillId="0" borderId="1" xfId="10" applyFont="1" applyFill="1" applyBorder="1"/>
    <xf numFmtId="0" fontId="5" fillId="0" borderId="0" xfId="10" applyFont="1" applyFill="1"/>
    <xf numFmtId="0" fontId="5" fillId="0" borderId="2" xfId="10" applyFont="1" applyFill="1" applyBorder="1"/>
    <xf numFmtId="0" fontId="5" fillId="0" borderId="3" xfId="10" applyFont="1" applyFill="1" applyBorder="1"/>
    <xf numFmtId="165" fontId="5" fillId="0" borderId="0" xfId="6" applyNumberFormat="1" applyFont="1" applyFill="1"/>
    <xf numFmtId="0" fontId="5" fillId="0" borderId="0" xfId="10" applyFont="1" applyFill="1" applyBorder="1"/>
    <xf numFmtId="0" fontId="35" fillId="0" borderId="3" xfId="10" applyFont="1" applyFill="1" applyBorder="1" applyAlignment="1">
      <alignment horizontal="center"/>
    </xf>
    <xf numFmtId="0" fontId="5" fillId="0" borderId="4" xfId="10" applyFont="1" applyFill="1" applyBorder="1"/>
    <xf numFmtId="0" fontId="35" fillId="0" borderId="0" xfId="10" applyFont="1" applyFill="1" applyBorder="1" applyAlignment="1">
      <alignment horizontal="center"/>
    </xf>
    <xf numFmtId="0" fontId="36" fillId="0" borderId="0" xfId="10" applyFont="1" applyFill="1" applyBorder="1" applyAlignment="1">
      <alignment horizontal="center" wrapText="1"/>
    </xf>
    <xf numFmtId="0" fontId="35" fillId="0" borderId="0" xfId="10" applyFont="1" applyFill="1" applyBorder="1" applyAlignment="1">
      <alignment horizontal="left"/>
    </xf>
    <xf numFmtId="165" fontId="5" fillId="0" borderId="0" xfId="6" applyNumberFormat="1" applyFont="1" applyFill="1" applyBorder="1"/>
    <xf numFmtId="0" fontId="5" fillId="0" borderId="0" xfId="10" applyFont="1" applyFill="1" applyAlignment="1">
      <alignment horizontal="center"/>
    </xf>
    <xf numFmtId="165" fontId="5" fillId="0" borderId="0" xfId="6" applyNumberFormat="1" applyFont="1" applyFill="1" applyAlignment="1">
      <alignment horizontal="center"/>
    </xf>
    <xf numFmtId="165" fontId="23" fillId="0" borderId="22" xfId="6" applyNumberFormat="1" applyFont="1" applyFill="1" applyBorder="1" applyAlignment="1">
      <alignment horizontal="center"/>
    </xf>
    <xf numFmtId="165" fontId="19" fillId="0" borderId="19" xfId="6" applyNumberFormat="1" applyFont="1" applyFill="1" applyBorder="1" applyAlignment="1">
      <alignment horizontal="right"/>
    </xf>
    <xf numFmtId="165" fontId="19" fillId="0" borderId="22" xfId="6" applyNumberFormat="1" applyFont="1" applyFill="1" applyBorder="1" applyAlignment="1">
      <alignment horizontal="right"/>
    </xf>
    <xf numFmtId="165" fontId="23" fillId="0" borderId="22" xfId="6" applyNumberFormat="1" applyFont="1" applyFill="1" applyBorder="1" applyAlignment="1">
      <alignment horizontal="right"/>
    </xf>
    <xf numFmtId="165" fontId="19" fillId="0" borderId="18" xfId="6" applyNumberFormat="1" applyFont="1" applyFill="1" applyBorder="1" applyAlignment="1">
      <alignment horizontal="right"/>
    </xf>
    <xf numFmtId="9" fontId="24" fillId="0" borderId="22" xfId="6" applyFont="1" applyFill="1" applyBorder="1" applyAlignment="1">
      <alignment horizontal="right"/>
    </xf>
    <xf numFmtId="10" fontId="23" fillId="0" borderId="0" xfId="6" applyNumberFormat="1" applyFont="1" applyFill="1"/>
    <xf numFmtId="165" fontId="37" fillId="0" borderId="0" xfId="6" applyNumberFormat="1" applyFont="1" applyFill="1"/>
    <xf numFmtId="169" fontId="19" fillId="0" borderId="0" xfId="10" applyNumberFormat="1" applyFont="1" applyFill="1" applyBorder="1" applyAlignment="1">
      <alignment horizontal="right"/>
    </xf>
    <xf numFmtId="165" fontId="27" fillId="0" borderId="0" xfId="6" applyNumberFormat="1" applyFont="1" applyFill="1"/>
    <xf numFmtId="10" fontId="21" fillId="0" borderId="0" xfId="6" applyNumberFormat="1" applyFont="1" applyFill="1"/>
    <xf numFmtId="3" fontId="24" fillId="0" borderId="24" xfId="10" applyNumberFormat="1" applyFont="1" applyFill="1" applyBorder="1"/>
    <xf numFmtId="165" fontId="19" fillId="0" borderId="24" xfId="6" applyNumberFormat="1" applyFont="1" applyFill="1" applyBorder="1"/>
    <xf numFmtId="165" fontId="23" fillId="0" borderId="19" xfId="6" applyNumberFormat="1" applyFont="1" applyFill="1" applyBorder="1" applyAlignment="1">
      <alignment horizontal="right"/>
    </xf>
    <xf numFmtId="165" fontId="23" fillId="0" borderId="0" xfId="6" applyNumberFormat="1" applyFont="1" applyFill="1"/>
    <xf numFmtId="176" fontId="23" fillId="0" borderId="0" xfId="6" applyNumberFormat="1" applyFont="1" applyFill="1"/>
    <xf numFmtId="165" fontId="21" fillId="0" borderId="0" xfId="6" applyNumberFormat="1" applyFont="1" applyFill="1"/>
    <xf numFmtId="165" fontId="23" fillId="0" borderId="17" xfId="6" applyNumberFormat="1" applyFont="1" applyFill="1" applyBorder="1"/>
    <xf numFmtId="9" fontId="17" fillId="0" borderId="0" xfId="6" applyFont="1" applyFill="1"/>
    <xf numFmtId="9" fontId="24" fillId="0" borderId="22" xfId="10" applyNumberFormat="1" applyFont="1" applyFill="1" applyBorder="1" applyAlignment="1">
      <alignment horizontal="right"/>
    </xf>
    <xf numFmtId="165" fontId="19" fillId="0" borderId="22" xfId="6" applyNumberFormat="1" applyFont="1" applyFill="1" applyBorder="1"/>
    <xf numFmtId="165" fontId="23" fillId="0" borderId="17" xfId="6" applyNumberFormat="1" applyFont="1" applyFill="1" applyBorder="1" applyAlignment="1">
      <alignment horizontal="center"/>
    </xf>
    <xf numFmtId="3" fontId="23" fillId="0" borderId="25" xfId="8" applyNumberFormat="1" applyFont="1" applyFill="1" applyBorder="1" applyAlignment="1">
      <alignment horizontal="right"/>
    </xf>
    <xf numFmtId="165" fontId="19" fillId="0" borderId="0" xfId="6" applyNumberFormat="1" applyFont="1" applyFill="1" applyBorder="1" applyAlignment="1">
      <alignment horizontal="right"/>
    </xf>
    <xf numFmtId="3" fontId="19" fillId="0" borderId="19" xfId="8" applyNumberFormat="1" applyFont="1" applyFill="1" applyBorder="1" applyAlignment="1">
      <alignment horizontal="right"/>
    </xf>
    <xf numFmtId="165" fontId="23" fillId="0" borderId="0" xfId="6" applyNumberFormat="1" applyFont="1" applyFill="1" applyBorder="1"/>
    <xf numFmtId="3" fontId="19" fillId="0" borderId="19" xfId="10" applyNumberFormat="1" applyFont="1" applyFill="1" applyBorder="1" applyAlignment="1">
      <alignment horizontal="center"/>
    </xf>
    <xf numFmtId="170" fontId="5" fillId="0" borderId="0" xfId="6" applyNumberFormat="1" applyFont="1" applyFill="1"/>
    <xf numFmtId="170" fontId="19" fillId="0" borderId="22" xfId="6" applyNumberFormat="1" applyFont="1" applyFill="1" applyBorder="1" applyAlignment="1">
      <alignment horizontal="right"/>
    </xf>
    <xf numFmtId="170" fontId="21" fillId="0" borderId="22" xfId="6" applyNumberFormat="1" applyFont="1" applyFill="1" applyBorder="1" applyAlignment="1">
      <alignment horizontal="right"/>
    </xf>
    <xf numFmtId="0" fontId="24" fillId="0" borderId="19" xfId="10" applyFont="1" applyFill="1" applyBorder="1" applyAlignment="1">
      <alignment horizontal="right"/>
    </xf>
    <xf numFmtId="0" fontId="24" fillId="0" borderId="18" xfId="10" applyFont="1" applyFill="1" applyBorder="1" applyAlignment="1">
      <alignment horizontal="right"/>
    </xf>
    <xf numFmtId="3" fontId="24" fillId="0" borderId="22" xfId="10" applyNumberFormat="1" applyFont="1" applyFill="1" applyBorder="1"/>
    <xf numFmtId="3" fontId="38" fillId="0" borderId="19" xfId="8" applyNumberFormat="1" applyFont="1" applyFill="1" applyBorder="1"/>
    <xf numFmtId="0" fontId="5" fillId="0" borderId="1" xfId="10" applyFont="1" applyFill="1" applyBorder="1"/>
    <xf numFmtId="165" fontId="5" fillId="0" borderId="1" xfId="6" applyNumberFormat="1" applyFont="1" applyFill="1" applyBorder="1"/>
    <xf numFmtId="0" fontId="5" fillId="0" borderId="20" xfId="10" applyFont="1" applyFill="1" applyBorder="1"/>
    <xf numFmtId="0" fontId="5" fillId="0" borderId="14" xfId="10" applyFont="1" applyFill="1" applyBorder="1"/>
    <xf numFmtId="165" fontId="5" fillId="0" borderId="14" xfId="6" applyNumberFormat="1" applyFont="1" applyFill="1" applyBorder="1"/>
    <xf numFmtId="0" fontId="5" fillId="0" borderId="30" xfId="10" applyFont="1" applyFill="1" applyBorder="1"/>
    <xf numFmtId="0" fontId="5" fillId="0" borderId="31" xfId="10" applyFont="1" applyFill="1" applyBorder="1" applyAlignment="1">
      <alignment horizontal="center"/>
    </xf>
    <xf numFmtId="0" fontId="5" fillId="0" borderId="0" xfId="10" applyFont="1" applyFill="1" applyBorder="1" applyAlignment="1">
      <alignment horizontal="center"/>
    </xf>
    <xf numFmtId="0" fontId="5" fillId="0" borderId="18" xfId="10" applyFont="1" applyFill="1" applyBorder="1"/>
    <xf numFmtId="0" fontId="35" fillId="0" borderId="32" xfId="10" applyFont="1" applyFill="1" applyBorder="1" applyAlignment="1">
      <alignment horizontal="center"/>
    </xf>
    <xf numFmtId="0" fontId="5" fillId="0" borderId="28" xfId="10" applyFont="1" applyFill="1" applyBorder="1"/>
    <xf numFmtId="0" fontId="35" fillId="0" borderId="33" xfId="10" applyFont="1" applyFill="1" applyBorder="1" applyAlignment="1">
      <alignment horizontal="center"/>
    </xf>
    <xf numFmtId="165" fontId="23" fillId="0" borderId="18" xfId="6" applyNumberFormat="1" applyFont="1" applyFill="1" applyBorder="1" applyAlignment="1">
      <alignment horizontal="center"/>
    </xf>
    <xf numFmtId="165" fontId="17" fillId="0" borderId="22" xfId="6" applyNumberFormat="1" applyFont="1" applyFill="1" applyBorder="1"/>
    <xf numFmtId="165" fontId="17" fillId="0" borderId="24" xfId="6" applyNumberFormat="1" applyFont="1" applyFill="1" applyBorder="1"/>
    <xf numFmtId="176" fontId="21" fillId="0" borderId="29" xfId="6" applyNumberFormat="1" applyFont="1" applyFill="1" applyBorder="1"/>
    <xf numFmtId="0" fontId="25" fillId="0" borderId="28" xfId="10" applyFont="1" applyFill="1" applyBorder="1" applyAlignment="1">
      <alignment horizontal="center"/>
    </xf>
    <xf numFmtId="0" fontId="5" fillId="0" borderId="21" xfId="10" applyFont="1" applyFill="1" applyBorder="1"/>
    <xf numFmtId="0" fontId="10" fillId="0" borderId="0" xfId="7" applyFont="1" applyFill="1" applyAlignment="1">
      <alignment horizontal="center"/>
    </xf>
  </cellXfs>
  <cellStyles count="11">
    <cellStyle name="Comma" xfId="1" builtinId="3"/>
    <cellStyle name="Comma 2" xfId="2"/>
    <cellStyle name="Comma 2 2" xfId="8"/>
    <cellStyle name="Currency 2" xfId="9"/>
    <cellStyle name="Normal" xfId="0" builtinId="0"/>
    <cellStyle name="Normal 2" xfId="3"/>
    <cellStyle name="Normal 2 3" xfId="4"/>
    <cellStyle name="Normal 3" xfId="7"/>
    <cellStyle name="Normal 4" xfId="10"/>
    <cellStyle name="Percent" xfId="6" builtinId="5"/>
    <cellStyle name="Percent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3173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FF9457\Desktop\Prop%20Tax%20junk\2013%20Misc%20Backup\2013%20Prior%20Versions\2)%20HPA-1%20Historical%20and%20Proforma%20Analysis-Updated%20for%20current%20rate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A-1"/>
      <sheetName val="2012_REVISED_PROP_TAX"/>
      <sheetName val="2011-2012-2013"/>
    </sheetNames>
    <sheetDataSet>
      <sheetData sheetId="0"/>
      <sheetData sheetId="1"/>
      <sheetData sheetId="2">
        <row r="24">
          <cell r="J24">
            <v>693312.69339261006</v>
          </cell>
        </row>
        <row r="49">
          <cell r="F49">
            <v>394924.71850800002</v>
          </cell>
        </row>
        <row r="50">
          <cell r="F50">
            <v>9.697894421110187E-3</v>
          </cell>
        </row>
        <row r="146">
          <cell r="F146">
            <v>69964.208587000001</v>
          </cell>
        </row>
        <row r="164">
          <cell r="F164">
            <v>130466</v>
          </cell>
        </row>
        <row r="165">
          <cell r="F165">
            <v>1.2656240695666537E-2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9"/>
  <sheetViews>
    <sheetView tabSelected="1" showWhiteSpace="0" view="pageBreakPreview" zoomScale="85" zoomScaleNormal="100" zoomScaleSheetLayoutView="85" workbookViewId="0">
      <selection activeCell="O20" sqref="O20"/>
    </sheetView>
  </sheetViews>
  <sheetFormatPr defaultRowHeight="15" x14ac:dyDescent="0.25"/>
  <cols>
    <col min="1" max="1" width="17" style="45" bestFit="1" customWidth="1"/>
    <col min="2" max="5" width="13.28515625" style="46" bestFit="1" customWidth="1"/>
    <col min="6" max="6" width="9.5703125" style="46" bestFit="1" customWidth="1"/>
    <col min="7" max="7" width="11.5703125" style="46" bestFit="1" customWidth="1"/>
    <col min="8" max="8" width="1.7109375" style="46" customWidth="1"/>
    <col min="9" max="9" width="15.5703125" style="46" customWidth="1"/>
    <col min="10" max="10" width="11.85546875" style="46" bestFit="1" customWidth="1"/>
    <col min="11" max="11" width="12.28515625" style="46" bestFit="1" customWidth="1"/>
    <col min="12" max="16384" width="9.140625" style="46"/>
  </cols>
  <sheetData>
    <row r="1" spans="1:11" ht="15.75" thickBot="1" x14ac:dyDescent="0.3">
      <c r="B1" s="322" t="s">
        <v>88</v>
      </c>
      <c r="C1" s="323"/>
      <c r="D1" s="323"/>
      <c r="E1" s="323"/>
      <c r="F1" s="323"/>
      <c r="G1" s="324"/>
      <c r="I1" s="322" t="s">
        <v>76</v>
      </c>
      <c r="J1" s="323"/>
      <c r="K1" s="324"/>
    </row>
    <row r="2" spans="1:11" x14ac:dyDescent="0.25">
      <c r="A2" s="98" t="s">
        <v>97</v>
      </c>
      <c r="B2" s="93"/>
      <c r="C2" s="93"/>
      <c r="D2" s="93"/>
      <c r="E2" s="3"/>
      <c r="F2" s="3"/>
      <c r="G2" s="3"/>
      <c r="I2" s="47">
        <v>0.64710000000000001</v>
      </c>
      <c r="J2" s="47">
        <f>1-I2</f>
        <v>0.35289999999999999</v>
      </c>
      <c r="K2" s="101" t="s">
        <v>100</v>
      </c>
    </row>
    <row r="3" spans="1:11" s="5" customFormat="1" x14ac:dyDescent="0.25">
      <c r="B3" s="5" t="s">
        <v>77</v>
      </c>
      <c r="C3" s="5" t="s">
        <v>78</v>
      </c>
      <c r="D3" s="5" t="s">
        <v>79</v>
      </c>
      <c r="E3" s="5" t="s">
        <v>80</v>
      </c>
      <c r="F3" s="5" t="s">
        <v>81</v>
      </c>
      <c r="G3" s="5" t="s">
        <v>82</v>
      </c>
      <c r="I3" s="5" t="s">
        <v>77</v>
      </c>
      <c r="J3" s="5" t="s">
        <v>78</v>
      </c>
      <c r="K3" s="5" t="s">
        <v>82</v>
      </c>
    </row>
    <row r="4" spans="1:11" s="5" customFormat="1" x14ac:dyDescent="0.25">
      <c r="A4" s="5" t="s">
        <v>92</v>
      </c>
    </row>
    <row r="5" spans="1:11" x14ac:dyDescent="0.25">
      <c r="A5" s="6" t="s">
        <v>89</v>
      </c>
    </row>
    <row r="6" spans="1:11" x14ac:dyDescent="0.25">
      <c r="A6" s="45">
        <v>408150</v>
      </c>
      <c r="B6" s="48">
        <v>3106947</v>
      </c>
      <c r="C6" s="48">
        <v>1246463.3480968564</v>
      </c>
      <c r="D6" s="48">
        <v>7355994.3157886509</v>
      </c>
      <c r="E6" s="48">
        <v>2707181.5466561336</v>
      </c>
      <c r="F6" s="49">
        <v>2890.15</v>
      </c>
      <c r="G6" s="50">
        <f>SUM(B6:F6)</f>
        <v>14419476.360541642</v>
      </c>
      <c r="I6" s="50">
        <f>ROUND($G$6*I2,0)</f>
        <v>9330843</v>
      </c>
      <c r="J6" s="50">
        <f>ROUND($G$6*J2,0)</f>
        <v>5088633</v>
      </c>
      <c r="K6" s="50">
        <f>SUM(I6:J6)</f>
        <v>14419476</v>
      </c>
    </row>
    <row r="7" spans="1:11" x14ac:dyDescent="0.25">
      <c r="A7" s="45">
        <v>408180</v>
      </c>
      <c r="B7" s="51">
        <v>2924947</v>
      </c>
      <c r="C7" s="51">
        <v>1377970.1519853615</v>
      </c>
      <c r="D7" s="51">
        <v>1128427.6842113491</v>
      </c>
      <c r="E7" s="51">
        <v>10645.4533438664</v>
      </c>
      <c r="F7" s="51"/>
      <c r="G7" s="52">
        <f>SUM(B7:F7)</f>
        <v>5441990.2895405767</v>
      </c>
      <c r="I7" s="50">
        <f>ROUND($G$7*I2,0)</f>
        <v>3521512</v>
      </c>
      <c r="J7" s="50">
        <f>ROUND($G$7*J2,0)</f>
        <v>1920478</v>
      </c>
      <c r="K7" s="50">
        <f>SUM(I7:J7)</f>
        <v>5441990</v>
      </c>
    </row>
    <row r="8" spans="1:11" x14ac:dyDescent="0.25">
      <c r="A8" s="45" t="s">
        <v>90</v>
      </c>
      <c r="B8" s="48">
        <f>SUM(B6:B7)</f>
        <v>6031894</v>
      </c>
      <c r="C8" s="48">
        <f t="shared" ref="C8:K8" si="0">SUM(C6:C7)</f>
        <v>2624433.5000822181</v>
      </c>
      <c r="D8" s="48">
        <f t="shared" si="0"/>
        <v>8484422</v>
      </c>
      <c r="E8" s="48">
        <f t="shared" si="0"/>
        <v>2717827</v>
      </c>
      <c r="F8" s="48">
        <f t="shared" si="0"/>
        <v>2890.15</v>
      </c>
      <c r="G8" s="53">
        <f t="shared" si="0"/>
        <v>19861466.650082219</v>
      </c>
      <c r="H8" s="53">
        <f t="shared" si="0"/>
        <v>0</v>
      </c>
      <c r="I8" s="53">
        <f t="shared" si="0"/>
        <v>12852355</v>
      </c>
      <c r="J8" s="53">
        <f t="shared" si="0"/>
        <v>7009111</v>
      </c>
      <c r="K8" s="53">
        <f t="shared" si="0"/>
        <v>19861466</v>
      </c>
    </row>
    <row r="9" spans="1:11" x14ac:dyDescent="0.25">
      <c r="B9" s="48"/>
      <c r="C9" s="48"/>
      <c r="D9" s="48"/>
      <c r="E9" s="48"/>
      <c r="F9" s="48"/>
    </row>
    <row r="10" spans="1:11" x14ac:dyDescent="0.25">
      <c r="A10" s="6" t="s">
        <v>85</v>
      </c>
      <c r="B10" s="48"/>
      <c r="C10" s="48"/>
      <c r="D10" s="48"/>
      <c r="E10" s="48"/>
      <c r="F10" s="48"/>
    </row>
    <row r="11" spans="1:11" x14ac:dyDescent="0.25">
      <c r="A11" s="45">
        <v>408170</v>
      </c>
      <c r="B11" s="51">
        <v>6967876.8822291978</v>
      </c>
      <c r="C11" s="51">
        <v>3093283.4999177824</v>
      </c>
      <c r="D11" s="51">
        <v>0</v>
      </c>
      <c r="E11" s="51">
        <v>0</v>
      </c>
      <c r="F11" s="51">
        <v>0</v>
      </c>
      <c r="G11" s="52">
        <f>SUM(B11:F11)</f>
        <v>10061160.382146981</v>
      </c>
      <c r="I11" s="52">
        <f>B11</f>
        <v>6967876.8822291978</v>
      </c>
      <c r="J11" s="52">
        <f>C11</f>
        <v>3093283.4999177824</v>
      </c>
      <c r="K11" s="52">
        <f>SUM(I11:J11)</f>
        <v>10061160.382146981</v>
      </c>
    </row>
    <row r="12" spans="1:11" x14ac:dyDescent="0.25">
      <c r="B12" s="48"/>
      <c r="C12" s="48"/>
      <c r="D12" s="48"/>
      <c r="E12" s="48"/>
      <c r="F12" s="48"/>
    </row>
    <row r="13" spans="1:11" ht="15.75" thickBot="1" x14ac:dyDescent="0.3">
      <c r="A13" s="6" t="s">
        <v>83</v>
      </c>
      <c r="B13" s="54">
        <f>SUM(B8:B11)</f>
        <v>12999770.882229198</v>
      </c>
      <c r="C13" s="54">
        <f t="shared" ref="C13:K13" si="1">SUM(C8:C11)</f>
        <v>5717717</v>
      </c>
      <c r="D13" s="54">
        <f t="shared" si="1"/>
        <v>8484422</v>
      </c>
      <c r="E13" s="54">
        <f t="shared" si="1"/>
        <v>2717827</v>
      </c>
      <c r="F13" s="54">
        <f t="shared" si="1"/>
        <v>2890.15</v>
      </c>
      <c r="G13" s="54">
        <f t="shared" si="1"/>
        <v>29922627.0322292</v>
      </c>
      <c r="H13" s="54">
        <f t="shared" si="1"/>
        <v>0</v>
      </c>
      <c r="I13" s="54">
        <f t="shared" si="1"/>
        <v>19820231.882229198</v>
      </c>
      <c r="J13" s="54">
        <f t="shared" si="1"/>
        <v>10102394.499917783</v>
      </c>
      <c r="K13" s="54">
        <f t="shared" si="1"/>
        <v>29922626.382146981</v>
      </c>
    </row>
    <row r="15" spans="1:11" ht="15.75" thickBot="1" x14ac:dyDescent="0.3">
      <c r="A15" s="98" t="s">
        <v>98</v>
      </c>
      <c r="B15" s="95"/>
      <c r="C15" s="95"/>
      <c r="D15" s="95"/>
      <c r="I15" s="325" t="s">
        <v>96</v>
      </c>
      <c r="J15" s="325"/>
    </row>
    <row r="16" spans="1:11" ht="15.75" thickBot="1" x14ac:dyDescent="0.3">
      <c r="A16" s="14" t="s">
        <v>93</v>
      </c>
      <c r="B16" s="90">
        <v>13759280</v>
      </c>
      <c r="C16" s="90">
        <v>6102447</v>
      </c>
      <c r="D16" s="90">
        <v>8940464</v>
      </c>
      <c r="E16" s="90">
        <v>2717821</v>
      </c>
      <c r="F16" s="90">
        <v>2890</v>
      </c>
      <c r="G16" s="90">
        <f>SUM(B16:F16)</f>
        <v>31522902</v>
      </c>
      <c r="H16" s="55"/>
      <c r="I16" s="97">
        <v>0.65629999999999999</v>
      </c>
      <c r="J16" s="97">
        <f>100%-I16</f>
        <v>0.34370000000000001</v>
      </c>
      <c r="K16" s="56"/>
    </row>
    <row r="17" spans="1:13" x14ac:dyDescent="0.25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9"/>
    </row>
    <row r="18" spans="1:13" x14ac:dyDescent="0.25">
      <c r="A18" s="57" t="s">
        <v>89</v>
      </c>
      <c r="B18" s="58"/>
      <c r="C18" s="58"/>
      <c r="D18" s="58"/>
      <c r="E18" s="58"/>
      <c r="F18" s="58"/>
      <c r="G18" s="58"/>
      <c r="H18" s="58"/>
      <c r="I18" s="58"/>
      <c r="J18" s="58"/>
      <c r="K18" s="59"/>
    </row>
    <row r="19" spans="1:13" x14ac:dyDescent="0.25">
      <c r="A19" s="57">
        <v>408150</v>
      </c>
      <c r="B19" s="60">
        <f>(B6/$B$13)*B16</f>
        <v>3288469.7819250603</v>
      </c>
      <c r="C19" s="60">
        <f>(C6/$C$13)*C16</f>
        <v>1330334.5582167876</v>
      </c>
      <c r="D19" s="60">
        <f>(D6/$D$13)*D16</f>
        <v>7751382.7535350155</v>
      </c>
      <c r="E19" s="60">
        <f>(E6/$E$13)*E16</f>
        <v>2707175.5701575265</v>
      </c>
      <c r="F19" s="60">
        <f>(F6/F13)*F16</f>
        <v>2890</v>
      </c>
      <c r="G19" s="60">
        <f>SUM(B19:F19)</f>
        <v>15080252.663834389</v>
      </c>
      <c r="H19" s="58"/>
      <c r="I19" s="61">
        <f>ROUND(G19*I16,0)</f>
        <v>9897170</v>
      </c>
      <c r="J19" s="61">
        <f>ROUND(G19*J16,0)</f>
        <v>5183083</v>
      </c>
      <c r="K19" s="62">
        <f>SUM(I19:J19)</f>
        <v>15080253</v>
      </c>
    </row>
    <row r="20" spans="1:13" x14ac:dyDescent="0.25">
      <c r="A20" s="57">
        <v>408180</v>
      </c>
      <c r="B20" s="63">
        <f>(B7/$B$13)*B16</f>
        <v>3095836.4668700043</v>
      </c>
      <c r="C20" s="63">
        <f>(C7/$C$13)*C16</f>
        <v>1470690.1058713843</v>
      </c>
      <c r="D20" s="63">
        <f>(D7/$D$13)*D16</f>
        <v>1189081.2464649843</v>
      </c>
      <c r="E20" s="63">
        <f>(E7/$E$13)*E16</f>
        <v>10645.429842473537</v>
      </c>
      <c r="F20" s="63"/>
      <c r="G20" s="63">
        <f>SUM(B20:F20)</f>
        <v>5766253.2490488468</v>
      </c>
      <c r="H20" s="58"/>
      <c r="I20" s="61">
        <f>ROUND(G20*I16,0)</f>
        <v>3784392</v>
      </c>
      <c r="J20" s="61">
        <f>ROUND(G20*J16,0)</f>
        <v>1981861</v>
      </c>
      <c r="K20" s="62">
        <f>SUM(I20:J20)</f>
        <v>5766253</v>
      </c>
    </row>
    <row r="21" spans="1:13" x14ac:dyDescent="0.25">
      <c r="A21" s="57" t="s">
        <v>91</v>
      </c>
      <c r="B21" s="60">
        <f t="shared" ref="B21:G21" si="2">SUM(B19:B20)</f>
        <v>6384306.2487950642</v>
      </c>
      <c r="C21" s="60">
        <f t="shared" si="2"/>
        <v>2801024.6640881719</v>
      </c>
      <c r="D21" s="60">
        <f t="shared" si="2"/>
        <v>8940464</v>
      </c>
      <c r="E21" s="60">
        <f t="shared" si="2"/>
        <v>2717821</v>
      </c>
      <c r="F21" s="60">
        <f t="shared" si="2"/>
        <v>2890</v>
      </c>
      <c r="G21" s="60">
        <f t="shared" si="2"/>
        <v>20846505.912883237</v>
      </c>
      <c r="H21" s="58"/>
      <c r="I21" s="64">
        <f>SUM(I19:I20)</f>
        <v>13681562</v>
      </c>
      <c r="J21" s="64">
        <f>SUM(J19:J20)</f>
        <v>7164944</v>
      </c>
      <c r="K21" s="65">
        <f>SUM(K19:K20)</f>
        <v>20846506</v>
      </c>
    </row>
    <row r="22" spans="1:13" x14ac:dyDescent="0.25">
      <c r="A22" s="57"/>
      <c r="B22" s="60"/>
      <c r="C22" s="60"/>
      <c r="D22" s="60"/>
      <c r="E22" s="60"/>
      <c r="F22" s="60"/>
      <c r="G22" s="60"/>
      <c r="H22" s="58"/>
      <c r="I22" s="58"/>
      <c r="J22" s="58"/>
      <c r="K22" s="59"/>
    </row>
    <row r="23" spans="1:13" x14ac:dyDescent="0.25">
      <c r="A23" s="57" t="s">
        <v>85</v>
      </c>
      <c r="B23" s="60"/>
      <c r="C23" s="60"/>
      <c r="D23" s="60"/>
      <c r="E23" s="60"/>
      <c r="F23" s="60"/>
      <c r="G23" s="60"/>
      <c r="H23" s="58"/>
      <c r="I23" s="58"/>
      <c r="J23" s="58"/>
      <c r="K23" s="59"/>
    </row>
    <row r="24" spans="1:13" x14ac:dyDescent="0.25">
      <c r="A24" s="57">
        <v>408170</v>
      </c>
      <c r="B24" s="63">
        <f>(B11/$B$13)*B16</f>
        <v>7374973.7512049358</v>
      </c>
      <c r="C24" s="63">
        <f>(C11/$C$13)*C16</f>
        <v>3301422.3359118286</v>
      </c>
      <c r="D24" s="63"/>
      <c r="E24" s="63"/>
      <c r="F24" s="63"/>
      <c r="G24" s="63">
        <f>SUM(B24:F24)</f>
        <v>10676396.087116765</v>
      </c>
      <c r="H24" s="58"/>
      <c r="I24" s="66">
        <f>B24</f>
        <v>7374973.7512049358</v>
      </c>
      <c r="J24" s="66">
        <f>C24</f>
        <v>3301422.3359118286</v>
      </c>
      <c r="K24" s="67">
        <f>SUM(I24:J24)</f>
        <v>10676396.087116765</v>
      </c>
    </row>
    <row r="25" spans="1:13" x14ac:dyDescent="0.25">
      <c r="A25" s="57"/>
      <c r="B25" s="60"/>
      <c r="C25" s="60"/>
      <c r="D25" s="60"/>
      <c r="E25" s="60"/>
      <c r="F25" s="60"/>
      <c r="G25" s="60"/>
      <c r="H25" s="58"/>
      <c r="I25" s="58"/>
      <c r="J25" s="58"/>
      <c r="K25" s="59"/>
    </row>
    <row r="26" spans="1:13" ht="15.75" thickBot="1" x14ac:dyDescent="0.3">
      <c r="A26" s="57"/>
      <c r="B26" s="68">
        <f t="shared" ref="B26:G26" si="3">SUM(B21:B24)</f>
        <v>13759280</v>
      </c>
      <c r="C26" s="68">
        <f t="shared" si="3"/>
        <v>6102447</v>
      </c>
      <c r="D26" s="68">
        <f t="shared" si="3"/>
        <v>8940464</v>
      </c>
      <c r="E26" s="68">
        <f t="shared" si="3"/>
        <v>2717821</v>
      </c>
      <c r="F26" s="68">
        <f t="shared" si="3"/>
        <v>2890</v>
      </c>
      <c r="G26" s="68">
        <f t="shared" si="3"/>
        <v>31522902</v>
      </c>
      <c r="H26" s="69"/>
      <c r="I26" s="68">
        <f>SUM(I21:I24)</f>
        <v>21056535.751204938</v>
      </c>
      <c r="J26" s="68">
        <f>SUM(J21:J24)</f>
        <v>10466366.335911829</v>
      </c>
      <c r="K26" s="70">
        <f>SUM(K21:K24)</f>
        <v>31522902.087116763</v>
      </c>
      <c r="M26" s="50"/>
    </row>
    <row r="27" spans="1:13" ht="15.75" thickBot="1" x14ac:dyDescent="0.3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3"/>
    </row>
    <row r="28" spans="1:13" ht="15.75" thickBot="1" x14ac:dyDescent="0.3"/>
    <row r="29" spans="1:13" x14ac:dyDescent="0.25">
      <c r="A29" s="32" t="s">
        <v>74</v>
      </c>
      <c r="B29" s="74"/>
      <c r="C29" s="74"/>
      <c r="D29" s="74"/>
      <c r="E29" s="74"/>
      <c r="F29" s="74"/>
      <c r="G29" s="74"/>
      <c r="H29" s="74"/>
      <c r="I29" s="74"/>
      <c r="J29" s="74"/>
      <c r="K29" s="75"/>
    </row>
    <row r="30" spans="1:13" x14ac:dyDescent="0.25">
      <c r="A30" s="76" t="s">
        <v>89</v>
      </c>
      <c r="B30" s="77"/>
      <c r="C30" s="77"/>
      <c r="D30" s="77"/>
      <c r="E30" s="77"/>
      <c r="F30" s="77"/>
      <c r="G30" s="77"/>
      <c r="H30" s="77"/>
      <c r="I30" s="77"/>
      <c r="J30" s="77"/>
      <c r="K30" s="78"/>
    </row>
    <row r="31" spans="1:13" x14ac:dyDescent="0.25">
      <c r="A31" s="76">
        <v>408150</v>
      </c>
      <c r="B31" s="79">
        <f t="shared" ref="B31:F32" si="4">B19-B6</f>
        <v>181522.78192506032</v>
      </c>
      <c r="C31" s="79">
        <f t="shared" si="4"/>
        <v>83871.21011993126</v>
      </c>
      <c r="D31" s="79">
        <f t="shared" si="4"/>
        <v>395388.43774636462</v>
      </c>
      <c r="E31" s="79">
        <f t="shared" si="4"/>
        <v>-5.9764986070804298</v>
      </c>
      <c r="F31" s="80">
        <f t="shared" si="4"/>
        <v>-0.15000000000009095</v>
      </c>
      <c r="G31" s="79">
        <f>SUM(B31:F31)</f>
        <v>660776.3032927491</v>
      </c>
      <c r="H31" s="77"/>
      <c r="I31" s="79">
        <f>I19-I6</f>
        <v>566327</v>
      </c>
      <c r="J31" s="79">
        <f>J19-J6</f>
        <v>94450</v>
      </c>
      <c r="K31" s="81">
        <f>SUM(I31:J31)</f>
        <v>660777</v>
      </c>
    </row>
    <row r="32" spans="1:13" x14ac:dyDescent="0.25">
      <c r="A32" s="76">
        <v>408180</v>
      </c>
      <c r="B32" s="51">
        <f t="shared" si="4"/>
        <v>170889.46687000431</v>
      </c>
      <c r="C32" s="51">
        <f t="shared" si="4"/>
        <v>92719.953886022791</v>
      </c>
      <c r="D32" s="51">
        <f t="shared" si="4"/>
        <v>60653.562253635144</v>
      </c>
      <c r="E32" s="51">
        <f t="shared" si="4"/>
        <v>-2.3501392863181536E-2</v>
      </c>
      <c r="F32" s="51">
        <f t="shared" si="4"/>
        <v>0</v>
      </c>
      <c r="G32" s="51">
        <f>SUM(B32:F32)</f>
        <v>324262.95950826938</v>
      </c>
      <c r="H32" s="77"/>
      <c r="I32" s="79">
        <f>I20-I7</f>
        <v>262880</v>
      </c>
      <c r="J32" s="79">
        <f>J20-J7</f>
        <v>61383</v>
      </c>
      <c r="K32" s="81">
        <f>SUM(I32:J32)</f>
        <v>324263</v>
      </c>
    </row>
    <row r="33" spans="1:15" x14ac:dyDescent="0.25">
      <c r="A33" s="76" t="s">
        <v>91</v>
      </c>
      <c r="B33" s="79">
        <f t="shared" ref="B33:G33" si="5">SUM(B31:B32)</f>
        <v>352412.24879506463</v>
      </c>
      <c r="C33" s="79">
        <f t="shared" si="5"/>
        <v>176591.16400595405</v>
      </c>
      <c r="D33" s="79">
        <f t="shared" si="5"/>
        <v>456041.99999999977</v>
      </c>
      <c r="E33" s="79">
        <f t="shared" si="5"/>
        <v>-5.9999999999436113</v>
      </c>
      <c r="F33" s="79">
        <f t="shared" si="5"/>
        <v>-0.15000000000009095</v>
      </c>
      <c r="G33" s="79">
        <f t="shared" si="5"/>
        <v>985039.26280101854</v>
      </c>
      <c r="H33" s="77"/>
      <c r="I33" s="53">
        <f>SUM(I31:I32)</f>
        <v>829207</v>
      </c>
      <c r="J33" s="53">
        <f>SUM(J31:J32)</f>
        <v>155833</v>
      </c>
      <c r="K33" s="82">
        <f>SUM(K31:K32)</f>
        <v>985040</v>
      </c>
    </row>
    <row r="34" spans="1:15" x14ac:dyDescent="0.25">
      <c r="A34" s="76"/>
      <c r="B34" s="79"/>
      <c r="C34" s="79"/>
      <c r="D34" s="79"/>
      <c r="E34" s="79"/>
      <c r="F34" s="79"/>
      <c r="G34" s="79"/>
      <c r="H34" s="77"/>
      <c r="I34" s="77"/>
      <c r="J34" s="77"/>
      <c r="K34" s="78"/>
      <c r="O34" s="77"/>
    </row>
    <row r="35" spans="1:15" x14ac:dyDescent="0.25">
      <c r="A35" s="76" t="s">
        <v>85</v>
      </c>
      <c r="B35" s="79"/>
      <c r="C35" s="79"/>
      <c r="D35" s="79"/>
      <c r="E35" s="79"/>
      <c r="F35" s="79"/>
      <c r="G35" s="79"/>
      <c r="H35" s="77"/>
      <c r="I35" s="77"/>
      <c r="J35" s="77"/>
      <c r="K35" s="78"/>
      <c r="O35" s="92"/>
    </row>
    <row r="36" spans="1:15" x14ac:dyDescent="0.25">
      <c r="A36" s="76">
        <v>408170</v>
      </c>
      <c r="B36" s="51">
        <f>B24-B11</f>
        <v>407096.86897573806</v>
      </c>
      <c r="C36" s="51">
        <f>C24-C11</f>
        <v>208138.83599404618</v>
      </c>
      <c r="D36" s="51">
        <f>D24-D11</f>
        <v>0</v>
      </c>
      <c r="E36" s="51">
        <f>E24-E11</f>
        <v>0</v>
      </c>
      <c r="F36" s="51">
        <f>F24-F11</f>
        <v>0</v>
      </c>
      <c r="G36" s="51">
        <f>SUM(B36:F36)</f>
        <v>615235.70496978424</v>
      </c>
      <c r="H36" s="77"/>
      <c r="I36" s="52">
        <f>B36</f>
        <v>407096.86897573806</v>
      </c>
      <c r="J36" s="52">
        <f>C36</f>
        <v>208138.83599404618</v>
      </c>
      <c r="K36" s="83">
        <f>SUM(I36:J36)</f>
        <v>615235.70496978424</v>
      </c>
      <c r="O36" s="77"/>
    </row>
    <row r="37" spans="1:15" ht="15.75" thickBot="1" x14ac:dyDescent="0.3">
      <c r="A37" s="76"/>
      <c r="B37" s="79"/>
      <c r="C37" s="79"/>
      <c r="D37" s="79"/>
      <c r="E37" s="79"/>
      <c r="F37" s="79"/>
      <c r="G37" s="79"/>
      <c r="H37" s="77"/>
      <c r="I37" s="77"/>
      <c r="J37" s="77"/>
      <c r="K37" s="78"/>
      <c r="O37" s="77"/>
    </row>
    <row r="38" spans="1:15" ht="16.5" thickTop="1" thickBot="1" x14ac:dyDescent="0.3">
      <c r="A38" s="76"/>
      <c r="B38" s="54">
        <f t="shared" ref="B38:G38" si="6">SUM(B33:B36)</f>
        <v>759509.1177708027</v>
      </c>
      <c r="C38" s="54">
        <f t="shared" si="6"/>
        <v>384730.00000000023</v>
      </c>
      <c r="D38" s="54">
        <f t="shared" si="6"/>
        <v>456041.99999999977</v>
      </c>
      <c r="E38" s="54">
        <f t="shared" si="6"/>
        <v>-5.9999999999436113</v>
      </c>
      <c r="F38" s="54">
        <f t="shared" si="6"/>
        <v>-0.15000000000009095</v>
      </c>
      <c r="G38" s="54">
        <f t="shared" si="6"/>
        <v>1600274.9677708028</v>
      </c>
      <c r="H38" s="84"/>
      <c r="I38" s="85">
        <f>SUM(I33:I36)</f>
        <v>1236303.8689757381</v>
      </c>
      <c r="J38" s="54">
        <f>SUM(J33:J36)</f>
        <v>363971.83599404618</v>
      </c>
      <c r="K38" s="86">
        <f>SUM(K33:K36)</f>
        <v>1600275.7049697842</v>
      </c>
    </row>
    <row r="39" spans="1:15" ht="15.75" thickBot="1" x14ac:dyDescent="0.3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9"/>
    </row>
  </sheetData>
  <mergeCells count="3">
    <mergeCell ref="B1:G1"/>
    <mergeCell ref="I1:K1"/>
    <mergeCell ref="I15:J15"/>
  </mergeCells>
  <pageMargins left="0.7" right="0.7" top="0.75" bottom="0.75" header="0.3" footer="0.3"/>
  <pageSetup scale="87" orientation="landscape" r:id="rId1"/>
  <headerFooter scaleWithDoc="0">
    <oddHeader xml:space="preserve">&amp;CBench Request 10.2  - Attachment A&amp;RPro Forma Property Tax Adjustment 3.06 (electric) 
and 3.04 (natural gas)
 </oddHeader>
    <oddFooter>&amp;RPage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37"/>
  <sheetViews>
    <sheetView tabSelected="1" view="pageLayout" zoomScaleNormal="100" workbookViewId="0">
      <selection activeCell="O20" sqref="O20"/>
    </sheetView>
  </sheetViews>
  <sheetFormatPr defaultRowHeight="15" x14ac:dyDescent="0.25"/>
  <cols>
    <col min="1" max="1" width="17.140625" style="1" customWidth="1"/>
    <col min="2" max="5" width="13.28515625" style="2" bestFit="1" customWidth="1"/>
    <col min="6" max="6" width="9.5703125" style="2" bestFit="1" customWidth="1"/>
    <col min="7" max="7" width="11.5703125" style="2" bestFit="1" customWidth="1"/>
    <col min="8" max="8" width="3.140625" style="2" customWidth="1"/>
    <col min="9" max="9" width="15.5703125" style="2" customWidth="1"/>
    <col min="10" max="11" width="11.28515625" style="2" bestFit="1" customWidth="1"/>
    <col min="12" max="12" width="11.5703125" style="2" bestFit="1" customWidth="1"/>
    <col min="13" max="16384" width="9.140625" style="2"/>
  </cols>
  <sheetData>
    <row r="1" spans="1:12" ht="15.75" thickBot="1" x14ac:dyDescent="0.3"/>
    <row r="2" spans="1:12" ht="15.75" thickBot="1" x14ac:dyDescent="0.3">
      <c r="B2" s="322" t="s">
        <v>75</v>
      </c>
      <c r="C2" s="323"/>
      <c r="D2" s="323"/>
      <c r="E2" s="323"/>
      <c r="F2" s="323"/>
      <c r="G2" s="324"/>
      <c r="I2" s="322" t="s">
        <v>76</v>
      </c>
      <c r="J2" s="323"/>
      <c r="K2" s="323"/>
      <c r="L2" s="324"/>
    </row>
    <row r="3" spans="1:12" x14ac:dyDescent="0.25">
      <c r="A3" s="96" t="s">
        <v>94</v>
      </c>
      <c r="B3" s="94"/>
      <c r="C3" s="94"/>
      <c r="D3" s="93"/>
      <c r="E3" s="3"/>
      <c r="F3" s="3"/>
      <c r="G3" s="3"/>
      <c r="I3" s="4"/>
      <c r="J3" s="4"/>
      <c r="K3" s="4"/>
    </row>
    <row r="4" spans="1:12" s="5" customFormat="1" x14ac:dyDescent="0.25">
      <c r="B4" s="5" t="s">
        <v>77</v>
      </c>
      <c r="C4" s="5" t="s">
        <v>78</v>
      </c>
      <c r="D4" s="5" t="s">
        <v>79</v>
      </c>
      <c r="E4" s="5" t="s">
        <v>80</v>
      </c>
      <c r="F4" s="5" t="s">
        <v>81</v>
      </c>
      <c r="G4" s="5" t="s">
        <v>82</v>
      </c>
      <c r="I4" s="5" t="s">
        <v>77</v>
      </c>
      <c r="J4" s="5" t="s">
        <v>78</v>
      </c>
      <c r="K4" s="5" t="s">
        <v>80</v>
      </c>
      <c r="L4" s="5" t="s">
        <v>82</v>
      </c>
    </row>
    <row r="5" spans="1:12" s="5" customFormat="1" x14ac:dyDescent="0.25">
      <c r="A5" s="5" t="s">
        <v>92</v>
      </c>
    </row>
    <row r="6" spans="1:12" x14ac:dyDescent="0.25">
      <c r="A6" s="6" t="s">
        <v>84</v>
      </c>
    </row>
    <row r="7" spans="1:12" x14ac:dyDescent="0.25">
      <c r="A7" s="1">
        <v>408190</v>
      </c>
      <c r="B7" s="7">
        <v>316755</v>
      </c>
      <c r="C7" s="7"/>
      <c r="D7" s="7"/>
      <c r="E7" s="7"/>
      <c r="F7" s="7"/>
      <c r="G7" s="8">
        <f>SUM(B7:F7)</f>
        <v>316755</v>
      </c>
      <c r="H7" s="9"/>
      <c r="I7" s="8">
        <f>ROUND($G$7*I15,0)</f>
        <v>201773</v>
      </c>
      <c r="J7" s="8">
        <f>ROUND($G$7*J15,0)</f>
        <v>54482</v>
      </c>
      <c r="K7" s="8">
        <f>ROUND($G$7*K15,0)</f>
        <v>60500</v>
      </c>
      <c r="L7" s="8">
        <f>SUM(I7:K7)</f>
        <v>316755</v>
      </c>
    </row>
    <row r="8" spans="1:12" x14ac:dyDescent="0.25">
      <c r="B8" s="7"/>
      <c r="C8" s="7"/>
      <c r="D8" s="7"/>
      <c r="E8" s="7"/>
      <c r="F8" s="7"/>
    </row>
    <row r="9" spans="1:12" x14ac:dyDescent="0.25">
      <c r="A9" s="6" t="s">
        <v>85</v>
      </c>
      <c r="B9" s="7"/>
      <c r="C9" s="7"/>
      <c r="D9" s="7"/>
      <c r="E9" s="7"/>
      <c r="F9" s="7"/>
    </row>
    <row r="10" spans="1:12" x14ac:dyDescent="0.25">
      <c r="A10" s="1">
        <v>408170</v>
      </c>
      <c r="B10" s="10">
        <v>2461960</v>
      </c>
      <c r="C10" s="10">
        <v>1396809</v>
      </c>
      <c r="D10" s="10"/>
      <c r="E10" s="10">
        <v>2727873</v>
      </c>
      <c r="F10" s="10"/>
      <c r="G10" s="11">
        <f>SUM(B10:F10)</f>
        <v>6586642</v>
      </c>
      <c r="I10" s="11">
        <f>B10</f>
        <v>2461960</v>
      </c>
      <c r="J10" s="11">
        <f>C10</f>
        <v>1396809</v>
      </c>
      <c r="K10" s="11">
        <f>E10</f>
        <v>2727873</v>
      </c>
      <c r="L10" s="11">
        <f>SUM(I10:K10)</f>
        <v>6586642</v>
      </c>
    </row>
    <row r="11" spans="1:12" x14ac:dyDescent="0.25">
      <c r="B11" s="7"/>
      <c r="C11" s="7"/>
      <c r="D11" s="7"/>
      <c r="E11" s="7"/>
      <c r="F11" s="7"/>
    </row>
    <row r="12" spans="1:12" ht="15.75" thickBot="1" x14ac:dyDescent="0.3">
      <c r="A12" s="6" t="s">
        <v>83</v>
      </c>
      <c r="B12" s="12">
        <f>SUM(B7:B10)</f>
        <v>2778715</v>
      </c>
      <c r="C12" s="12">
        <f t="shared" ref="C12:L12" si="0">SUM(C7:C10)</f>
        <v>1396809</v>
      </c>
      <c r="D12" s="12">
        <f t="shared" si="0"/>
        <v>0</v>
      </c>
      <c r="E12" s="12">
        <f t="shared" si="0"/>
        <v>2727873</v>
      </c>
      <c r="F12" s="12">
        <f t="shared" si="0"/>
        <v>0</v>
      </c>
      <c r="G12" s="12">
        <f t="shared" si="0"/>
        <v>6903397</v>
      </c>
      <c r="H12" s="12"/>
      <c r="I12" s="12">
        <f t="shared" si="0"/>
        <v>2663733</v>
      </c>
      <c r="J12" s="12">
        <f t="shared" si="0"/>
        <v>1451291</v>
      </c>
      <c r="K12" s="12">
        <f t="shared" si="0"/>
        <v>2788373</v>
      </c>
      <c r="L12" s="12">
        <f t="shared" si="0"/>
        <v>6903397</v>
      </c>
    </row>
    <row r="13" spans="1:12" x14ac:dyDescent="0.25">
      <c r="I13" s="13" t="s">
        <v>86</v>
      </c>
      <c r="K13" s="101" t="s">
        <v>101</v>
      </c>
    </row>
    <row r="14" spans="1:12" x14ac:dyDescent="0.25">
      <c r="H14" s="9"/>
      <c r="I14" s="5" t="s">
        <v>77</v>
      </c>
      <c r="J14" s="5" t="s">
        <v>78</v>
      </c>
      <c r="K14" s="5" t="s">
        <v>80</v>
      </c>
    </row>
    <row r="15" spans="1:12" x14ac:dyDescent="0.25">
      <c r="I15" s="91">
        <v>0.63700000000000001</v>
      </c>
      <c r="J15" s="91">
        <v>0.17199999999999999</v>
      </c>
      <c r="K15" s="91">
        <v>0.191</v>
      </c>
    </row>
    <row r="17" spans="1:13" ht="15.75" thickBot="1" x14ac:dyDescent="0.3">
      <c r="A17" s="96" t="s">
        <v>95</v>
      </c>
      <c r="B17" s="95"/>
      <c r="C17" s="95"/>
      <c r="D17" s="95"/>
      <c r="I17" s="325" t="s">
        <v>96</v>
      </c>
      <c r="J17" s="325"/>
      <c r="K17" s="102" t="s">
        <v>99</v>
      </c>
      <c r="L17" s="103"/>
      <c r="M17" s="103"/>
    </row>
    <row r="18" spans="1:13" ht="15.75" thickBot="1" x14ac:dyDescent="0.3">
      <c r="A18" s="14" t="s">
        <v>93</v>
      </c>
      <c r="B18" s="15">
        <v>3019433.0000000005</v>
      </c>
      <c r="C18" s="15">
        <v>1515366</v>
      </c>
      <c r="D18" s="15">
        <v>0</v>
      </c>
      <c r="E18" s="15">
        <v>2651000</v>
      </c>
      <c r="F18" s="15">
        <v>0</v>
      </c>
      <c r="G18" s="15">
        <f>SUM(B18:F18)</f>
        <v>7185799</v>
      </c>
      <c r="H18" s="16"/>
      <c r="I18" s="99" t="s">
        <v>77</v>
      </c>
      <c r="J18" s="99" t="s">
        <v>78</v>
      </c>
      <c r="K18" s="99" t="s">
        <v>80</v>
      </c>
      <c r="L18" s="17"/>
    </row>
    <row r="19" spans="1:13" x14ac:dyDescent="0.25">
      <c r="A19" s="18"/>
      <c r="B19" s="19"/>
      <c r="C19" s="19"/>
      <c r="D19" s="19"/>
      <c r="E19" s="19"/>
      <c r="F19" s="19"/>
      <c r="G19" s="19"/>
      <c r="H19" s="19"/>
      <c r="I19" s="100">
        <f>70.66%*0.9035</f>
        <v>0.63841309999999996</v>
      </c>
      <c r="J19" s="100">
        <f>29.34%*0.9035</f>
        <v>0.26508689999999996</v>
      </c>
      <c r="K19" s="100">
        <f>0.0965</f>
        <v>9.6500000000000002E-2</v>
      </c>
      <c r="L19" s="20"/>
    </row>
    <row r="20" spans="1:13" x14ac:dyDescent="0.25">
      <c r="A20" s="18" t="s">
        <v>87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0"/>
    </row>
    <row r="21" spans="1:13" x14ac:dyDescent="0.25">
      <c r="A21" s="18">
        <v>408190</v>
      </c>
      <c r="B21" s="104">
        <f>(B7/$B$12)*B18</f>
        <v>344195.24849255866</v>
      </c>
      <c r="C21" s="21"/>
      <c r="D21" s="21"/>
      <c r="E21" s="21"/>
      <c r="F21" s="21"/>
      <c r="G21" s="21">
        <f>SUM(B21:F21)</f>
        <v>344195.24849255866</v>
      </c>
      <c r="H21" s="19"/>
      <c r="I21" s="22">
        <f>ROUND($G$21*I19,0)</f>
        <v>219739</v>
      </c>
      <c r="J21" s="22">
        <f>ROUND($G$21*J19,0)</f>
        <v>91242</v>
      </c>
      <c r="K21" s="22">
        <f>ROUND($G$21*K19,0)</f>
        <v>33215</v>
      </c>
      <c r="L21" s="23">
        <f>SUM(I21:K21)</f>
        <v>344196</v>
      </c>
    </row>
    <row r="22" spans="1:13" x14ac:dyDescent="0.25">
      <c r="A22" s="18"/>
      <c r="B22" s="21"/>
      <c r="C22" s="21"/>
      <c r="D22" s="21"/>
      <c r="E22" s="21"/>
      <c r="F22" s="21"/>
      <c r="G22" s="21"/>
      <c r="H22" s="19"/>
      <c r="I22" s="19"/>
      <c r="J22" s="19"/>
      <c r="K22" s="19"/>
      <c r="L22" s="20"/>
    </row>
    <row r="23" spans="1:13" x14ac:dyDescent="0.25">
      <c r="A23" s="18" t="s">
        <v>85</v>
      </c>
      <c r="B23" s="21"/>
      <c r="C23" s="21"/>
      <c r="D23" s="21"/>
      <c r="E23" s="21"/>
      <c r="F23" s="21"/>
      <c r="G23" s="21"/>
      <c r="H23" s="19"/>
      <c r="I23" s="19"/>
      <c r="J23" s="19"/>
      <c r="K23" s="19"/>
      <c r="L23" s="20"/>
    </row>
    <row r="24" spans="1:13" x14ac:dyDescent="0.25">
      <c r="A24" s="18">
        <v>408170</v>
      </c>
      <c r="B24" s="24">
        <f>(B10/$B$12)*B18</f>
        <v>2675237.7515074415</v>
      </c>
      <c r="C24" s="24">
        <f>(C10/$C$12)*C18</f>
        <v>1515366</v>
      </c>
      <c r="D24" s="24">
        <f>(D10/$C$12)*D18</f>
        <v>0</v>
      </c>
      <c r="E24" s="24">
        <f>(E10/E12)*E18</f>
        <v>2651000</v>
      </c>
      <c r="F24" s="24"/>
      <c r="G24" s="24">
        <f>SUM(B24:F24)</f>
        <v>6841603.7515074415</v>
      </c>
      <c r="H24" s="19"/>
      <c r="I24" s="25">
        <f>B24</f>
        <v>2675237.7515074415</v>
      </c>
      <c r="J24" s="25">
        <f>C24</f>
        <v>1515366</v>
      </c>
      <c r="K24" s="25">
        <f>E24</f>
        <v>2651000</v>
      </c>
      <c r="L24" s="26">
        <f>SUM(I24:K24)</f>
        <v>6841603.7515074415</v>
      </c>
    </row>
    <row r="25" spans="1:13" x14ac:dyDescent="0.25">
      <c r="A25" s="18"/>
      <c r="B25" s="21"/>
      <c r="C25" s="21"/>
      <c r="D25" s="21"/>
      <c r="E25" s="21"/>
      <c r="F25" s="21"/>
      <c r="G25" s="21"/>
      <c r="H25" s="19"/>
      <c r="I25" s="19"/>
      <c r="J25" s="19"/>
      <c r="K25" s="19"/>
      <c r="L25" s="20"/>
    </row>
    <row r="26" spans="1:13" ht="15.75" thickBot="1" x14ac:dyDescent="0.3">
      <c r="A26" s="27"/>
      <c r="B26" s="28">
        <f>SUM(B21:B24)</f>
        <v>3019433</v>
      </c>
      <c r="C26" s="28">
        <f t="shared" ref="C26:L26" si="1">SUM(C21:C24)</f>
        <v>1515366</v>
      </c>
      <c r="D26" s="28">
        <f t="shared" si="1"/>
        <v>0</v>
      </c>
      <c r="E26" s="28">
        <f t="shared" si="1"/>
        <v>2651000</v>
      </c>
      <c r="F26" s="28">
        <f t="shared" si="1"/>
        <v>0</v>
      </c>
      <c r="G26" s="28">
        <f t="shared" si="1"/>
        <v>7185799</v>
      </c>
      <c r="H26" s="28"/>
      <c r="I26" s="28">
        <f t="shared" si="1"/>
        <v>2894976.7515074415</v>
      </c>
      <c r="J26" s="28">
        <f t="shared" si="1"/>
        <v>1606608</v>
      </c>
      <c r="K26" s="28">
        <f t="shared" si="1"/>
        <v>2684215</v>
      </c>
      <c r="L26" s="29">
        <f t="shared" si="1"/>
        <v>7185799.7515074415</v>
      </c>
    </row>
    <row r="27" spans="1:13" ht="15.75" thickBot="1" x14ac:dyDescent="0.3">
      <c r="A27" s="27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1"/>
    </row>
    <row r="28" spans="1:13" ht="15.75" thickBot="1" x14ac:dyDescent="0.3"/>
    <row r="29" spans="1:13" x14ac:dyDescent="0.25">
      <c r="A29" s="32" t="s">
        <v>74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3" x14ac:dyDescent="0.25">
      <c r="A30" s="35" t="s">
        <v>87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7"/>
    </row>
    <row r="31" spans="1:13" x14ac:dyDescent="0.25">
      <c r="A31" s="35">
        <v>408190</v>
      </c>
      <c r="B31" s="38">
        <f>B21-B7</f>
        <v>27440.248492558661</v>
      </c>
      <c r="C31" s="38">
        <f>C21-C7</f>
        <v>0</v>
      </c>
      <c r="D31" s="38">
        <f>D21-D7</f>
        <v>0</v>
      </c>
      <c r="E31" s="38">
        <f>E21-E7</f>
        <v>0</v>
      </c>
      <c r="F31" s="38">
        <f>F21-F7</f>
        <v>0</v>
      </c>
      <c r="G31" s="38">
        <f>SUM(B31:F31)</f>
        <v>27440.248492558661</v>
      </c>
      <c r="H31" s="36"/>
      <c r="I31" s="38">
        <f>I21-I7</f>
        <v>17966</v>
      </c>
      <c r="J31" s="38">
        <f>J21-J7</f>
        <v>36760</v>
      </c>
      <c r="K31" s="38">
        <f>K21-K7</f>
        <v>-27285</v>
      </c>
      <c r="L31" s="39">
        <f>SUM(I31:K31)</f>
        <v>27441</v>
      </c>
    </row>
    <row r="32" spans="1:13" x14ac:dyDescent="0.25">
      <c r="A32" s="35"/>
      <c r="B32" s="38"/>
      <c r="C32" s="38"/>
      <c r="D32" s="38"/>
      <c r="E32" s="38"/>
      <c r="F32" s="38"/>
      <c r="G32" s="38"/>
      <c r="H32" s="36"/>
      <c r="I32" s="36"/>
      <c r="J32" s="36"/>
      <c r="K32" s="36"/>
      <c r="L32" s="37"/>
    </row>
    <row r="33" spans="1:12" x14ac:dyDescent="0.25">
      <c r="A33" s="35" t="s">
        <v>85</v>
      </c>
      <c r="B33" s="38"/>
      <c r="C33" s="38"/>
      <c r="D33" s="38"/>
      <c r="E33" s="38"/>
      <c r="F33" s="38"/>
      <c r="G33" s="38"/>
      <c r="H33" s="36"/>
      <c r="I33" s="36"/>
      <c r="J33" s="36"/>
      <c r="K33" s="36"/>
      <c r="L33" s="37"/>
    </row>
    <row r="34" spans="1:12" x14ac:dyDescent="0.25">
      <c r="A34" s="35">
        <v>408170</v>
      </c>
      <c r="B34" s="10">
        <f>B24-B10</f>
        <v>213277.75150744151</v>
      </c>
      <c r="C34" s="10">
        <f>C24-C10</f>
        <v>118557</v>
      </c>
      <c r="D34" s="10">
        <f>D24-D10</f>
        <v>0</v>
      </c>
      <c r="E34" s="10">
        <f>E24-E10</f>
        <v>-76873</v>
      </c>
      <c r="F34" s="10">
        <f>F24-F10</f>
        <v>0</v>
      </c>
      <c r="G34" s="10">
        <f>SUM(B34:F34)</f>
        <v>254961.75150744151</v>
      </c>
      <c r="H34" s="36"/>
      <c r="I34" s="11">
        <f>I24-I10</f>
        <v>213277.75150744151</v>
      </c>
      <c r="J34" s="11">
        <f>J24-J10</f>
        <v>118557</v>
      </c>
      <c r="K34" s="11">
        <f>K24-K10</f>
        <v>-76873</v>
      </c>
      <c r="L34" s="40">
        <f>SUM(I34:K34)</f>
        <v>254961.75150744151</v>
      </c>
    </row>
    <row r="35" spans="1:12" ht="15.75" thickBot="1" x14ac:dyDescent="0.3">
      <c r="A35" s="35"/>
      <c r="B35" s="38"/>
      <c r="C35" s="38"/>
      <c r="D35" s="38"/>
      <c r="E35" s="38"/>
      <c r="F35" s="38"/>
      <c r="G35" s="38"/>
      <c r="H35" s="36"/>
      <c r="I35" s="36"/>
      <c r="J35" s="36"/>
      <c r="K35" s="36"/>
      <c r="L35" s="37"/>
    </row>
    <row r="36" spans="1:12" ht="16.5" thickTop="1" thickBot="1" x14ac:dyDescent="0.3">
      <c r="A36" s="35"/>
      <c r="B36" s="12">
        <f>SUM(B31:B34)</f>
        <v>240718.00000000017</v>
      </c>
      <c r="C36" s="12">
        <f t="shared" ref="C36:K36" si="2">SUM(C31:C34)</f>
        <v>118557</v>
      </c>
      <c r="D36" s="12">
        <f t="shared" si="2"/>
        <v>0</v>
      </c>
      <c r="E36" s="12">
        <f t="shared" si="2"/>
        <v>-76873</v>
      </c>
      <c r="F36" s="12">
        <f t="shared" si="2"/>
        <v>0</v>
      </c>
      <c r="G36" s="12">
        <f t="shared" si="2"/>
        <v>282402.00000000017</v>
      </c>
      <c r="H36" s="12"/>
      <c r="I36" s="85">
        <f t="shared" si="2"/>
        <v>231243.75150744151</v>
      </c>
      <c r="J36" s="12">
        <f t="shared" si="2"/>
        <v>155317</v>
      </c>
      <c r="K36" s="12">
        <f t="shared" si="2"/>
        <v>-104158</v>
      </c>
      <c r="L36" s="41">
        <f>SUM(L31:L34)</f>
        <v>282402.75150744151</v>
      </c>
    </row>
    <row r="37" spans="1:12" ht="15.75" thickBot="1" x14ac:dyDescent="0.3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4"/>
    </row>
  </sheetData>
  <mergeCells count="3">
    <mergeCell ref="B2:G2"/>
    <mergeCell ref="I2:L2"/>
    <mergeCell ref="I17:J17"/>
  </mergeCells>
  <pageMargins left="0.7" right="0.7" top="0.75" bottom="0.75" header="0.3" footer="0.3"/>
  <pageSetup scale="81" orientation="landscape" r:id="rId1"/>
  <headerFooter scaleWithDoc="0">
    <oddHeader xml:space="preserve">&amp;CBench Request 10.2  - Attachment A&amp;RPro Forma Property Tax Adjustment 3.06 (electric) 
and 3.04 (natural gas)
 </oddHeader>
    <oddFooter>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0"/>
  <sheetViews>
    <sheetView tabSelected="1" view="pageBreakPreview" topLeftCell="A43" zoomScale="115" zoomScaleNormal="100" zoomScaleSheetLayoutView="115" workbookViewId="0">
      <selection activeCell="O20" sqref="O20"/>
    </sheetView>
  </sheetViews>
  <sheetFormatPr defaultColWidth="19.7109375" defaultRowHeight="15" x14ac:dyDescent="0.25"/>
  <cols>
    <col min="1" max="1" width="23.85546875" style="111" customWidth="1"/>
    <col min="2" max="8" width="15.85546875" style="111" hidden="1" customWidth="1"/>
    <col min="9" max="11" width="15.85546875" style="111" customWidth="1"/>
    <col min="12" max="12" width="4.140625" style="111" customWidth="1"/>
    <col min="13" max="13" width="15.85546875" style="111" customWidth="1"/>
    <col min="14" max="14" width="0.140625" style="115" customWidth="1"/>
    <col min="15" max="15" width="15.85546875" style="111" hidden="1" customWidth="1"/>
    <col min="16" max="16" width="19.7109375" style="111" hidden="1" customWidth="1"/>
    <col min="17" max="16384" width="19.7109375" style="111"/>
  </cols>
  <sheetData>
    <row r="2" spans="1:19" s="105" customFormat="1" x14ac:dyDescent="0.25">
      <c r="B2" s="106">
        <v>2006</v>
      </c>
      <c r="C2" s="107" t="s">
        <v>102</v>
      </c>
      <c r="D2" s="107" t="s">
        <v>102</v>
      </c>
      <c r="E2" s="107" t="s">
        <v>102</v>
      </c>
      <c r="F2" s="107" t="s">
        <v>102</v>
      </c>
      <c r="G2" s="107" t="s">
        <v>102</v>
      </c>
      <c r="H2" s="107" t="s">
        <v>102</v>
      </c>
      <c r="I2" s="107" t="s">
        <v>102</v>
      </c>
      <c r="J2" s="107" t="s">
        <v>102</v>
      </c>
      <c r="K2" s="107" t="s">
        <v>102</v>
      </c>
      <c r="M2" s="107" t="s">
        <v>102</v>
      </c>
      <c r="N2" s="108"/>
      <c r="O2" s="107" t="s">
        <v>102</v>
      </c>
    </row>
    <row r="3" spans="1:19" s="105" customFormat="1" x14ac:dyDescent="0.25">
      <c r="A3" s="105" t="s">
        <v>103</v>
      </c>
      <c r="B3" s="106">
        <v>2007</v>
      </c>
      <c r="C3" s="106">
        <v>2007</v>
      </c>
      <c r="D3" s="106">
        <v>2008</v>
      </c>
      <c r="E3" s="106">
        <v>2009</v>
      </c>
      <c r="F3" s="105">
        <v>2010</v>
      </c>
      <c r="G3" s="105">
        <v>2011</v>
      </c>
      <c r="H3" s="105">
        <v>2012</v>
      </c>
      <c r="I3" s="105">
        <v>2013</v>
      </c>
      <c r="J3" s="105">
        <f>I4</f>
        <v>2014</v>
      </c>
      <c r="K3" s="105">
        <v>2015</v>
      </c>
      <c r="M3" s="105">
        <v>2016</v>
      </c>
      <c r="N3" s="109"/>
      <c r="O3" s="105">
        <v>2017</v>
      </c>
    </row>
    <row r="4" spans="1:19" s="105" customFormat="1" x14ac:dyDescent="0.25">
      <c r="A4" s="105" t="s">
        <v>104</v>
      </c>
      <c r="B4" s="106"/>
      <c r="C4" s="106">
        <v>2008</v>
      </c>
      <c r="D4" s="106">
        <v>2009</v>
      </c>
      <c r="E4" s="106">
        <v>2010</v>
      </c>
      <c r="F4" s="105">
        <v>2011</v>
      </c>
      <c r="G4" s="105">
        <v>2012</v>
      </c>
      <c r="H4" s="105">
        <v>2013</v>
      </c>
      <c r="I4" s="105">
        <v>2014</v>
      </c>
      <c r="J4" s="105">
        <v>2015</v>
      </c>
      <c r="K4" s="105">
        <v>2016</v>
      </c>
      <c r="M4" s="105">
        <v>2017</v>
      </c>
      <c r="N4" s="109"/>
      <c r="O4" s="105">
        <v>2018</v>
      </c>
    </row>
    <row r="6" spans="1:19" x14ac:dyDescent="0.25">
      <c r="A6" s="110" t="s">
        <v>105</v>
      </c>
      <c r="J6" s="459" t="s">
        <v>267</v>
      </c>
      <c r="K6" s="112" t="s">
        <v>268</v>
      </c>
      <c r="L6" s="459"/>
      <c r="M6" s="112" t="s">
        <v>269</v>
      </c>
      <c r="N6" s="113"/>
      <c r="O6" s="112"/>
    </row>
    <row r="7" spans="1:19" x14ac:dyDescent="0.25">
      <c r="K7" s="114"/>
      <c r="L7" s="115"/>
      <c r="M7" s="114"/>
      <c r="N7" s="114"/>
      <c r="O7" s="114"/>
    </row>
    <row r="8" spans="1:19" x14ac:dyDescent="0.25">
      <c r="A8" s="105" t="s">
        <v>77</v>
      </c>
      <c r="E8" s="116"/>
      <c r="F8" s="116"/>
      <c r="G8" s="116"/>
      <c r="H8" s="116"/>
      <c r="I8" s="116"/>
      <c r="J8" s="116"/>
      <c r="K8" s="116"/>
      <c r="M8" s="116"/>
      <c r="N8" s="117"/>
      <c r="O8" s="116"/>
    </row>
    <row r="9" spans="1:19" x14ac:dyDescent="0.25">
      <c r="A9" s="111" t="s">
        <v>106</v>
      </c>
      <c r="B9" s="118">
        <v>545355</v>
      </c>
      <c r="C9" s="118">
        <f t="shared" ref="C9:F9" si="0">B11</f>
        <v>531430</v>
      </c>
      <c r="D9" s="118">
        <f t="shared" si="0"/>
        <v>472846</v>
      </c>
      <c r="E9" s="118">
        <f t="shared" si="0"/>
        <v>426215</v>
      </c>
      <c r="F9" s="118">
        <f t="shared" si="0"/>
        <v>553300</v>
      </c>
      <c r="G9" s="118">
        <f>F11</f>
        <v>645493</v>
      </c>
      <c r="H9" s="118">
        <v>681557</v>
      </c>
      <c r="I9" s="118"/>
      <c r="J9" s="118">
        <f>I11</f>
        <v>898630</v>
      </c>
      <c r="K9" s="116">
        <f>J11</f>
        <v>1070854.5930000001</v>
      </c>
      <c r="M9" s="116">
        <f>K11</f>
        <v>1133419.5520207477</v>
      </c>
      <c r="N9" s="117"/>
      <c r="O9" s="116">
        <f>M11</f>
        <v>1217240.2368527895</v>
      </c>
    </row>
    <row r="10" spans="1:19" x14ac:dyDescent="0.25">
      <c r="A10" s="111" t="s">
        <v>107</v>
      </c>
      <c r="B10" s="119">
        <v>-13925</v>
      </c>
      <c r="C10" s="119">
        <f t="shared" ref="C10:F10" si="1">C11-B11</f>
        <v>-58584</v>
      </c>
      <c r="D10" s="119">
        <f t="shared" si="1"/>
        <v>-46631</v>
      </c>
      <c r="E10" s="119">
        <f t="shared" si="1"/>
        <v>127085</v>
      </c>
      <c r="F10" s="119">
        <f t="shared" si="1"/>
        <v>92193</v>
      </c>
      <c r="G10" s="119">
        <f>G11-F11</f>
        <v>36064</v>
      </c>
      <c r="H10" s="119">
        <v>83951.786505036871</v>
      </c>
      <c r="I10" s="119">
        <v>133121.21349496313</v>
      </c>
      <c r="J10" s="119">
        <f>J11-I11</f>
        <v>172224.59300000011</v>
      </c>
      <c r="K10" s="120">
        <f>K11-K9</f>
        <v>62564.95902074757</v>
      </c>
      <c r="M10" s="120">
        <f>M11-M9</f>
        <v>83820.68483204185</v>
      </c>
      <c r="N10" s="117"/>
      <c r="O10" s="120">
        <f>O11-O9</f>
        <v>77001.213180178078</v>
      </c>
    </row>
    <row r="11" spans="1:19" x14ac:dyDescent="0.25">
      <c r="A11" s="111" t="s">
        <v>108</v>
      </c>
      <c r="B11" s="121">
        <v>531430</v>
      </c>
      <c r="C11" s="118">
        <v>472846</v>
      </c>
      <c r="D11" s="118">
        <v>426215</v>
      </c>
      <c r="E11" s="118">
        <v>553300</v>
      </c>
      <c r="F11" s="118">
        <v>645493</v>
      </c>
      <c r="G11" s="118">
        <v>681557</v>
      </c>
      <c r="H11" s="118">
        <v>765508.78650503687</v>
      </c>
      <c r="I11" s="118">
        <v>898630</v>
      </c>
      <c r="J11" s="118">
        <f>'2015 +5y - #4  March 29, 2016'!X27</f>
        <v>1070854.5930000001</v>
      </c>
      <c r="K11" s="122">
        <f>'2015 +5y - #4  March 29, 2016'!Z27</f>
        <v>1133419.5520207477</v>
      </c>
      <c r="M11" s="122">
        <f>'2015 +5y - #4  March 29, 2016'!AA27</f>
        <v>1217240.2368527895</v>
      </c>
      <c r="N11" s="123"/>
      <c r="O11" s="122">
        <f>'2015 +5y - #4  March 29, 2016'!AB27</f>
        <v>1294241.4500329676</v>
      </c>
    </row>
    <row r="12" spans="1:19" x14ac:dyDescent="0.25">
      <c r="A12" s="111" t="s">
        <v>109</v>
      </c>
      <c r="B12" s="124">
        <v>1.1147000000000001E-2</v>
      </c>
      <c r="C12" s="125">
        <v>1.0995E-2</v>
      </c>
      <c r="D12" s="125">
        <v>1.1440000000000001E-2</v>
      </c>
      <c r="E12" s="125">
        <v>1.2009000000000001E-2</v>
      </c>
      <c r="F12" s="125">
        <v>1.2201999999999999E-2</v>
      </c>
      <c r="G12" s="125">
        <v>1.2663000000000001E-2</v>
      </c>
      <c r="H12" s="126">
        <v>1.2412278118165638E-2</v>
      </c>
      <c r="I12" s="126">
        <v>1.2560162692097972E-2</v>
      </c>
      <c r="J12" s="126">
        <f>'2015 +5y - #4  March 29, 2016'!X28</f>
        <v>1.2139617903450981E-2</v>
      </c>
      <c r="K12" s="127">
        <f>'2015 +5y - #4  March 29, 2016'!Z28</f>
        <v>1.2139617903450981E-2</v>
      </c>
      <c r="M12" s="128">
        <f>'2015 +5y - #4  March 29, 2016'!AA28</f>
        <v>1.2139617903450981E-2</v>
      </c>
      <c r="N12" s="127"/>
      <c r="O12" s="128">
        <f>'2015 +5y - #4  March 29, 2016'!AB28</f>
        <v>1.2286988226292768E-2</v>
      </c>
    </row>
    <row r="13" spans="1:19" x14ac:dyDescent="0.25">
      <c r="A13" s="111" t="s">
        <v>110</v>
      </c>
      <c r="B13" s="129">
        <f t="shared" ref="B13:G13" si="2">B11*B12</f>
        <v>5923.8502100000005</v>
      </c>
      <c r="C13" s="129">
        <f t="shared" si="2"/>
        <v>5198.9417699999995</v>
      </c>
      <c r="D13" s="129">
        <f t="shared" si="2"/>
        <v>4875.8996000000006</v>
      </c>
      <c r="E13" s="129">
        <f t="shared" si="2"/>
        <v>6644.5797000000002</v>
      </c>
      <c r="F13" s="129">
        <f t="shared" si="2"/>
        <v>7876.3055859999995</v>
      </c>
      <c r="G13" s="129">
        <f t="shared" si="2"/>
        <v>8630.5562910000008</v>
      </c>
      <c r="H13" s="129">
        <v>9501.7079599999997</v>
      </c>
      <c r="I13" s="129">
        <v>11286.939</v>
      </c>
      <c r="J13" s="129">
        <f t="shared" ref="J13" si="3">J11*J12</f>
        <v>12999.765589175515</v>
      </c>
      <c r="K13" s="130">
        <f>K11*K12</f>
        <v>13759.280285832459</v>
      </c>
      <c r="M13" s="131">
        <f>M11*M12</f>
        <v>14776.831372099035</v>
      </c>
      <c r="N13" s="132"/>
      <c r="O13" s="131">
        <f>O11*O12</f>
        <v>15902.329458535152</v>
      </c>
      <c r="P13" s="133"/>
      <c r="Q13" s="133">
        <f>M13*1000</f>
        <v>14776831.372099036</v>
      </c>
      <c r="R13" s="133">
        <f>N13*1000</f>
        <v>0</v>
      </c>
      <c r="S13" s="133">
        <f>O13*1000</f>
        <v>15902329.458535152</v>
      </c>
    </row>
    <row r="14" spans="1:19" x14ac:dyDescent="0.25">
      <c r="B14" s="134"/>
      <c r="K14" s="129"/>
      <c r="M14" s="129"/>
      <c r="N14" s="132"/>
      <c r="O14" s="129"/>
    </row>
    <row r="15" spans="1:19" x14ac:dyDescent="0.25">
      <c r="B15" s="134"/>
      <c r="C15" s="134"/>
      <c r="D15" s="134"/>
      <c r="E15" s="134"/>
      <c r="F15" s="134"/>
      <c r="G15" s="134"/>
      <c r="H15" s="134"/>
      <c r="I15" s="134"/>
      <c r="J15" s="134"/>
    </row>
    <row r="16" spans="1:19" x14ac:dyDescent="0.25">
      <c r="A16" s="105" t="s">
        <v>78</v>
      </c>
      <c r="E16" s="116"/>
      <c r="F16" s="116"/>
      <c r="G16" s="116"/>
      <c r="H16" s="116"/>
      <c r="I16" s="116"/>
      <c r="J16" s="116"/>
      <c r="K16" s="116"/>
      <c r="M16" s="116"/>
      <c r="N16" s="117"/>
      <c r="O16" s="116"/>
    </row>
    <row r="17" spans="1:19" x14ac:dyDescent="0.25">
      <c r="A17" s="111" t="s">
        <v>106</v>
      </c>
      <c r="B17" s="118">
        <v>345887</v>
      </c>
      <c r="C17" s="118">
        <f t="shared" ref="C17:F17" si="4">B19</f>
        <v>353389</v>
      </c>
      <c r="D17" s="118">
        <f t="shared" si="4"/>
        <v>368713</v>
      </c>
      <c r="E17" s="118">
        <f t="shared" si="4"/>
        <v>369567</v>
      </c>
      <c r="F17" s="118">
        <f t="shared" si="4"/>
        <v>394924.71850800002</v>
      </c>
      <c r="G17" s="118">
        <f>F19</f>
        <v>406506</v>
      </c>
      <c r="H17" s="118">
        <v>426852.43202319462</v>
      </c>
      <c r="I17" s="118">
        <v>468663.26434402453</v>
      </c>
      <c r="J17" s="118">
        <f>I19</f>
        <v>469394.93499999994</v>
      </c>
      <c r="K17" s="116">
        <f>J19</f>
        <v>504910.23699999996</v>
      </c>
      <c r="M17" s="116">
        <f>K19</f>
        <v>538884.20979161223</v>
      </c>
      <c r="N17" s="117"/>
      <c r="O17" s="116">
        <f>M19</f>
        <v>584332.25341153797</v>
      </c>
    </row>
    <row r="18" spans="1:19" x14ac:dyDescent="0.25">
      <c r="A18" s="111" t="s">
        <v>107</v>
      </c>
      <c r="B18" s="119">
        <v>7502</v>
      </c>
      <c r="C18" s="119">
        <f t="shared" ref="C18:F18" si="5">C19-B19</f>
        <v>15324</v>
      </c>
      <c r="D18" s="119">
        <f t="shared" si="5"/>
        <v>854</v>
      </c>
      <c r="E18" s="119">
        <f t="shared" si="5"/>
        <v>25357.71850800002</v>
      </c>
      <c r="F18" s="119">
        <f t="shared" si="5"/>
        <v>11581.28149199998</v>
      </c>
      <c r="G18" s="119">
        <f>G19-F19</f>
        <v>20346.432023194619</v>
      </c>
      <c r="H18" s="119">
        <v>41810.832320829912</v>
      </c>
      <c r="I18" s="119">
        <v>731.67065597540932</v>
      </c>
      <c r="J18" s="119">
        <f>J19-I19</f>
        <v>35515.302000000025</v>
      </c>
      <c r="K18" s="120">
        <f>K19-K17</f>
        <v>33973.972791612265</v>
      </c>
      <c r="M18" s="120">
        <f>M19-M17</f>
        <v>45448.043619925738</v>
      </c>
      <c r="N18" s="117"/>
      <c r="O18" s="120">
        <f>O19-O17</f>
        <v>41750.487990073976</v>
      </c>
    </row>
    <row r="19" spans="1:19" x14ac:dyDescent="0.25">
      <c r="A19" s="111" t="s">
        <v>108</v>
      </c>
      <c r="B19" s="118">
        <v>353389</v>
      </c>
      <c r="C19" s="118">
        <v>368713</v>
      </c>
      <c r="D19" s="118">
        <v>369567</v>
      </c>
      <c r="E19" s="118">
        <f>'[1]2011-2012-2013'!F49</f>
        <v>394924.71850800002</v>
      </c>
      <c r="F19" s="118">
        <v>406506</v>
      </c>
      <c r="G19" s="118">
        <v>426852.43202319462</v>
      </c>
      <c r="H19" s="118">
        <v>468663.26434402453</v>
      </c>
      <c r="I19" s="118">
        <v>469394.93499999994</v>
      </c>
      <c r="J19" s="118">
        <f>'2015 +5y - #4  March 29, 2016'!X50</f>
        <v>504910.23699999996</v>
      </c>
      <c r="K19" s="122">
        <f>'2015 +5y - #4  March 29, 2016'!Z50</f>
        <v>538884.20979161223</v>
      </c>
      <c r="M19" s="122">
        <f>'2015 +5y - #4  March 29, 2016'!AA50</f>
        <v>584332.25341153797</v>
      </c>
      <c r="N19" s="123"/>
      <c r="O19" s="122">
        <f>'2015 +5y - #4  March 29, 2016'!AB50</f>
        <v>626082.74140161194</v>
      </c>
    </row>
    <row r="20" spans="1:19" x14ac:dyDescent="0.25">
      <c r="A20" s="111" t="s">
        <v>109</v>
      </c>
      <c r="B20" s="125">
        <v>7.5500000000000003E-3</v>
      </c>
      <c r="C20" s="125">
        <v>8.0219999999999996E-3</v>
      </c>
      <c r="D20" s="125">
        <v>8.6300000000000005E-3</v>
      </c>
      <c r="E20" s="126">
        <f>'[1]2011-2012-2013'!F50</f>
        <v>9.697894421110187E-3</v>
      </c>
      <c r="F20" s="126">
        <v>1.0664E-2</v>
      </c>
      <c r="G20" s="126">
        <v>1.0988E-2</v>
      </c>
      <c r="H20" s="126">
        <v>1.143471011118107E-2</v>
      </c>
      <c r="I20" s="126">
        <v>1.159096922634455E-2</v>
      </c>
      <c r="J20" s="126">
        <f>'2015 +5y - #4  March 29, 2016'!X51</f>
        <v>1.1324226535422154E-2</v>
      </c>
      <c r="K20" s="135">
        <f>'2015 +5y - #4  March 29, 2016'!Z51</f>
        <v>1.1324226535422154E-2</v>
      </c>
      <c r="M20" s="126">
        <f>'2015 +5y - #4  March 29, 2016'!AA51</f>
        <v>1.1324226535422154E-2</v>
      </c>
      <c r="N20" s="135"/>
      <c r="O20" s="126">
        <f>'2015 +5y - #4  March 29, 2016'!AB51</f>
        <v>1.1452464642047713E-2</v>
      </c>
    </row>
    <row r="21" spans="1:19" x14ac:dyDescent="0.25">
      <c r="A21" s="111" t="s">
        <v>110</v>
      </c>
      <c r="B21" s="129">
        <v>2668.0869499999999</v>
      </c>
      <c r="C21" s="129">
        <f t="shared" ref="C21:G21" si="6">C19*C20</f>
        <v>2957.8156859999999</v>
      </c>
      <c r="D21" s="129">
        <f t="shared" si="6"/>
        <v>3189.36321</v>
      </c>
      <c r="E21" s="129">
        <f t="shared" si="6"/>
        <v>3829.9382243772443</v>
      </c>
      <c r="F21" s="129">
        <f t="shared" si="6"/>
        <v>4334.9799839999996</v>
      </c>
      <c r="G21" s="129">
        <f t="shared" si="6"/>
        <v>4690.254523070862</v>
      </c>
      <c r="H21" s="129">
        <v>5359.0285675337436</v>
      </c>
      <c r="I21" s="129">
        <v>5440.7422465869995</v>
      </c>
      <c r="J21" s="129">
        <f t="shared" ref="J21" si="7">J19*J20</f>
        <v>5717.717903841688</v>
      </c>
      <c r="K21" s="130">
        <f>K19*K20</f>
        <v>6102.4468680421742</v>
      </c>
      <c r="M21" s="131">
        <f>M19*M20</f>
        <v>6617.1108095859609</v>
      </c>
      <c r="N21" s="132"/>
      <c r="O21" s="131">
        <f>O19*O20</f>
        <v>7170.1904588982625</v>
      </c>
      <c r="P21" s="133"/>
      <c r="Q21" s="133">
        <f>M21*1000</f>
        <v>6617110.8095859606</v>
      </c>
      <c r="R21" s="133">
        <f>N21*1000</f>
        <v>0</v>
      </c>
      <c r="S21" s="133">
        <f>O21*1000</f>
        <v>7170190.4588982621</v>
      </c>
    </row>
    <row r="22" spans="1:19" x14ac:dyDescent="0.25">
      <c r="B22" s="134"/>
      <c r="C22" s="134"/>
      <c r="D22" s="134"/>
      <c r="E22" s="134"/>
      <c r="F22" s="134"/>
      <c r="G22" s="134"/>
      <c r="H22" s="134"/>
      <c r="I22" s="134"/>
      <c r="J22" s="136"/>
      <c r="K22" s="129"/>
      <c r="M22" s="129"/>
      <c r="N22" s="132"/>
      <c r="O22" s="129"/>
    </row>
    <row r="24" spans="1:19" x14ac:dyDescent="0.25">
      <c r="A24" s="105" t="s">
        <v>79</v>
      </c>
      <c r="E24" s="116"/>
      <c r="F24" s="116"/>
      <c r="G24" s="116"/>
      <c r="H24" s="116"/>
      <c r="I24" s="116"/>
      <c r="J24" s="116"/>
      <c r="K24" s="116"/>
      <c r="M24" s="116"/>
      <c r="N24" s="117"/>
      <c r="O24" s="116"/>
    </row>
    <row r="25" spans="1:19" x14ac:dyDescent="0.25">
      <c r="A25" s="111" t="s">
        <v>106</v>
      </c>
      <c r="B25" s="118">
        <v>18695</v>
      </c>
      <c r="C25" s="118">
        <f t="shared" ref="C25:F25" si="8">B27</f>
        <v>19364</v>
      </c>
      <c r="D25" s="118">
        <f t="shared" si="8"/>
        <v>20874</v>
      </c>
      <c r="E25" s="118">
        <f t="shared" si="8"/>
        <v>19902</v>
      </c>
      <c r="F25" s="118">
        <f t="shared" si="8"/>
        <v>20890</v>
      </c>
      <c r="G25" s="118">
        <f>F27</f>
        <v>21608</v>
      </c>
      <c r="H25" s="118">
        <v>22904.265934547748</v>
      </c>
      <c r="I25" s="118">
        <v>24673.979228846489</v>
      </c>
      <c r="J25" s="118">
        <f>I27</f>
        <v>24737.454518899576</v>
      </c>
      <c r="K25" s="116">
        <f>J27</f>
        <v>22376.198131038327</v>
      </c>
      <c r="M25" s="116">
        <f>K27</f>
        <v>23578.723764573464</v>
      </c>
      <c r="N25" s="117"/>
      <c r="O25" s="116">
        <f>M27</f>
        <v>25045.155614032654</v>
      </c>
    </row>
    <row r="26" spans="1:19" x14ac:dyDescent="0.25">
      <c r="A26" s="111" t="s">
        <v>107</v>
      </c>
      <c r="B26" s="119">
        <v>669</v>
      </c>
      <c r="C26" s="119">
        <f t="shared" ref="C26:F26" si="9">C27-B27</f>
        <v>1510</v>
      </c>
      <c r="D26" s="119">
        <f t="shared" si="9"/>
        <v>-972</v>
      </c>
      <c r="E26" s="119">
        <f t="shared" si="9"/>
        <v>988</v>
      </c>
      <c r="F26" s="119">
        <f t="shared" si="9"/>
        <v>718</v>
      </c>
      <c r="G26" s="119">
        <f>G27-F27</f>
        <v>1296.2659345477477</v>
      </c>
      <c r="H26" s="119">
        <v>1769.7132942987409</v>
      </c>
      <c r="I26" s="119">
        <v>63.475290053087519</v>
      </c>
      <c r="J26" s="119">
        <f>J27-I27</f>
        <v>-2361.2563878612491</v>
      </c>
      <c r="K26" s="120">
        <f>K27-K25</f>
        <v>1202.5256335351369</v>
      </c>
      <c r="M26" s="120">
        <f>M27-M25</f>
        <v>1466.4318494591898</v>
      </c>
      <c r="N26" s="117"/>
      <c r="O26" s="120">
        <f>O27-O25</f>
        <v>1438.3368973537617</v>
      </c>
    </row>
    <row r="27" spans="1:19" x14ac:dyDescent="0.25">
      <c r="A27" s="111" t="s">
        <v>108</v>
      </c>
      <c r="B27" s="118">
        <v>19364</v>
      </c>
      <c r="C27" s="118">
        <v>20874</v>
      </c>
      <c r="D27" s="118">
        <v>19902</v>
      </c>
      <c r="E27" s="118">
        <v>20890</v>
      </c>
      <c r="F27" s="118">
        <v>21608</v>
      </c>
      <c r="G27" s="118">
        <v>22904.265934547748</v>
      </c>
      <c r="H27" s="118">
        <v>24673.979228846489</v>
      </c>
      <c r="I27" s="118">
        <v>24737.454518899576</v>
      </c>
      <c r="J27" s="118">
        <f>'2015 +5y - #4  March 29, 2016'!X74</f>
        <v>22376.198131038327</v>
      </c>
      <c r="K27" s="122">
        <f>'2015 +5y - #4  March 29, 2016'!Z74</f>
        <v>23578.723764573464</v>
      </c>
      <c r="M27" s="122">
        <f>'2015 +5y - #4  March 29, 2016'!AA74</f>
        <v>25045.155614032654</v>
      </c>
      <c r="N27" s="123"/>
      <c r="O27" s="122">
        <f>'2015 +5y - #4  March 29, 2016'!AB74</f>
        <v>26483.492511386416</v>
      </c>
    </row>
    <row r="28" spans="1:19" x14ac:dyDescent="0.25">
      <c r="A28" s="111" t="s">
        <v>109</v>
      </c>
      <c r="B28" s="125">
        <v>0.31885000000000002</v>
      </c>
      <c r="C28" s="125">
        <v>0.31947999999999999</v>
      </c>
      <c r="D28" s="125">
        <v>0.30969999999999998</v>
      </c>
      <c r="E28" s="126">
        <v>0.31666</v>
      </c>
      <c r="F28" s="126">
        <v>0.32067000000000001</v>
      </c>
      <c r="G28" s="126">
        <v>0.31521389999999999</v>
      </c>
      <c r="H28" s="126">
        <v>0.33083610927169832</v>
      </c>
      <c r="I28" s="126">
        <v>0.34186829445769495</v>
      </c>
      <c r="J28" s="126">
        <f>'2015 +5y - #4  March 29, 2016'!X75</f>
        <v>0.37917505586342515</v>
      </c>
      <c r="K28" s="135">
        <f>'2015 +5y - #4  March 29, 2016'!Z75</f>
        <v>0.37917505586342515</v>
      </c>
      <c r="M28" s="126">
        <f>'2015 +5y - #4  March 29, 2016'!AA75</f>
        <v>0.37917505586342515</v>
      </c>
      <c r="N28" s="135"/>
      <c r="O28" s="126">
        <f>'2015 +5y - #4  March 29, 2016'!AB75</f>
        <v>0.37917505586342515</v>
      </c>
    </row>
    <row r="29" spans="1:19" x14ac:dyDescent="0.25">
      <c r="A29" s="111" t="s">
        <v>110</v>
      </c>
      <c r="B29" s="129">
        <v>6174.2114000000001</v>
      </c>
      <c r="C29" s="129">
        <f t="shared" ref="C29:G29" si="10">C27*C28</f>
        <v>6668.8255199999994</v>
      </c>
      <c r="D29" s="129">
        <f t="shared" si="10"/>
        <v>6163.6493999999993</v>
      </c>
      <c r="E29" s="129">
        <f t="shared" si="10"/>
        <v>6615.0273999999999</v>
      </c>
      <c r="F29" s="129">
        <f t="shared" si="10"/>
        <v>6929.0373600000003</v>
      </c>
      <c r="G29" s="129">
        <f t="shared" si="10"/>
        <v>7219.74299186594</v>
      </c>
      <c r="H29" s="129">
        <v>8163.043288322272</v>
      </c>
      <c r="I29" s="129">
        <v>8456.9513856009962</v>
      </c>
      <c r="J29" s="129">
        <f t="shared" ref="J29" si="11">J27*J28</f>
        <v>8484.4961763475276</v>
      </c>
      <c r="K29" s="130">
        <f>K27*K28</f>
        <v>8940.4639006204125</v>
      </c>
      <c r="M29" s="131">
        <f>M27*M28</f>
        <v>9496.4982790590075</v>
      </c>
      <c r="N29" s="132"/>
      <c r="O29" s="131">
        <f>O27*O28</f>
        <v>10041.879752463547</v>
      </c>
      <c r="P29" s="133"/>
      <c r="Q29" s="133">
        <f>M29*1000</f>
        <v>9496498.2790590078</v>
      </c>
      <c r="R29" s="133">
        <f>N29*1000</f>
        <v>0</v>
      </c>
      <c r="S29" s="133">
        <f>O29*1000</f>
        <v>10041879.752463546</v>
      </c>
    </row>
    <row r="30" spans="1:19" x14ac:dyDescent="0.25">
      <c r="B30" s="134"/>
      <c r="C30" s="134"/>
      <c r="D30" s="134"/>
      <c r="E30" s="134"/>
      <c r="F30" s="134"/>
      <c r="G30" s="134"/>
      <c r="H30" s="134"/>
      <c r="I30" s="134"/>
      <c r="J30" s="134"/>
      <c r="K30" s="129"/>
      <c r="M30" s="129"/>
      <c r="N30" s="132"/>
      <c r="O30" s="129"/>
    </row>
    <row r="31" spans="1:19" x14ac:dyDescent="0.25">
      <c r="B31" s="129"/>
      <c r="C31" s="129"/>
      <c r="D31" s="129"/>
      <c r="E31" s="129"/>
      <c r="F31" s="129"/>
      <c r="G31" s="129"/>
      <c r="H31" s="129"/>
      <c r="I31" s="129"/>
      <c r="J31" s="129"/>
    </row>
    <row r="32" spans="1:19" x14ac:dyDescent="0.25">
      <c r="A32" s="105" t="s">
        <v>80</v>
      </c>
      <c r="B32" s="111" t="s">
        <v>111</v>
      </c>
      <c r="E32" s="116"/>
      <c r="F32" s="116"/>
      <c r="G32" s="116"/>
      <c r="H32" s="116"/>
      <c r="I32" s="116"/>
      <c r="J32" s="116"/>
      <c r="K32" s="116"/>
      <c r="M32" s="116"/>
      <c r="N32" s="117"/>
      <c r="O32" s="116"/>
    </row>
    <row r="33" spans="1:19" x14ac:dyDescent="0.25">
      <c r="A33" s="111" t="s">
        <v>106</v>
      </c>
      <c r="B33" s="118">
        <v>1420</v>
      </c>
      <c r="C33" s="118">
        <f t="shared" ref="C33:F33" si="12">B35</f>
        <v>1412</v>
      </c>
      <c r="D33" s="118">
        <f t="shared" si="12"/>
        <v>1354</v>
      </c>
      <c r="E33" s="118">
        <f t="shared" si="12"/>
        <v>666</v>
      </c>
      <c r="F33" s="118">
        <f t="shared" si="12"/>
        <v>841</v>
      </c>
      <c r="G33" s="118">
        <f>F35</f>
        <v>925</v>
      </c>
      <c r="H33" s="118">
        <v>888.3152139</v>
      </c>
      <c r="I33" s="118">
        <v>1002.3308361092717</v>
      </c>
      <c r="J33" s="118">
        <f>I35</f>
        <v>1190</v>
      </c>
      <c r="K33" s="116">
        <f>J35</f>
        <v>1131</v>
      </c>
      <c r="M33" s="116">
        <f>K35</f>
        <v>1131</v>
      </c>
      <c r="N33" s="117"/>
      <c r="O33" s="116">
        <f>M35</f>
        <v>1131</v>
      </c>
    </row>
    <row r="34" spans="1:19" x14ac:dyDescent="0.25">
      <c r="A34" s="111" t="s">
        <v>107</v>
      </c>
      <c r="B34" s="119">
        <v>-8</v>
      </c>
      <c r="C34" s="119">
        <f t="shared" ref="C34" si="13">C35-B35</f>
        <v>-58</v>
      </c>
      <c r="D34" s="119">
        <f>D35-C35</f>
        <v>-688</v>
      </c>
      <c r="E34" s="119">
        <f t="shared" ref="E34:F34" si="14">E35-D35</f>
        <v>175</v>
      </c>
      <c r="F34" s="119">
        <f t="shared" si="14"/>
        <v>84</v>
      </c>
      <c r="G34" s="119">
        <f>G35-F35</f>
        <v>-36.684786099999997</v>
      </c>
      <c r="H34" s="119">
        <v>114.01562220927167</v>
      </c>
      <c r="I34" s="119">
        <v>187.66916389072833</v>
      </c>
      <c r="J34" s="119">
        <f>J35-I35</f>
        <v>-59</v>
      </c>
      <c r="K34" s="120">
        <f>K35-K33</f>
        <v>0</v>
      </c>
      <c r="M34" s="120">
        <f>M35-M33</f>
        <v>0</v>
      </c>
      <c r="N34" s="117"/>
      <c r="O34" s="120">
        <f>O35-O33</f>
        <v>0</v>
      </c>
    </row>
    <row r="35" spans="1:19" x14ac:dyDescent="0.25">
      <c r="A35" s="111" t="s">
        <v>108</v>
      </c>
      <c r="B35" s="118">
        <v>1412</v>
      </c>
      <c r="C35" s="118">
        <v>1354</v>
      </c>
      <c r="D35" s="118">
        <v>666</v>
      </c>
      <c r="E35" s="118">
        <v>841</v>
      </c>
      <c r="F35" s="118">
        <v>925</v>
      </c>
      <c r="G35" s="118">
        <v>888.3152139</v>
      </c>
      <c r="H35" s="118">
        <v>1002.3308361092717</v>
      </c>
      <c r="I35" s="118">
        <v>1190</v>
      </c>
      <c r="J35" s="118">
        <f>'2015 +5y - #4  March 29, 2016'!X95</f>
        <v>1131</v>
      </c>
      <c r="K35" s="122">
        <f>'2015 +5y - #4  March 29, 2016'!Z95</f>
        <v>1131</v>
      </c>
      <c r="M35" s="122">
        <f>'2015 +5y - #4  March 29, 2016'!AA95</f>
        <v>1131</v>
      </c>
      <c r="N35" s="123"/>
      <c r="O35" s="122">
        <f>'2015 +5y - #4  March 29, 2016'!AB95</f>
        <v>1131</v>
      </c>
    </row>
    <row r="36" spans="1:19" x14ac:dyDescent="0.25">
      <c r="A36" s="111" t="s">
        <v>109</v>
      </c>
      <c r="B36" s="125">
        <v>9.58E-3</v>
      </c>
      <c r="C36" s="125">
        <v>9.8499999999999994E-3</v>
      </c>
      <c r="D36" s="125">
        <v>9.5099999999999994E-3</v>
      </c>
      <c r="E36" s="126">
        <v>9.75E-3</v>
      </c>
      <c r="F36" s="126">
        <v>9.3299999999999998E-3</v>
      </c>
      <c r="G36" s="126">
        <v>9.3100000000000006E-3</v>
      </c>
      <c r="H36" s="126">
        <v>9.2956159505626773E-3</v>
      </c>
      <c r="I36" s="126">
        <v>9.5650000000000006E-3</v>
      </c>
      <c r="J36" s="126">
        <f>'2015 +5y - #4  March 29, 2016'!X96</f>
        <v>9.2563999999999997E-3</v>
      </c>
      <c r="K36" s="135">
        <f>'2015 +5y - #4  March 29, 2016'!Z96</f>
        <v>9.2563999999999997E-3</v>
      </c>
      <c r="M36" s="126">
        <f>'2015 +5y - #4  March 29, 2016'!AA96</f>
        <v>9.2563999999999997E-3</v>
      </c>
      <c r="N36" s="135"/>
      <c r="O36" s="126">
        <f>'2015 +5y - #4  March 29, 2016'!AB96</f>
        <v>9.34208094096E-3</v>
      </c>
    </row>
    <row r="37" spans="1:19" x14ac:dyDescent="0.25">
      <c r="A37" s="111" t="s">
        <v>110</v>
      </c>
      <c r="B37" s="137">
        <v>17</v>
      </c>
      <c r="C37" s="129">
        <f t="shared" ref="C37:G37" si="15">C35*C36</f>
        <v>13.3369</v>
      </c>
      <c r="D37" s="137">
        <f>7+3</f>
        <v>10</v>
      </c>
      <c r="E37" s="129">
        <f t="shared" si="15"/>
        <v>8.1997499999999999</v>
      </c>
      <c r="F37" s="129">
        <f t="shared" si="15"/>
        <v>8.6302500000000002</v>
      </c>
      <c r="G37" s="129">
        <f t="shared" si="15"/>
        <v>8.2702146414089999</v>
      </c>
      <c r="H37" s="129">
        <v>9.3172825078781703</v>
      </c>
      <c r="I37" s="129">
        <v>11.382350000000001</v>
      </c>
      <c r="J37" s="129">
        <f t="shared" ref="J37" si="16">J35*J36</f>
        <v>10.468988399999999</v>
      </c>
      <c r="K37" s="130">
        <f>K35*K36</f>
        <v>10.468988399999999</v>
      </c>
      <c r="M37" s="131">
        <f>M35*M36</f>
        <v>10.468988399999999</v>
      </c>
      <c r="N37" s="132"/>
      <c r="O37" s="131">
        <f>O35*O36</f>
        <v>10.56589354422576</v>
      </c>
      <c r="P37" s="133"/>
      <c r="Q37" s="133">
        <f>M37*1000</f>
        <v>10468.988399999998</v>
      </c>
      <c r="R37" s="133">
        <f>N37*1000</f>
        <v>0</v>
      </c>
      <c r="S37" s="133">
        <f>O37*1000</f>
        <v>10565.893544225761</v>
      </c>
    </row>
    <row r="38" spans="1:19" x14ac:dyDescent="0.25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M38" s="129"/>
      <c r="N38" s="132"/>
      <c r="O38" s="129"/>
    </row>
    <row r="39" spans="1:19" x14ac:dyDescent="0.25">
      <c r="B39" s="129" t="s">
        <v>112</v>
      </c>
      <c r="C39" s="129"/>
      <c r="D39" s="129"/>
      <c r="E39" s="129"/>
      <c r="F39" s="129"/>
      <c r="G39" s="129"/>
      <c r="H39" s="129"/>
      <c r="I39" s="129"/>
      <c r="J39" s="129"/>
      <c r="K39" s="129"/>
      <c r="M39" s="129"/>
      <c r="N39" s="132"/>
      <c r="O39" s="129"/>
      <c r="Q39" s="133"/>
    </row>
    <row r="40" spans="1:19" x14ac:dyDescent="0.25">
      <c r="A40" s="111" t="s">
        <v>106</v>
      </c>
      <c r="B40" s="118">
        <v>0</v>
      </c>
      <c r="C40" s="118">
        <f t="shared" ref="C40:F40" si="17">B42</f>
        <v>176588</v>
      </c>
      <c r="D40" s="118">
        <f t="shared" si="17"/>
        <v>170000</v>
      </c>
      <c r="E40" s="118">
        <f t="shared" si="17"/>
        <v>107734</v>
      </c>
      <c r="F40" s="118">
        <f t="shared" si="17"/>
        <v>104359</v>
      </c>
      <c r="G40" s="118">
        <f>F42</f>
        <v>115700</v>
      </c>
      <c r="H40" s="118">
        <v>110212</v>
      </c>
      <c r="I40" s="118">
        <v>127298</v>
      </c>
      <c r="J40" s="118">
        <f>I42</f>
        <v>151210</v>
      </c>
      <c r="K40" s="116">
        <f>J42</f>
        <v>151669</v>
      </c>
      <c r="M40" s="116">
        <f>K42</f>
        <v>151669</v>
      </c>
      <c r="N40" s="117"/>
      <c r="O40" s="116">
        <f>M42</f>
        <v>151669</v>
      </c>
    </row>
    <row r="41" spans="1:19" x14ac:dyDescent="0.25">
      <c r="A41" s="111" t="s">
        <v>107</v>
      </c>
      <c r="B41" s="119">
        <v>176588</v>
      </c>
      <c r="C41" s="119">
        <f t="shared" ref="C41:F41" si="18">C42-B42</f>
        <v>-6588</v>
      </c>
      <c r="D41" s="119">
        <f t="shared" si="18"/>
        <v>-62266</v>
      </c>
      <c r="E41" s="119">
        <f t="shared" si="18"/>
        <v>-3375</v>
      </c>
      <c r="F41" s="119">
        <f t="shared" si="18"/>
        <v>11341</v>
      </c>
      <c r="G41" s="119">
        <f>G42-F42</f>
        <v>-5488</v>
      </c>
      <c r="H41" s="119">
        <v>17086</v>
      </c>
      <c r="I41" s="119">
        <v>23912</v>
      </c>
      <c r="J41" s="119">
        <f>J42-I42</f>
        <v>459</v>
      </c>
      <c r="K41" s="120">
        <f>K42-K40</f>
        <v>0</v>
      </c>
      <c r="M41" s="120">
        <f>M42-M40</f>
        <v>0</v>
      </c>
      <c r="N41" s="117"/>
      <c r="O41" s="120">
        <f>O42-O40</f>
        <v>3500</v>
      </c>
    </row>
    <row r="42" spans="1:19" x14ac:dyDescent="0.25">
      <c r="A42" s="111" t="s">
        <v>113</v>
      </c>
      <c r="B42" s="129">
        <v>176588</v>
      </c>
      <c r="C42" s="129">
        <v>170000</v>
      </c>
      <c r="D42" s="129">
        <v>107734</v>
      </c>
      <c r="E42" s="129">
        <v>104359</v>
      </c>
      <c r="F42" s="129">
        <v>115700</v>
      </c>
      <c r="G42" s="129">
        <v>110212</v>
      </c>
      <c r="H42" s="129">
        <v>127298</v>
      </c>
      <c r="I42" s="129">
        <v>151210</v>
      </c>
      <c r="J42" s="129">
        <f>'2015 +5y - #4  March 29, 2016'!X104</f>
        <v>151669</v>
      </c>
      <c r="K42" s="129">
        <f>'2015 +5y - #4  March 29, 2016'!Z104</f>
        <v>151669</v>
      </c>
      <c r="M42" s="129">
        <f>'2015 +5y - #4  March 29, 2016'!AA104</f>
        <v>151669</v>
      </c>
      <c r="N42" s="132"/>
      <c r="O42" s="129">
        <f>'2015 +5y - #4  March 29, 2016'!AB104</f>
        <v>155169</v>
      </c>
      <c r="R42" s="133"/>
    </row>
    <row r="43" spans="1:19" x14ac:dyDescent="0.25">
      <c r="A43" s="111" t="s">
        <v>109</v>
      </c>
      <c r="B43" s="126">
        <v>8.097945500260493E-4</v>
      </c>
      <c r="C43" s="126">
        <f t="shared" ref="C43:G43" si="19">C44/C42</f>
        <v>8.1176470588235298E-4</v>
      </c>
      <c r="D43" s="126">
        <f t="shared" si="19"/>
        <v>1.722761616574155E-2</v>
      </c>
      <c r="E43" s="126">
        <f t="shared" si="19"/>
        <v>1.7631445299399189E-2</v>
      </c>
      <c r="F43" s="126">
        <f t="shared" si="19"/>
        <v>1.7545375972342264E-2</v>
      </c>
      <c r="G43" s="126">
        <f t="shared" si="19"/>
        <v>1.7410999999999999E-2</v>
      </c>
      <c r="H43" s="126">
        <v>1.7199361026881802E-2</v>
      </c>
      <c r="I43" s="126">
        <v>1.670407380464255E-2</v>
      </c>
      <c r="J43" s="126">
        <f>'2015 +5y - #4  March 29, 2016'!X111</f>
        <v>1.7850399999999999E-2</v>
      </c>
      <c r="K43" s="126">
        <f>'2015 +5y - #4  March 29, 2016'!Z96</f>
        <v>9.2563999999999997E-3</v>
      </c>
      <c r="M43" s="126">
        <f>'2015 +5y - #4  March 29, 2016'!AA96</f>
        <v>9.2563999999999997E-3</v>
      </c>
      <c r="N43" s="135"/>
      <c r="O43" s="126">
        <f>'2015 +5y - #4  March 29, 2016'!AB96</f>
        <v>9.34208094096E-3</v>
      </c>
    </row>
    <row r="44" spans="1:19" x14ac:dyDescent="0.25">
      <c r="A44" s="111" t="s">
        <v>113</v>
      </c>
      <c r="B44" s="130">
        <v>143</v>
      </c>
      <c r="C44" s="130">
        <v>138</v>
      </c>
      <c r="D44" s="130">
        <v>1856</v>
      </c>
      <c r="E44" s="130">
        <v>1840</v>
      </c>
      <c r="F44" s="130">
        <v>2030</v>
      </c>
      <c r="G44" s="130">
        <v>1918.901132</v>
      </c>
      <c r="H44" s="130">
        <v>2189.4442599999998</v>
      </c>
      <c r="I44" s="130">
        <v>2525.8229999999999</v>
      </c>
      <c r="J44" s="130">
        <f>'2015 +5y - #4  March 29, 2016'!X114</f>
        <v>2707.3523175999999</v>
      </c>
      <c r="K44" s="130">
        <f>'2015 +5y - #4  March 29, 2016'!Z114</f>
        <v>2707.3523175999999</v>
      </c>
      <c r="M44" s="130">
        <f>'2015 +5y - #4  March 29, 2016'!AA114</f>
        <v>2769.8287175999999</v>
      </c>
      <c r="N44" s="132"/>
      <c r="O44" s="130">
        <f>'2015 +5y - #4  March 29, 2016'!AB114</f>
        <v>2819.271268140647</v>
      </c>
      <c r="P44" s="133">
        <f>Q44+Q37</f>
        <v>2780297.7060000002</v>
      </c>
      <c r="Q44" s="133">
        <f>M44*1000</f>
        <v>2769828.7176000001</v>
      </c>
      <c r="R44" s="133">
        <f>N44*1000</f>
        <v>0</v>
      </c>
      <c r="S44" s="133">
        <f>O44*1000</f>
        <v>2819271.2681406471</v>
      </c>
    </row>
    <row r="45" spans="1:19" x14ac:dyDescent="0.25"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M45" s="132"/>
      <c r="N45" s="132"/>
      <c r="O45" s="132"/>
      <c r="Q45" s="133"/>
    </row>
    <row r="46" spans="1:19" x14ac:dyDescent="0.25">
      <c r="A46" s="105"/>
      <c r="B46" s="138"/>
      <c r="C46" s="138"/>
      <c r="D46" s="138"/>
      <c r="E46" s="138"/>
      <c r="F46" s="138"/>
      <c r="G46" s="138"/>
      <c r="H46" s="138"/>
      <c r="I46" s="138"/>
      <c r="J46" s="138"/>
      <c r="K46" s="139"/>
      <c r="M46" s="140" t="s">
        <v>108</v>
      </c>
      <c r="N46" s="139"/>
      <c r="O46" s="140" t="s">
        <v>108</v>
      </c>
    </row>
    <row r="47" spans="1:19" x14ac:dyDescent="0.25">
      <c r="B47" s="129"/>
      <c r="C47" s="129"/>
      <c r="D47" s="129"/>
      <c r="E47" s="129"/>
      <c r="F47" s="129"/>
      <c r="G47" s="129"/>
      <c r="H47" s="129"/>
      <c r="I47" s="122">
        <v>1545162.3895188996</v>
      </c>
      <c r="J47" s="122">
        <f>J11+J19+J27+J35+J42</f>
        <v>1750941.0281310384</v>
      </c>
      <c r="K47" s="122">
        <f>K11+K19+K27+K35+K42</f>
        <v>1848682.4855769335</v>
      </c>
      <c r="M47" s="122">
        <f>M11+M19+M27+M35+M42</f>
        <v>1979417.6458783601</v>
      </c>
      <c r="N47" s="123"/>
      <c r="O47" s="122">
        <f>O11+O19+O27+O35+O42</f>
        <v>2103107.683945966</v>
      </c>
      <c r="P47" s="122"/>
    </row>
    <row r="48" spans="1:19" x14ac:dyDescent="0.25">
      <c r="B48" s="129"/>
      <c r="C48" s="129"/>
      <c r="D48" s="129"/>
      <c r="E48" s="129"/>
      <c r="F48" s="129"/>
      <c r="G48" s="129"/>
      <c r="H48" s="129"/>
      <c r="I48" s="129"/>
      <c r="J48" s="129"/>
    </row>
    <row r="49" spans="1:19" x14ac:dyDescent="0.25">
      <c r="B49" s="129"/>
      <c r="C49" s="107" t="s">
        <v>102</v>
      </c>
      <c r="D49" s="107" t="s">
        <v>102</v>
      </c>
      <c r="E49" s="107" t="s">
        <v>102</v>
      </c>
      <c r="F49" s="107" t="s">
        <v>102</v>
      </c>
      <c r="G49" s="107" t="s">
        <v>102</v>
      </c>
      <c r="H49" s="107" t="s">
        <v>102</v>
      </c>
      <c r="I49" s="107" t="s">
        <v>102</v>
      </c>
      <c r="J49" s="107" t="s">
        <v>102</v>
      </c>
      <c r="K49" s="107" t="s">
        <v>102</v>
      </c>
      <c r="M49" s="107" t="s">
        <v>102</v>
      </c>
      <c r="N49" s="108"/>
      <c r="O49" s="107" t="s">
        <v>102</v>
      </c>
    </row>
    <row r="50" spans="1:19" s="105" customFormat="1" x14ac:dyDescent="0.25">
      <c r="A50" s="105" t="s">
        <v>103</v>
      </c>
      <c r="B50" s="106">
        <v>2006</v>
      </c>
      <c r="C50" s="106">
        <v>2007</v>
      </c>
      <c r="D50" s="106">
        <v>2008</v>
      </c>
      <c r="E50" s="106">
        <v>2009</v>
      </c>
      <c r="F50" s="105">
        <v>2010</v>
      </c>
      <c r="G50" s="105">
        <v>2011</v>
      </c>
      <c r="H50" s="105">
        <v>2012</v>
      </c>
      <c r="I50" s="105">
        <v>2013</v>
      </c>
      <c r="J50" s="105">
        <f>I51</f>
        <v>2014</v>
      </c>
      <c r="K50" s="105">
        <v>2015</v>
      </c>
      <c r="M50" s="105">
        <v>2016</v>
      </c>
      <c r="N50" s="109"/>
      <c r="O50" s="105">
        <v>2017</v>
      </c>
    </row>
    <row r="51" spans="1:19" s="105" customFormat="1" x14ac:dyDescent="0.25">
      <c r="A51" s="105" t="s">
        <v>104</v>
      </c>
      <c r="B51" s="106">
        <v>2007</v>
      </c>
      <c r="C51" s="106">
        <v>2008</v>
      </c>
      <c r="D51" s="106">
        <v>2009</v>
      </c>
      <c r="E51" s="106">
        <v>2010</v>
      </c>
      <c r="F51" s="105">
        <v>2011</v>
      </c>
      <c r="G51" s="105">
        <v>2011</v>
      </c>
      <c r="H51" s="105">
        <v>2013</v>
      </c>
      <c r="I51" s="105">
        <v>2014</v>
      </c>
      <c r="J51" s="105">
        <v>2015</v>
      </c>
      <c r="K51" s="105">
        <v>2016</v>
      </c>
      <c r="M51" s="105">
        <v>2017</v>
      </c>
      <c r="N51" s="109"/>
      <c r="O51" s="105">
        <v>2018</v>
      </c>
    </row>
    <row r="52" spans="1:19" x14ac:dyDescent="0.25">
      <c r="B52" s="129"/>
      <c r="C52" s="129"/>
      <c r="D52" s="129"/>
      <c r="E52" s="129"/>
      <c r="F52" s="129"/>
      <c r="G52" s="129"/>
      <c r="H52" s="129"/>
      <c r="I52" s="129"/>
      <c r="J52" s="129"/>
    </row>
    <row r="53" spans="1:19" x14ac:dyDescent="0.25">
      <c r="A53" s="110" t="s">
        <v>114</v>
      </c>
      <c r="J53" s="459" t="s">
        <v>267</v>
      </c>
      <c r="K53" s="112" t="s">
        <v>268</v>
      </c>
      <c r="L53" s="459"/>
      <c r="M53" s="112" t="s">
        <v>269</v>
      </c>
    </row>
    <row r="54" spans="1:19" x14ac:dyDescent="0.25">
      <c r="K54" s="114"/>
      <c r="L54" s="115"/>
      <c r="M54" s="114"/>
      <c r="N54" s="114"/>
      <c r="O54" s="114"/>
    </row>
    <row r="55" spans="1:19" x14ac:dyDescent="0.25">
      <c r="A55" s="105" t="s">
        <v>77</v>
      </c>
      <c r="E55" s="116"/>
      <c r="F55" s="116"/>
      <c r="G55" s="116"/>
      <c r="H55" s="116"/>
      <c r="I55" s="116"/>
      <c r="J55" s="116"/>
      <c r="K55" s="116"/>
      <c r="M55" s="116"/>
      <c r="N55" s="117"/>
      <c r="O55" s="116"/>
    </row>
    <row r="56" spans="1:19" x14ac:dyDescent="0.25">
      <c r="A56" s="111" t="s">
        <v>106</v>
      </c>
      <c r="B56" s="118">
        <v>139724</v>
      </c>
      <c r="C56" s="118">
        <f t="shared" ref="C56:F56" si="20">B58</f>
        <v>136844</v>
      </c>
      <c r="D56" s="118">
        <f t="shared" si="20"/>
        <v>109173</v>
      </c>
      <c r="E56" s="118">
        <f t="shared" si="20"/>
        <v>124410</v>
      </c>
      <c r="F56" s="118">
        <f t="shared" si="20"/>
        <v>148021</v>
      </c>
      <c r="G56" s="118">
        <f>F58</f>
        <v>152531</v>
      </c>
      <c r="H56" s="118">
        <v>173804.16659564062</v>
      </c>
      <c r="I56" s="118">
        <v>189501.07105461584</v>
      </c>
      <c r="J56" s="118">
        <f>I58</f>
        <v>223370.065</v>
      </c>
      <c r="K56" s="116">
        <f>J58</f>
        <v>216345.522</v>
      </c>
      <c r="M56" s="116">
        <f>K58</f>
        <v>235087.41731158708</v>
      </c>
      <c r="N56" s="117"/>
      <c r="O56" s="116">
        <f>M58</f>
        <v>252066.08017661446</v>
      </c>
    </row>
    <row r="57" spans="1:19" x14ac:dyDescent="0.25">
      <c r="A57" s="111" t="s">
        <v>107</v>
      </c>
      <c r="B57" s="119">
        <v>-2880</v>
      </c>
      <c r="C57" s="119">
        <f t="shared" ref="C57:F57" si="21">C58-B58</f>
        <v>-27671</v>
      </c>
      <c r="D57" s="119">
        <f t="shared" si="21"/>
        <v>15237</v>
      </c>
      <c r="E57" s="119">
        <f t="shared" si="21"/>
        <v>23611</v>
      </c>
      <c r="F57" s="119">
        <f t="shared" si="21"/>
        <v>4510</v>
      </c>
      <c r="G57" s="119">
        <f>G58-F58</f>
        <v>21273.166595640621</v>
      </c>
      <c r="H57" s="119">
        <v>15696.904458975216</v>
      </c>
      <c r="I57" s="119">
        <v>33868.993945384165</v>
      </c>
      <c r="J57" s="119">
        <f>J58-I58</f>
        <v>-7024.5430000000051</v>
      </c>
      <c r="K57" s="120">
        <f>K58-K56</f>
        <v>18741.895311587083</v>
      </c>
      <c r="M57" s="120">
        <f>M58-M56</f>
        <v>16978.662865027378</v>
      </c>
      <c r="N57" s="117"/>
      <c r="O57" s="120">
        <f>O58-O56</f>
        <v>21446.319047819765</v>
      </c>
    </row>
    <row r="58" spans="1:19" x14ac:dyDescent="0.25">
      <c r="A58" s="111" t="s">
        <v>108</v>
      </c>
      <c r="B58" s="118">
        <v>136844</v>
      </c>
      <c r="C58" s="118">
        <v>109173</v>
      </c>
      <c r="D58" s="118">
        <v>124410</v>
      </c>
      <c r="E58" s="118">
        <v>148021</v>
      </c>
      <c r="F58" s="118">
        <v>152531</v>
      </c>
      <c r="G58" s="118">
        <v>173804.16659564062</v>
      </c>
      <c r="H58" s="118">
        <v>189501.07105461584</v>
      </c>
      <c r="I58" s="118">
        <v>223370.065</v>
      </c>
      <c r="J58" s="118">
        <f>'2015 +5y - #4  March 29, 2016'!X130</f>
        <v>216345.522</v>
      </c>
      <c r="K58" s="122">
        <f>'2015 +5y - #4  March 29, 2016'!Z130</f>
        <v>235087.41731158708</v>
      </c>
      <c r="M58" s="122">
        <f>'2015 +5y - #4  March 29, 2016'!AA130</f>
        <v>252066.08017661446</v>
      </c>
      <c r="N58" s="123"/>
      <c r="O58" s="122">
        <f>'2015 +5y - #4  March 29, 2016'!AB130</f>
        <v>273512.39922443422</v>
      </c>
    </row>
    <row r="59" spans="1:19" x14ac:dyDescent="0.25">
      <c r="A59" s="111" t="s">
        <v>109</v>
      </c>
      <c r="B59" s="141">
        <v>1.1362000000000001E-2</v>
      </c>
      <c r="C59" s="125">
        <v>1.1122999999999999E-2</v>
      </c>
      <c r="D59" s="125">
        <v>1.1520000000000001E-2</v>
      </c>
      <c r="E59" s="126">
        <v>1.2448000000000001E-2</v>
      </c>
      <c r="F59" s="126">
        <v>1.272E-2</v>
      </c>
      <c r="G59" s="126">
        <v>1.2879E-2</v>
      </c>
      <c r="H59" s="126">
        <v>1.2898617967681729E-2</v>
      </c>
      <c r="I59" s="126">
        <v>1.3168111850618837E-2</v>
      </c>
      <c r="J59" s="126">
        <f>'2015 +5y - #4  March 29, 2016'!X131</f>
        <v>1.2843874808742287E-2</v>
      </c>
      <c r="K59" s="135">
        <f>'2015 +5y - #4  March 29, 2016'!Z131</f>
        <v>1.2843874808742287E-2</v>
      </c>
      <c r="M59" s="126">
        <f>'2015 +5y - #4  March 29, 2016'!AA131</f>
        <v>1.2843874808742287E-2</v>
      </c>
      <c r="N59" s="135"/>
      <c r="O59" s="126">
        <f>'2015 +5y - #4  March 29, 2016'!AB131</f>
        <v>1.3008839928844931E-2</v>
      </c>
    </row>
    <row r="60" spans="1:19" x14ac:dyDescent="0.25">
      <c r="A60" s="111" t="s">
        <v>115</v>
      </c>
      <c r="B60" s="129">
        <f>B58*B59</f>
        <v>1554.8215280000002</v>
      </c>
      <c r="C60" s="129">
        <f t="shared" ref="C60:G60" si="22">C58*C59</f>
        <v>1214.331279</v>
      </c>
      <c r="D60" s="129">
        <f t="shared" si="22"/>
        <v>1433.2032000000002</v>
      </c>
      <c r="E60" s="129">
        <f t="shared" si="22"/>
        <v>1842.5654080000002</v>
      </c>
      <c r="F60" s="129">
        <f t="shared" si="22"/>
        <v>1940.1943200000001</v>
      </c>
      <c r="G60" s="129">
        <f t="shared" si="22"/>
        <v>2238.4238615852555</v>
      </c>
      <c r="H60" s="129">
        <v>2444.3019199999999</v>
      </c>
      <c r="I60" s="129">
        <v>2941.3620000000001</v>
      </c>
      <c r="J60" s="129">
        <f t="shared" ref="J60" si="23">J58*J59</f>
        <v>2778.7148000000002</v>
      </c>
      <c r="K60" s="130">
        <f>K58*K59</f>
        <v>3019.4333570605786</v>
      </c>
      <c r="M60" s="131">
        <f t="shared" ref="M60:O60" si="24">M58*M59</f>
        <v>3237.505177318832</v>
      </c>
      <c r="N60" s="132"/>
      <c r="O60" s="131">
        <f t="shared" si="24"/>
        <v>3558.0790200649953</v>
      </c>
      <c r="P60" s="133"/>
      <c r="Q60" s="133">
        <f>M60*1000</f>
        <v>3237505.1773188319</v>
      </c>
      <c r="R60" s="133">
        <f>N60*1000</f>
        <v>0</v>
      </c>
      <c r="S60" s="133">
        <f>O60*1000</f>
        <v>3558079.0200649952</v>
      </c>
    </row>
    <row r="61" spans="1:19" x14ac:dyDescent="0.25">
      <c r="J61" s="115"/>
      <c r="K61" s="129"/>
      <c r="M61" s="129"/>
      <c r="N61" s="132"/>
      <c r="O61" s="129"/>
    </row>
    <row r="62" spans="1:19" x14ac:dyDescent="0.25">
      <c r="B62" s="129"/>
      <c r="C62" s="129"/>
      <c r="D62" s="129"/>
      <c r="E62" s="129"/>
      <c r="F62" s="129"/>
      <c r="G62" s="129"/>
      <c r="H62" s="129"/>
      <c r="I62" s="129"/>
      <c r="J62" s="132"/>
    </row>
    <row r="63" spans="1:19" x14ac:dyDescent="0.25">
      <c r="A63" s="105" t="s">
        <v>78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16"/>
      <c r="M63" s="116"/>
      <c r="N63" s="117"/>
      <c r="O63" s="116"/>
    </row>
    <row r="64" spans="1:19" x14ac:dyDescent="0.25">
      <c r="A64" s="111" t="s">
        <v>106</v>
      </c>
      <c r="B64" s="118">
        <v>56308</v>
      </c>
      <c r="C64" s="118">
        <f t="shared" ref="C64:F64" si="25">B66</f>
        <v>58570</v>
      </c>
      <c r="D64" s="118">
        <f t="shared" si="25"/>
        <v>57277</v>
      </c>
      <c r="E64" s="118">
        <f t="shared" si="25"/>
        <v>66700</v>
      </c>
      <c r="F64" s="118">
        <f t="shared" si="25"/>
        <v>69964.208587000001</v>
      </c>
      <c r="G64" s="118">
        <f>F66</f>
        <v>68720</v>
      </c>
      <c r="H64" s="118">
        <v>77458.071382651833</v>
      </c>
      <c r="I64" s="118">
        <v>85831.54</v>
      </c>
      <c r="J64" s="118">
        <f>I66</f>
        <v>92701.07758538505</v>
      </c>
      <c r="K64" s="116">
        <f>J66</f>
        <v>96666.592999999993</v>
      </c>
      <c r="M64" s="116">
        <f>K66</f>
        <v>104871.91247150741</v>
      </c>
      <c r="N64" s="117"/>
      <c r="O64" s="116">
        <f>M66</f>
        <v>112305.2777043416</v>
      </c>
    </row>
    <row r="65" spans="1:19" x14ac:dyDescent="0.25">
      <c r="A65" s="111" t="s">
        <v>107</v>
      </c>
      <c r="B65" s="119">
        <v>2262</v>
      </c>
      <c r="C65" s="119">
        <f t="shared" ref="C65:F65" si="26">C66-B66</f>
        <v>-1293</v>
      </c>
      <c r="D65" s="119">
        <f t="shared" si="26"/>
        <v>9423</v>
      </c>
      <c r="E65" s="119">
        <f t="shared" si="26"/>
        <v>3264.208587000001</v>
      </c>
      <c r="F65" s="119">
        <f t="shared" si="26"/>
        <v>-1244.208587000001</v>
      </c>
      <c r="G65" s="119">
        <f>G66-F66</f>
        <v>8738.0713826518331</v>
      </c>
      <c r="H65" s="119">
        <v>8373.4686173481605</v>
      </c>
      <c r="I65" s="119">
        <v>6869.5375853850564</v>
      </c>
      <c r="J65" s="119">
        <f>J66-I66</f>
        <v>3965.5154146149434</v>
      </c>
      <c r="K65" s="120">
        <f>K66-K64</f>
        <v>8205.3194715074205</v>
      </c>
      <c r="M65" s="120">
        <f>M66-M64</f>
        <v>7433.365232834185</v>
      </c>
      <c r="N65" s="117"/>
      <c r="O65" s="120">
        <f>O66-O64</f>
        <v>9389.3331677314854</v>
      </c>
    </row>
    <row r="66" spans="1:19" x14ac:dyDescent="0.25">
      <c r="A66" s="111" t="s">
        <v>108</v>
      </c>
      <c r="B66" s="118">
        <v>58570</v>
      </c>
      <c r="C66" s="118">
        <v>57277</v>
      </c>
      <c r="D66" s="118">
        <v>66700</v>
      </c>
      <c r="E66" s="118">
        <f>'[1]2011-2012-2013'!F146</f>
        <v>69964.208587000001</v>
      </c>
      <c r="F66" s="118">
        <v>68720</v>
      </c>
      <c r="G66" s="118">
        <v>77458.071382651833</v>
      </c>
      <c r="H66" s="118">
        <v>85831.54</v>
      </c>
      <c r="I66" s="118">
        <v>92701.07758538505</v>
      </c>
      <c r="J66" s="118">
        <f>'2015 +5y - #4  March 29, 2016'!X147</f>
        <v>96666.592999999993</v>
      </c>
      <c r="K66" s="122">
        <f>'2015 +5y - #4  March 29, 2016'!Z147</f>
        <v>104871.91247150741</v>
      </c>
      <c r="M66" s="122">
        <f>'2015 +5y - #4  March 29, 2016'!AA147</f>
        <v>112305.2777043416</v>
      </c>
      <c r="N66" s="123"/>
      <c r="O66" s="122">
        <f>'2015 +5y - #4  March 29, 2016'!AB147</f>
        <v>121694.61087207308</v>
      </c>
    </row>
    <row r="67" spans="1:19" x14ac:dyDescent="0.25">
      <c r="A67" s="111" t="s">
        <v>109</v>
      </c>
      <c r="B67" s="125">
        <v>1.039E-2</v>
      </c>
      <c r="C67" s="125">
        <v>1.0829E-2</v>
      </c>
      <c r="D67" s="125">
        <v>1.082E-2</v>
      </c>
      <c r="E67" s="126">
        <v>1.1469999999999999E-2</v>
      </c>
      <c r="F67" s="126">
        <v>1.2460000000000001E-2</v>
      </c>
      <c r="G67" s="126">
        <v>1.4363646630731848E-2</v>
      </c>
      <c r="H67" s="126">
        <v>1.4623684254063251E-2</v>
      </c>
      <c r="I67" s="126">
        <v>1.4419693422940421E-2</v>
      </c>
      <c r="J67" s="126">
        <f>'2015 +5y - #4  March 29, 2016'!X148</f>
        <v>1.4449688104523777E-2</v>
      </c>
      <c r="K67" s="135">
        <f>'2015 +5y - #4  March 29, 2016'!Z148</f>
        <v>1.4449688104523777E-2</v>
      </c>
      <c r="M67" s="126">
        <f>'2015 +5y - #4  March 29, 2016'!AA148</f>
        <v>1.4449688104523777E-2</v>
      </c>
      <c r="N67" s="135"/>
      <c r="O67" s="126">
        <f>'2015 +5y - #4  March 29, 2016'!AB148</f>
        <v>1.4658481590841793E-2</v>
      </c>
    </row>
    <row r="68" spans="1:19" x14ac:dyDescent="0.25">
      <c r="A68" s="111" t="s">
        <v>115</v>
      </c>
      <c r="B68" s="129">
        <v>608.54229999999995</v>
      </c>
      <c r="C68" s="129">
        <f t="shared" ref="C68:K68" si="27">C66*C67</f>
        <v>620.25263300000006</v>
      </c>
      <c r="D68" s="129">
        <f t="shared" si="27"/>
        <v>721.69399999999996</v>
      </c>
      <c r="E68" s="129">
        <f t="shared" si="27"/>
        <v>802.48947249288994</v>
      </c>
      <c r="F68" s="129">
        <f t="shared" si="27"/>
        <v>856.25120000000004</v>
      </c>
      <c r="G68" s="129">
        <f t="shared" si="27"/>
        <v>1112.580366038414</v>
      </c>
      <c r="H68" s="129">
        <v>1255.1733400000001</v>
      </c>
      <c r="I68" s="129">
        <v>1336.7211187574665</v>
      </c>
      <c r="J68" s="129">
        <f t="shared" ref="J68" si="28">J66*J67</f>
        <v>1396.8021189769413</v>
      </c>
      <c r="K68" s="130">
        <f t="shared" si="27"/>
        <v>1515.3664261381994</v>
      </c>
      <c r="M68" s="131">
        <f t="shared" ref="M68:O68" si="29">M66*M67</f>
        <v>1622.7762353196642</v>
      </c>
      <c r="N68" s="132"/>
      <c r="O68" s="131">
        <f t="shared" si="29"/>
        <v>1783.8582131729388</v>
      </c>
      <c r="P68" s="133"/>
      <c r="Q68" s="133">
        <f>M68*1000</f>
        <v>1622776.2353196642</v>
      </c>
      <c r="R68" s="133">
        <f>N68*1000</f>
        <v>0</v>
      </c>
      <c r="S68" s="133">
        <f>O68*1000</f>
        <v>1783858.2131729389</v>
      </c>
    </row>
    <row r="69" spans="1:19" x14ac:dyDescent="0.25">
      <c r="J69" s="115"/>
      <c r="K69" s="129"/>
      <c r="M69" s="129"/>
      <c r="N69" s="132"/>
      <c r="O69" s="129"/>
    </row>
    <row r="70" spans="1:19" x14ac:dyDescent="0.25">
      <c r="B70" s="129"/>
      <c r="C70" s="129"/>
      <c r="D70" s="129"/>
      <c r="E70" s="129"/>
      <c r="F70" s="129"/>
      <c r="G70" s="129"/>
      <c r="H70" s="129"/>
      <c r="I70" s="129"/>
      <c r="J70" s="129"/>
    </row>
    <row r="71" spans="1:19" x14ac:dyDescent="0.25">
      <c r="A71" s="105" t="s">
        <v>80</v>
      </c>
      <c r="E71" s="116"/>
      <c r="F71" s="116"/>
      <c r="G71" s="116"/>
      <c r="H71" s="116"/>
      <c r="I71" s="116"/>
      <c r="J71" s="116"/>
      <c r="K71" s="116"/>
      <c r="M71" s="116"/>
      <c r="N71" s="117"/>
      <c r="O71" s="116"/>
    </row>
    <row r="72" spans="1:19" x14ac:dyDescent="0.25">
      <c r="A72" s="111" t="s">
        <v>106</v>
      </c>
      <c r="B72" s="118">
        <v>121745</v>
      </c>
      <c r="C72" s="118">
        <f t="shared" ref="C72:F72" si="30">B74</f>
        <v>122500</v>
      </c>
      <c r="D72" s="118">
        <f t="shared" si="30"/>
        <v>138200</v>
      </c>
      <c r="E72" s="118">
        <f t="shared" si="30"/>
        <v>129725</v>
      </c>
      <c r="F72" s="118">
        <f t="shared" si="30"/>
        <v>130466</v>
      </c>
      <c r="G72" s="118">
        <f>F74</f>
        <v>142400</v>
      </c>
      <c r="H72" s="118">
        <v>160600</v>
      </c>
      <c r="I72" s="118">
        <v>168937</v>
      </c>
      <c r="J72" s="118">
        <f>I74</f>
        <v>184700</v>
      </c>
      <c r="K72" s="116">
        <f>J74</f>
        <v>209500</v>
      </c>
      <c r="M72" s="116">
        <f>K74</f>
        <v>209500</v>
      </c>
      <c r="N72" s="117"/>
      <c r="O72" s="116">
        <f>M74</f>
        <v>209500</v>
      </c>
    </row>
    <row r="73" spans="1:19" x14ac:dyDescent="0.25">
      <c r="A73" s="111" t="s">
        <v>107</v>
      </c>
      <c r="B73" s="119">
        <v>755</v>
      </c>
      <c r="C73" s="119">
        <f t="shared" ref="C73:F73" si="31">C74-B74</f>
        <v>15700</v>
      </c>
      <c r="D73" s="119">
        <f t="shared" si="31"/>
        <v>-8475</v>
      </c>
      <c r="E73" s="119">
        <f t="shared" si="31"/>
        <v>741</v>
      </c>
      <c r="F73" s="119">
        <f t="shared" si="31"/>
        <v>11934</v>
      </c>
      <c r="G73" s="119">
        <f>G74-F74</f>
        <v>18200</v>
      </c>
      <c r="H73" s="119">
        <v>8337</v>
      </c>
      <c r="I73" s="119">
        <v>15763</v>
      </c>
      <c r="J73" s="119">
        <f>J74-I74</f>
        <v>24800</v>
      </c>
      <c r="K73" s="120">
        <f>K74-K72</f>
        <v>0</v>
      </c>
      <c r="M73" s="120">
        <f>M74-M72</f>
        <v>0</v>
      </c>
      <c r="N73" s="117"/>
      <c r="O73" s="120">
        <f>O74-O72</f>
        <v>0</v>
      </c>
    </row>
    <row r="74" spans="1:19" x14ac:dyDescent="0.25">
      <c r="A74" s="111" t="s">
        <v>108</v>
      </c>
      <c r="B74" s="118">
        <v>122500</v>
      </c>
      <c r="C74" s="118">
        <v>138200</v>
      </c>
      <c r="D74" s="118">
        <v>129725</v>
      </c>
      <c r="E74" s="118">
        <f>'[1]2011-2012-2013'!F164</f>
        <v>130466</v>
      </c>
      <c r="F74" s="118">
        <v>142400</v>
      </c>
      <c r="G74" s="118">
        <v>160600</v>
      </c>
      <c r="H74" s="118">
        <v>168937</v>
      </c>
      <c r="I74" s="118">
        <v>184700</v>
      </c>
      <c r="J74" s="118">
        <f>'2015 +5y - #4  March 29, 2016'!X165</f>
        <v>209500</v>
      </c>
      <c r="K74" s="122">
        <f>'2015 +5y - #4  March 29, 2016'!Z165</f>
        <v>209500</v>
      </c>
      <c r="M74" s="122">
        <f>'2015 +5y - #4  March 29, 2016'!AA165</f>
        <v>209500</v>
      </c>
      <c r="N74" s="123"/>
      <c r="O74" s="122">
        <f>'2015 +5y - #4  March 29, 2016'!AB165</f>
        <v>209500</v>
      </c>
    </row>
    <row r="75" spans="1:19" x14ac:dyDescent="0.25">
      <c r="A75" s="111" t="s">
        <v>109</v>
      </c>
      <c r="B75" s="125">
        <v>1.2840000000000001E-2</v>
      </c>
      <c r="C75" s="125">
        <v>1.273E-2</v>
      </c>
      <c r="D75" s="142">
        <v>1.270905E-2</v>
      </c>
      <c r="E75" s="126">
        <f>'[1]2011-2012-2013'!F165</f>
        <v>1.2656240695666537E-2</v>
      </c>
      <c r="F75" s="126">
        <v>1.2577E-2</v>
      </c>
      <c r="G75" s="126">
        <v>1.2644176463262765E-2</v>
      </c>
      <c r="H75" s="126">
        <v>1.2650734718504461E-2</v>
      </c>
      <c r="I75" s="126">
        <v>1.2879591229020031E-2</v>
      </c>
      <c r="J75" s="126">
        <f>'2015 +5y - #4  March 29, 2016'!X166</f>
        <v>1.2653937947494033E-2</v>
      </c>
      <c r="K75" s="135">
        <f>'2015 +5y - #4  March 29, 2016'!Z166</f>
        <v>1.2653937947494033E-2</v>
      </c>
      <c r="M75" s="126">
        <f>'2015 +5y - #4  March 29, 2016'!AA166</f>
        <v>1.2653937947494033E-2</v>
      </c>
      <c r="N75" s="135"/>
      <c r="O75" s="126">
        <f>'2015 +5y - #4  March 29, 2016'!AB166</f>
        <v>1.2814060093073064E-2</v>
      </c>
    </row>
    <row r="76" spans="1:19" x14ac:dyDescent="0.25">
      <c r="A76" s="111" t="s">
        <v>115</v>
      </c>
      <c r="B76" s="129">
        <v>1572.9</v>
      </c>
      <c r="C76" s="129">
        <f t="shared" ref="C76:K76" si="32">C74*C75</f>
        <v>1759.2860000000001</v>
      </c>
      <c r="D76" s="129">
        <f t="shared" si="32"/>
        <v>1648.6815112499999</v>
      </c>
      <c r="E76" s="129">
        <f t="shared" si="32"/>
        <v>1651.2090986008304</v>
      </c>
      <c r="F76" s="129">
        <f t="shared" si="32"/>
        <v>1790.9648</v>
      </c>
      <c r="G76" s="129">
        <f t="shared" si="32"/>
        <v>2030.6547399999999</v>
      </c>
      <c r="H76" s="129">
        <v>2137.1771711399883</v>
      </c>
      <c r="I76" s="129">
        <v>2378.8604999999998</v>
      </c>
      <c r="J76" s="129">
        <f t="shared" ref="J76" si="33">J74*J75</f>
        <v>2651</v>
      </c>
      <c r="K76" s="130">
        <f t="shared" si="32"/>
        <v>2651</v>
      </c>
      <c r="M76" s="131">
        <f t="shared" ref="M76:O76" si="34">M74*M75</f>
        <v>2651</v>
      </c>
      <c r="N76" s="132"/>
      <c r="O76" s="131">
        <f t="shared" si="34"/>
        <v>2684.5455894988067</v>
      </c>
      <c r="P76" s="133"/>
      <c r="Q76" s="133">
        <f>M76*1000</f>
        <v>2651000</v>
      </c>
      <c r="R76" s="133">
        <f>N76*1000</f>
        <v>0</v>
      </c>
      <c r="S76" s="133">
        <f>O76*1000</f>
        <v>2684545.5894988067</v>
      </c>
    </row>
    <row r="77" spans="1:19" x14ac:dyDescent="0.25">
      <c r="J77" s="115"/>
    </row>
    <row r="78" spans="1:19" x14ac:dyDescent="0.25">
      <c r="J78" s="134">
        <f>J44+J37+J29+J21+J13</f>
        <v>29919.800975364727</v>
      </c>
      <c r="K78" s="134">
        <f t="shared" ref="K78:M78" si="35">K44+K37+K29+K21+K13</f>
        <v>31520.012360495042</v>
      </c>
      <c r="L78" s="134"/>
      <c r="M78" s="134">
        <f t="shared" si="35"/>
        <v>33670.738166744006</v>
      </c>
      <c r="N78" s="136"/>
      <c r="O78" s="134">
        <f t="shared" ref="O78" si="36">O44+O37+O29+O21+O13</f>
        <v>35944.236831581831</v>
      </c>
    </row>
    <row r="79" spans="1:19" x14ac:dyDescent="0.25">
      <c r="J79" s="134">
        <f>J76+J68+J60</f>
        <v>6826.5169189769422</v>
      </c>
      <c r="K79" s="134">
        <f t="shared" ref="K79:M79" si="37">K76+K68+K60</f>
        <v>7185.7997831987777</v>
      </c>
      <c r="L79" s="134"/>
      <c r="M79" s="134">
        <f t="shared" si="37"/>
        <v>7511.2814126384965</v>
      </c>
      <c r="N79" s="136"/>
      <c r="O79" s="134">
        <f t="shared" ref="O79" si="38">O76+O68+O60</f>
        <v>8026.4828227367407</v>
      </c>
    </row>
    <row r="80" spans="1:19" x14ac:dyDescent="0.25">
      <c r="J80" s="134">
        <f>SUM(J78:J79)</f>
        <v>36746.317894341671</v>
      </c>
      <c r="K80" s="134">
        <f t="shared" ref="K80:O80" si="39">SUM(K78:K79)</f>
        <v>38705.812143693824</v>
      </c>
      <c r="L80" s="134"/>
      <c r="M80" s="134">
        <f t="shared" si="39"/>
        <v>41182.019579382504</v>
      </c>
      <c r="N80" s="136"/>
      <c r="O80" s="134">
        <f t="shared" si="39"/>
        <v>43970.719654318571</v>
      </c>
    </row>
  </sheetData>
  <pageMargins left="0.7" right="0.45" top="0.75" bottom="0.75" header="0.3" footer="0.3"/>
  <pageSetup scale="77" fitToHeight="4" orientation="portrait" r:id="rId1"/>
  <headerFooter scaleWithDoc="0">
    <oddHeader xml:space="preserve">&amp;CBench Request 10.2  - Attachment A&amp;R
Pro Forma Property Tax Adjustment 3.06 (electric) 
and 3.04 (natural gas)
 </oddHeader>
    <oddFooter>&amp;RPage &amp;P of &amp;N</oddFooter>
  </headerFooter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02"/>
  <sheetViews>
    <sheetView tabSelected="1" view="pageBreakPreview" zoomScaleNormal="100" zoomScaleSheetLayoutView="100" workbookViewId="0">
      <selection activeCell="O20" sqref="O20"/>
    </sheetView>
  </sheetViews>
  <sheetFormatPr defaultRowHeight="12.75" x14ac:dyDescent="0.2"/>
  <cols>
    <col min="1" max="1" width="41.42578125" style="394" customWidth="1"/>
    <col min="2" max="2" width="2.7109375" style="394" hidden="1" customWidth="1"/>
    <col min="3" max="3" width="25.28515625" style="394" hidden="1" customWidth="1"/>
    <col min="4" max="4" width="2.5703125" style="394" hidden="1" customWidth="1"/>
    <col min="5" max="5" width="0.140625" style="394" hidden="1" customWidth="1"/>
    <col min="6" max="6" width="24.7109375" style="394" hidden="1" customWidth="1"/>
    <col min="7" max="7" width="1.5703125" style="394" hidden="1" customWidth="1"/>
    <col min="8" max="8" width="25" style="320" hidden="1" customWidth="1"/>
    <col min="9" max="9" width="1.5703125" style="394" hidden="1" customWidth="1"/>
    <col min="10" max="10" width="24.28515625" style="394" hidden="1" customWidth="1"/>
    <col min="11" max="11" width="27" style="394" hidden="1" customWidth="1"/>
    <col min="12" max="12" width="6.5703125" style="328" hidden="1" customWidth="1"/>
    <col min="13" max="13" width="28.28515625" style="394" hidden="1" customWidth="1"/>
    <col min="14" max="14" width="6.85546875" style="394" hidden="1" customWidth="1"/>
    <col min="15" max="15" width="26.42578125" style="394" hidden="1" customWidth="1"/>
    <col min="16" max="16" width="8" style="394" hidden="1" customWidth="1"/>
    <col min="17" max="17" width="24.140625" style="394" hidden="1" customWidth="1"/>
    <col min="18" max="18" width="5.28515625" style="397" bestFit="1" customWidth="1"/>
    <col min="19" max="19" width="20.85546875" style="394" customWidth="1"/>
    <col min="20" max="20" width="4.7109375" style="394" hidden="1" customWidth="1"/>
    <col min="21" max="21" width="6.7109375" style="397" bestFit="1" customWidth="1"/>
    <col min="22" max="22" width="20.28515625" style="394" customWidth="1"/>
    <col min="23" max="23" width="8" style="394" customWidth="1"/>
    <col min="24" max="24" width="20.7109375" style="394" customWidth="1"/>
    <col min="25" max="25" width="7.140625" style="394" bestFit="1" customWidth="1"/>
    <col min="26" max="27" width="18.42578125" style="394" bestFit="1" customWidth="1"/>
    <col min="28" max="30" width="18.7109375" style="394" hidden="1" customWidth="1"/>
    <col min="31" max="16384" width="9.140625" style="394"/>
  </cols>
  <sheetData>
    <row r="1" spans="1:30" ht="18.75" thickBot="1" x14ac:dyDescent="0.3">
      <c r="I1" s="395"/>
      <c r="J1" s="396"/>
      <c r="K1" s="396"/>
      <c r="L1" s="326"/>
      <c r="M1" s="326"/>
      <c r="N1" s="326"/>
      <c r="O1" s="326"/>
      <c r="P1" s="326"/>
      <c r="T1" s="398"/>
      <c r="U1" s="394"/>
      <c r="V1" s="395"/>
      <c r="W1" s="399" t="s">
        <v>116</v>
      </c>
      <c r="X1" s="400"/>
      <c r="Y1" s="398"/>
    </row>
    <row r="2" spans="1:30" ht="18" x14ac:dyDescent="0.25">
      <c r="I2" s="398"/>
      <c r="J2" s="398"/>
      <c r="K2" s="398"/>
      <c r="L2" s="326"/>
      <c r="M2" s="326"/>
      <c r="N2" s="326"/>
      <c r="O2" s="326"/>
      <c r="P2" s="326"/>
      <c r="Q2" s="398"/>
      <c r="R2" s="401" t="s">
        <v>117</v>
      </c>
      <c r="S2" s="402"/>
      <c r="T2" s="402"/>
      <c r="U2" s="403"/>
      <c r="V2" s="404"/>
      <c r="W2" s="404"/>
      <c r="X2" s="404"/>
      <c r="Y2" s="401"/>
      <c r="Z2" s="401"/>
      <c r="AA2" s="401"/>
    </row>
    <row r="3" spans="1:30" x14ac:dyDescent="0.2">
      <c r="F3" s="405" t="s">
        <v>118</v>
      </c>
      <c r="G3" s="405"/>
      <c r="H3" s="327" t="s">
        <v>118</v>
      </c>
      <c r="I3" s="405"/>
      <c r="J3" s="405" t="s">
        <v>118</v>
      </c>
      <c r="M3" s="405" t="s">
        <v>118</v>
      </c>
      <c r="O3" s="405" t="s">
        <v>118</v>
      </c>
      <c r="Q3" s="405" t="s">
        <v>118</v>
      </c>
      <c r="S3" s="405" t="s">
        <v>118</v>
      </c>
      <c r="T3" s="405"/>
      <c r="U3" s="406"/>
      <c r="V3" s="405" t="s">
        <v>118</v>
      </c>
      <c r="W3" s="405"/>
      <c r="X3" s="405" t="s">
        <v>118</v>
      </c>
      <c r="Y3" s="405"/>
      <c r="Z3" s="405" t="s">
        <v>118</v>
      </c>
      <c r="AA3" s="405" t="s">
        <v>118</v>
      </c>
      <c r="AB3" s="405" t="s">
        <v>118</v>
      </c>
      <c r="AC3" s="405" t="s">
        <v>118</v>
      </c>
      <c r="AD3" s="405" t="s">
        <v>118</v>
      </c>
    </row>
    <row r="4" spans="1:30" x14ac:dyDescent="0.2">
      <c r="A4" s="329" t="s">
        <v>119</v>
      </c>
      <c r="B4" s="144"/>
      <c r="C4" s="143">
        <v>2005</v>
      </c>
      <c r="D4" s="143"/>
      <c r="E4" s="143"/>
      <c r="F4" s="143">
        <v>2006</v>
      </c>
      <c r="G4" s="143"/>
      <c r="H4" s="143">
        <v>2007</v>
      </c>
      <c r="I4" s="144"/>
      <c r="J4" s="143">
        <v>2008</v>
      </c>
      <c r="M4" s="143">
        <v>2009</v>
      </c>
      <c r="O4" s="143">
        <v>2010</v>
      </c>
      <c r="Q4" s="143">
        <v>2011</v>
      </c>
      <c r="S4" s="143">
        <v>2012</v>
      </c>
      <c r="T4" s="143"/>
      <c r="U4" s="145"/>
      <c r="V4" s="143">
        <v>2013</v>
      </c>
      <c r="W4" s="143"/>
      <c r="X4" s="143">
        <v>2014</v>
      </c>
      <c r="Y4" s="143"/>
      <c r="Z4" s="143">
        <v>2015</v>
      </c>
      <c r="AA4" s="143">
        <v>2016</v>
      </c>
      <c r="AB4" s="143">
        <v>2017</v>
      </c>
      <c r="AC4" s="143">
        <v>2018</v>
      </c>
      <c r="AD4" s="143">
        <v>2019</v>
      </c>
    </row>
    <row r="5" spans="1:30" x14ac:dyDescent="0.2">
      <c r="A5" s="329" t="s">
        <v>120</v>
      </c>
      <c r="B5" s="147"/>
      <c r="C5" s="146">
        <v>2006</v>
      </c>
      <c r="D5" s="146"/>
      <c r="E5" s="146"/>
      <c r="F5" s="146">
        <v>2007</v>
      </c>
      <c r="G5" s="146"/>
      <c r="H5" s="146">
        <v>2008</v>
      </c>
      <c r="I5" s="147"/>
      <c r="J5" s="146">
        <v>2009</v>
      </c>
      <c r="M5" s="146">
        <v>2010</v>
      </c>
      <c r="O5" s="146">
        <v>2011</v>
      </c>
      <c r="Q5" s="146">
        <v>2012</v>
      </c>
      <c r="S5" s="146">
        <v>2013</v>
      </c>
      <c r="T5" s="146"/>
      <c r="U5" s="148"/>
      <c r="V5" s="146">
        <v>2014</v>
      </c>
      <c r="W5" s="146"/>
      <c r="X5" s="146">
        <v>2015</v>
      </c>
      <c r="Y5" s="146"/>
      <c r="Z5" s="146">
        <v>2016</v>
      </c>
      <c r="AA5" s="146">
        <v>2017</v>
      </c>
      <c r="AB5" s="146">
        <v>2018</v>
      </c>
      <c r="AC5" s="146">
        <v>2019</v>
      </c>
      <c r="AD5" s="146">
        <v>2020</v>
      </c>
    </row>
    <row r="6" spans="1:30" x14ac:dyDescent="0.2">
      <c r="A6" s="330" t="s">
        <v>121</v>
      </c>
      <c r="B6" s="150"/>
      <c r="C6" s="149">
        <v>2006</v>
      </c>
      <c r="D6" s="149"/>
      <c r="E6" s="149"/>
      <c r="F6" s="149">
        <v>2007</v>
      </c>
      <c r="G6" s="149"/>
      <c r="H6" s="149">
        <v>2008</v>
      </c>
      <c r="I6" s="150"/>
      <c r="J6" s="149">
        <v>2009</v>
      </c>
      <c r="M6" s="149">
        <v>2010</v>
      </c>
      <c r="O6" s="149">
        <v>2011</v>
      </c>
      <c r="Q6" s="149">
        <v>2012</v>
      </c>
      <c r="S6" s="149">
        <v>2013</v>
      </c>
      <c r="T6" s="149"/>
      <c r="U6" s="151"/>
      <c r="V6" s="149">
        <v>2014</v>
      </c>
      <c r="W6" s="149"/>
      <c r="X6" s="149">
        <v>2015</v>
      </c>
      <c r="Y6" s="149"/>
      <c r="Z6" s="149">
        <v>2016</v>
      </c>
      <c r="AA6" s="149">
        <v>2017</v>
      </c>
      <c r="AB6" s="149">
        <v>2018</v>
      </c>
      <c r="AC6" s="149">
        <v>2019</v>
      </c>
      <c r="AD6" s="149">
        <v>2020</v>
      </c>
    </row>
    <row r="7" spans="1:30" x14ac:dyDescent="0.2">
      <c r="A7" s="331" t="s">
        <v>122</v>
      </c>
      <c r="B7" s="332"/>
      <c r="C7" s="152" t="s">
        <v>123</v>
      </c>
      <c r="D7" s="152"/>
      <c r="E7" s="152"/>
      <c r="F7" s="143" t="s">
        <v>124</v>
      </c>
      <c r="G7" s="143"/>
      <c r="H7" s="143" t="s">
        <v>125</v>
      </c>
      <c r="I7" s="144"/>
      <c r="J7" s="143" t="s">
        <v>126</v>
      </c>
      <c r="M7" s="143" t="s">
        <v>127</v>
      </c>
      <c r="O7" s="143" t="s">
        <v>128</v>
      </c>
      <c r="Q7" s="143" t="s">
        <v>129</v>
      </c>
      <c r="S7" s="143" t="s">
        <v>130</v>
      </c>
      <c r="T7" s="143"/>
      <c r="U7" s="145"/>
      <c r="V7" s="143" t="s">
        <v>131</v>
      </c>
      <c r="W7" s="143"/>
      <c r="X7" s="152" t="s">
        <v>132</v>
      </c>
      <c r="Y7" s="152"/>
      <c r="Z7" s="152" t="s">
        <v>133</v>
      </c>
      <c r="AA7" s="152" t="s">
        <v>134</v>
      </c>
      <c r="AB7" s="152" t="s">
        <v>135</v>
      </c>
      <c r="AC7" s="152" t="s">
        <v>136</v>
      </c>
      <c r="AD7" s="152" t="s">
        <v>137</v>
      </c>
    </row>
    <row r="8" spans="1:30" x14ac:dyDescent="0.2">
      <c r="A8" s="333"/>
      <c r="B8" s="154"/>
      <c r="C8" s="153"/>
      <c r="D8" s="153"/>
      <c r="E8" s="153"/>
      <c r="F8" s="153"/>
      <c r="G8" s="153"/>
      <c r="H8" s="153"/>
      <c r="I8" s="154"/>
      <c r="J8" s="153"/>
      <c r="M8" s="153"/>
      <c r="O8" s="153"/>
      <c r="Q8" s="153"/>
      <c r="S8" s="153"/>
      <c r="T8" s="153"/>
      <c r="U8" s="155"/>
      <c r="V8" s="153"/>
      <c r="W8" s="153"/>
      <c r="X8" s="153"/>
      <c r="Y8" s="153"/>
      <c r="Z8" s="153"/>
      <c r="AA8" s="153"/>
      <c r="AB8" s="153"/>
      <c r="AC8" s="153"/>
      <c r="AD8" s="153"/>
    </row>
    <row r="9" spans="1:30" x14ac:dyDescent="0.2">
      <c r="A9" s="166"/>
      <c r="B9" s="334"/>
      <c r="C9" s="156" t="s">
        <v>138</v>
      </c>
      <c r="D9" s="267"/>
      <c r="E9" s="267"/>
      <c r="F9" s="156" t="s">
        <v>139</v>
      </c>
      <c r="G9" s="156"/>
      <c r="H9" s="156" t="s">
        <v>140</v>
      </c>
      <c r="I9" s="157"/>
      <c r="J9" s="156" t="s">
        <v>141</v>
      </c>
      <c r="M9" s="156" t="s">
        <v>142</v>
      </c>
      <c r="O9" s="156" t="s">
        <v>143</v>
      </c>
      <c r="Q9" s="156" t="s">
        <v>144</v>
      </c>
      <c r="S9" s="156" t="s">
        <v>145</v>
      </c>
      <c r="T9" s="156"/>
      <c r="U9" s="407"/>
      <c r="V9" s="156" t="s">
        <v>146</v>
      </c>
      <c r="W9" s="156"/>
      <c r="X9" s="156" t="s">
        <v>147</v>
      </c>
      <c r="Y9" s="156"/>
      <c r="Z9" s="156" t="s">
        <v>260</v>
      </c>
      <c r="AA9" s="156" t="s">
        <v>261</v>
      </c>
      <c r="AB9" s="156" t="s">
        <v>148</v>
      </c>
      <c r="AC9" s="156" t="s">
        <v>149</v>
      </c>
      <c r="AD9" s="156" t="s">
        <v>150</v>
      </c>
    </row>
    <row r="10" spans="1:30" ht="19.5" x14ac:dyDescent="0.35">
      <c r="A10" s="335" t="s">
        <v>151</v>
      </c>
      <c r="B10" s="159"/>
      <c r="C10" s="158" t="s">
        <v>152</v>
      </c>
      <c r="D10" s="158"/>
      <c r="E10" s="158"/>
      <c r="F10" s="160"/>
      <c r="G10" s="160"/>
      <c r="H10" s="158"/>
      <c r="I10" s="159"/>
      <c r="J10" s="160"/>
      <c r="M10" s="336"/>
      <c r="O10" s="158"/>
      <c r="Q10" s="160"/>
      <c r="S10" s="160"/>
      <c r="T10" s="160"/>
      <c r="U10" s="161"/>
      <c r="V10" s="158"/>
      <c r="W10" s="158"/>
      <c r="X10" s="146"/>
      <c r="Y10" s="146"/>
      <c r="Z10" s="146"/>
      <c r="AA10" s="146"/>
      <c r="AB10" s="146"/>
      <c r="AC10" s="146"/>
      <c r="AD10" s="146"/>
    </row>
    <row r="11" spans="1:30" x14ac:dyDescent="0.2">
      <c r="A11" s="166"/>
      <c r="B11" s="159"/>
      <c r="C11" s="158" t="s">
        <v>153</v>
      </c>
      <c r="D11" s="158"/>
      <c r="E11" s="158"/>
      <c r="F11" s="162"/>
      <c r="G11" s="162"/>
      <c r="H11" s="146"/>
      <c r="I11" s="159"/>
      <c r="J11" s="162"/>
      <c r="M11" s="146"/>
      <c r="O11" s="146"/>
      <c r="Q11" s="162"/>
      <c r="S11" s="162"/>
      <c r="T11" s="162"/>
      <c r="U11" s="148"/>
      <c r="V11" s="146"/>
      <c r="W11" s="146"/>
      <c r="X11" s="149"/>
      <c r="Y11" s="149"/>
      <c r="Z11" s="146"/>
      <c r="AA11" s="146"/>
      <c r="AB11" s="146"/>
      <c r="AC11" s="146"/>
      <c r="AD11" s="146"/>
    </row>
    <row r="12" spans="1:30" x14ac:dyDescent="0.2">
      <c r="A12" s="166" t="s">
        <v>154</v>
      </c>
      <c r="B12" s="164"/>
      <c r="C12" s="163">
        <v>1500000</v>
      </c>
      <c r="D12" s="179"/>
      <c r="E12" s="179"/>
      <c r="F12" s="163">
        <v>1400000</v>
      </c>
      <c r="G12" s="163"/>
      <c r="H12" s="163">
        <f>541979/0.9935/0.447279</f>
        <v>1219652.4136557472</v>
      </c>
      <c r="I12" s="164"/>
      <c r="J12" s="163">
        <v>1100000</v>
      </c>
      <c r="M12" s="163">
        <v>1400000</v>
      </c>
      <c r="O12" s="163">
        <v>1600000</v>
      </c>
      <c r="Q12" s="163">
        <v>1700000</v>
      </c>
      <c r="S12" s="163">
        <v>1800000</v>
      </c>
      <c r="T12" s="163"/>
      <c r="U12" s="408"/>
      <c r="V12" s="163">
        <v>2000000</v>
      </c>
      <c r="W12" s="179"/>
      <c r="X12" s="165">
        <v>2275000</v>
      </c>
      <c r="Y12" s="165"/>
      <c r="Z12" s="179">
        <f>SUM(X12:X18)</f>
        <v>2275000</v>
      </c>
      <c r="AA12" s="179">
        <f>SUM(Z12:Z18)</f>
        <v>2408128.5860000001</v>
      </c>
      <c r="AB12" s="179">
        <f t="shared" ref="AB12:AD12" si="0">SUM(AA12:AA18)</f>
        <v>2586218.85</v>
      </c>
      <c r="AC12" s="179">
        <f t="shared" si="0"/>
        <v>2749820.071</v>
      </c>
      <c r="AD12" s="179">
        <f t="shared" si="0"/>
        <v>2877946.6380000003</v>
      </c>
    </row>
    <row r="13" spans="1:30" x14ac:dyDescent="0.2">
      <c r="A13" s="166" t="s">
        <v>155</v>
      </c>
      <c r="B13" s="164"/>
      <c r="C13" s="163">
        <v>0</v>
      </c>
      <c r="D13" s="179"/>
      <c r="E13" s="179"/>
      <c r="F13" s="179">
        <v>0</v>
      </c>
      <c r="G13" s="179"/>
      <c r="H13" s="179"/>
      <c r="I13" s="164"/>
      <c r="J13" s="163"/>
      <c r="M13" s="179"/>
      <c r="O13" s="179"/>
      <c r="Q13" s="163"/>
      <c r="S13" s="163"/>
      <c r="T13" s="163"/>
      <c r="U13" s="408"/>
      <c r="V13" s="179"/>
      <c r="W13" s="179"/>
      <c r="X13" s="165"/>
      <c r="Y13" s="165"/>
      <c r="Z13" s="179"/>
      <c r="AA13" s="179"/>
      <c r="AB13" s="179"/>
      <c r="AC13" s="179"/>
      <c r="AD13" s="179"/>
    </row>
    <row r="14" spans="1:30" x14ac:dyDescent="0.2">
      <c r="A14" s="166" t="s">
        <v>156</v>
      </c>
      <c r="B14" s="164"/>
      <c r="C14" s="163">
        <v>0</v>
      </c>
      <c r="D14" s="179"/>
      <c r="E14" s="179"/>
      <c r="F14" s="179">
        <v>0</v>
      </c>
      <c r="G14" s="179"/>
      <c r="H14" s="163">
        <v>0</v>
      </c>
      <c r="I14" s="167"/>
      <c r="J14" s="163"/>
      <c r="K14" s="394" t="s">
        <v>157</v>
      </c>
      <c r="M14" s="163"/>
      <c r="O14" s="179"/>
      <c r="Q14" s="163"/>
      <c r="S14" s="179"/>
      <c r="T14" s="179"/>
      <c r="U14" s="408"/>
      <c r="V14" s="179"/>
      <c r="W14" s="179"/>
      <c r="X14" s="165"/>
      <c r="Y14" s="165"/>
      <c r="Z14" s="179">
        <v>338100.06699999998</v>
      </c>
      <c r="AA14" s="179">
        <v>310837.11200000002</v>
      </c>
      <c r="AB14" s="179">
        <v>344411.16399999999</v>
      </c>
      <c r="AC14" s="179">
        <v>271186.56599999999</v>
      </c>
      <c r="AD14" s="179">
        <v>279384.51500000001</v>
      </c>
    </row>
    <row r="15" spans="1:30" x14ac:dyDescent="0.2">
      <c r="A15" s="166" t="s">
        <v>158</v>
      </c>
      <c r="B15" s="164"/>
      <c r="C15" s="163"/>
      <c r="D15" s="179"/>
      <c r="E15" s="179"/>
      <c r="F15" s="179"/>
      <c r="G15" s="179"/>
      <c r="H15" s="163"/>
      <c r="I15" s="167"/>
      <c r="J15" s="163"/>
      <c r="K15" s="394" t="s">
        <v>157</v>
      </c>
      <c r="M15" s="163"/>
      <c r="O15" s="179"/>
      <c r="Q15" s="163"/>
      <c r="S15" s="179"/>
      <c r="T15" s="179"/>
      <c r="U15" s="408"/>
      <c r="V15" s="179"/>
      <c r="W15" s="179"/>
      <c r="X15" s="165"/>
      <c r="Y15" s="165"/>
      <c r="Z15" s="179">
        <f>1604.4-12539.179-93118.757</f>
        <v>-104053.53599999999</v>
      </c>
      <c r="AA15" s="179">
        <f>-31087.348</f>
        <v>-31087.348000000002</v>
      </c>
      <c r="AB15" s="179">
        <f>-77109.944</f>
        <v>-77109.944000000003</v>
      </c>
      <c r="AC15" s="179">
        <f>-39360</f>
        <v>-39360</v>
      </c>
      <c r="AD15" s="179">
        <f>-68510</f>
        <v>-68510</v>
      </c>
    </row>
    <row r="16" spans="1:30" x14ac:dyDescent="0.2">
      <c r="A16" s="166" t="s">
        <v>159</v>
      </c>
      <c r="B16" s="164"/>
      <c r="C16" s="163"/>
      <c r="D16" s="179"/>
      <c r="E16" s="179"/>
      <c r="F16" s="179"/>
      <c r="G16" s="179"/>
      <c r="H16" s="163"/>
      <c r="I16" s="167"/>
      <c r="J16" s="163"/>
      <c r="K16" s="394" t="s">
        <v>157</v>
      </c>
      <c r="M16" s="163"/>
      <c r="O16" s="179"/>
      <c r="Q16" s="163"/>
      <c r="S16" s="179"/>
      <c r="T16" s="179"/>
      <c r="U16" s="408"/>
      <c r="V16" s="179"/>
      <c r="W16" s="179"/>
      <c r="X16" s="165"/>
      <c r="Y16" s="165"/>
      <c r="Z16" s="179"/>
      <c r="AA16" s="179"/>
      <c r="AB16" s="179"/>
      <c r="AC16" s="179"/>
      <c r="AD16" s="179"/>
    </row>
    <row r="17" spans="1:30" x14ac:dyDescent="0.2">
      <c r="A17" s="166" t="s">
        <v>160</v>
      </c>
      <c r="B17" s="164"/>
      <c r="C17" s="163"/>
      <c r="D17" s="179"/>
      <c r="E17" s="179"/>
      <c r="F17" s="179"/>
      <c r="G17" s="179"/>
      <c r="H17" s="163"/>
      <c r="I17" s="167"/>
      <c r="J17" s="163"/>
      <c r="K17" s="394" t="s">
        <v>157</v>
      </c>
      <c r="M17" s="163"/>
      <c r="O17" s="179"/>
      <c r="Q17" s="163"/>
      <c r="S17" s="179"/>
      <c r="T17" s="179"/>
      <c r="U17" s="408"/>
      <c r="V17" s="179"/>
      <c r="W17" s="179"/>
      <c r="X17" s="165"/>
      <c r="Y17" s="165"/>
      <c r="Z17" s="179">
        <v>-5022.8149999999996</v>
      </c>
      <c r="AA17" s="179">
        <v>-5659.5</v>
      </c>
      <c r="AB17" s="179">
        <v>-7699.9989999999998</v>
      </c>
      <c r="AC17" s="179">
        <v>-7699.9989999999998</v>
      </c>
      <c r="AD17" s="179">
        <v>-7700</v>
      </c>
    </row>
    <row r="18" spans="1:30" x14ac:dyDescent="0.2">
      <c r="A18" s="166" t="s">
        <v>161</v>
      </c>
      <c r="B18" s="164"/>
      <c r="C18" s="163">
        <v>0</v>
      </c>
      <c r="D18" s="179"/>
      <c r="E18" s="179"/>
      <c r="F18" s="179">
        <v>0</v>
      </c>
      <c r="G18" s="179"/>
      <c r="H18" s="163">
        <v>0</v>
      </c>
      <c r="I18" s="164"/>
      <c r="J18" s="176"/>
      <c r="K18" s="394" t="s">
        <v>162</v>
      </c>
      <c r="M18" s="176"/>
      <c r="O18" s="212"/>
      <c r="Q18" s="176"/>
      <c r="S18" s="212"/>
      <c r="T18" s="212"/>
      <c r="U18" s="409"/>
      <c r="V18" s="212"/>
      <c r="W18" s="212"/>
      <c r="X18" s="168"/>
      <c r="Y18" s="168"/>
      <c r="Z18" s="212">
        <v>-95895.13</v>
      </c>
      <c r="AA18" s="212">
        <v>-96000</v>
      </c>
      <c r="AB18" s="212">
        <v>-96000</v>
      </c>
      <c r="AC18" s="212">
        <v>-96000</v>
      </c>
      <c r="AD18" s="212">
        <v>-96000</v>
      </c>
    </row>
    <row r="19" spans="1:30" x14ac:dyDescent="0.2">
      <c r="A19" s="166" t="s">
        <v>163</v>
      </c>
      <c r="B19" s="170"/>
      <c r="C19" s="169">
        <v>0.93287100000000001</v>
      </c>
      <c r="D19" s="179"/>
      <c r="E19" s="179"/>
      <c r="F19" s="169">
        <v>0.97629999999999995</v>
      </c>
      <c r="G19" s="169"/>
      <c r="H19" s="169"/>
      <c r="I19" s="170"/>
      <c r="J19" s="169">
        <v>0.97777000000000003</v>
      </c>
      <c r="M19" s="169">
        <v>0.96753500000000003</v>
      </c>
      <c r="O19" s="169">
        <v>0.96154600000000001</v>
      </c>
      <c r="Q19" s="169">
        <v>0.95345100000000005</v>
      </c>
      <c r="S19" s="169">
        <v>0.95927200000000001</v>
      </c>
      <c r="T19" s="169"/>
      <c r="U19" s="408"/>
      <c r="V19" s="337">
        <f>962461349/997330000</f>
        <v>0.96503800046123145</v>
      </c>
      <c r="W19" s="196"/>
      <c r="X19" s="171">
        <f>1154211.157/1180295.025</f>
        <v>0.97790055244874052</v>
      </c>
      <c r="Y19" s="171"/>
      <c r="Z19" s="196">
        <f>SUM(X19)</f>
        <v>0.97790055244874052</v>
      </c>
      <c r="AA19" s="196">
        <f t="shared" ref="AA19:AD20" si="1">SUM(Z19)</f>
        <v>0.97790055244874052</v>
      </c>
      <c r="AB19" s="196">
        <f t="shared" si="1"/>
        <v>0.97790055244874052</v>
      </c>
      <c r="AC19" s="196">
        <f t="shared" si="1"/>
        <v>0.97790055244874052</v>
      </c>
      <c r="AD19" s="196">
        <f t="shared" si="1"/>
        <v>0.97790055244874052</v>
      </c>
    </row>
    <row r="20" spans="1:30" x14ac:dyDescent="0.2">
      <c r="A20" s="166" t="s">
        <v>164</v>
      </c>
      <c r="B20" s="174"/>
      <c r="C20" s="172">
        <v>0.44449899999999998</v>
      </c>
      <c r="D20" s="173"/>
      <c r="E20" s="173"/>
      <c r="F20" s="172">
        <v>0.45176500000000003</v>
      </c>
      <c r="G20" s="172"/>
      <c r="H20" s="172"/>
      <c r="I20" s="174"/>
      <c r="J20" s="172">
        <v>0.450517</v>
      </c>
      <c r="M20" s="172">
        <v>0.45469100000000001</v>
      </c>
      <c r="O20" s="172">
        <v>0.464889</v>
      </c>
      <c r="Q20" s="172">
        <v>0.46240399999999998</v>
      </c>
      <c r="S20" s="172">
        <v>0.47619</v>
      </c>
      <c r="T20" s="172"/>
      <c r="U20" s="410"/>
      <c r="V20" s="338">
        <f>997330000/2000000000</f>
        <v>0.49866500000000002</v>
      </c>
      <c r="W20" s="173"/>
      <c r="X20" s="175">
        <f>1180295.025/2275000</f>
        <v>0.51881099999999991</v>
      </c>
      <c r="Y20" s="175"/>
      <c r="Z20" s="173">
        <f>SUM(X20)</f>
        <v>0.51881099999999991</v>
      </c>
      <c r="AA20" s="173">
        <f t="shared" si="1"/>
        <v>0.51881099999999991</v>
      </c>
      <c r="AB20" s="173">
        <f t="shared" si="1"/>
        <v>0.51881099999999991</v>
      </c>
      <c r="AC20" s="173">
        <f t="shared" si="1"/>
        <v>0.51881099999999991</v>
      </c>
      <c r="AD20" s="173">
        <f t="shared" si="1"/>
        <v>0.51881099999999991</v>
      </c>
    </row>
    <row r="21" spans="1:30" x14ac:dyDescent="0.2">
      <c r="A21" s="166" t="s">
        <v>165</v>
      </c>
      <c r="B21" s="167"/>
      <c r="C21" s="163">
        <f>SUM((C12+C13+C14+C18)*C19*C20)</f>
        <v>621990.3399435</v>
      </c>
      <c r="D21" s="163"/>
      <c r="E21" s="163"/>
      <c r="F21" s="163">
        <f>SUM((F12+F13+F14+F18)*F19*F20)</f>
        <v>617481.43729999999</v>
      </c>
      <c r="G21" s="163"/>
      <c r="H21" s="163">
        <v>541979</v>
      </c>
      <c r="I21" s="167"/>
      <c r="J21" s="163">
        <f>SUM(J12*J19*J20)</f>
        <v>484552.20779900003</v>
      </c>
      <c r="M21" s="163">
        <f>SUM(M12:M18)*M19*M20</f>
        <v>615901.239359</v>
      </c>
      <c r="O21" s="163">
        <f>SUM(O12:O18)*O19*O20</f>
        <v>715219.4534304</v>
      </c>
      <c r="Q21" s="163">
        <f t="shared" ref="Q21:S21" si="2">SUM(Q12:Q18)*Q19*Q20</f>
        <v>749495.24554680008</v>
      </c>
      <c r="S21" s="163">
        <f t="shared" si="2"/>
        <v>822232.32062400004</v>
      </c>
      <c r="T21" s="163"/>
      <c r="U21" s="408"/>
      <c r="V21" s="163">
        <f t="shared" ref="V21:X21" si="3">SUM(V12:V18)*V19*V20</f>
        <v>962461.34900000005</v>
      </c>
      <c r="W21" s="179"/>
      <c r="X21" s="165">
        <f t="shared" si="3"/>
        <v>1154211.1569999997</v>
      </c>
      <c r="Y21" s="165"/>
      <c r="Z21" s="179">
        <f t="shared" ref="Z21:AD21" si="4">SUM(Z12:Z18)*Z19*Z20</f>
        <v>1221753.3544843227</v>
      </c>
      <c r="AA21" s="179">
        <f t="shared" si="4"/>
        <v>1312106.6598302019</v>
      </c>
      <c r="AB21" s="179">
        <f t="shared" si="4"/>
        <v>1395109.0134904315</v>
      </c>
      <c r="AC21" s="179">
        <f t="shared" si="4"/>
        <v>1460113.458826479</v>
      </c>
      <c r="AD21" s="179">
        <f t="shared" si="4"/>
        <v>1514487.9735337601</v>
      </c>
    </row>
    <row r="22" spans="1:30" x14ac:dyDescent="0.2">
      <c r="A22" s="166" t="s">
        <v>166</v>
      </c>
      <c r="B22" s="164"/>
      <c r="C22" s="176">
        <v>208</v>
      </c>
      <c r="D22" s="179"/>
      <c r="E22" s="179"/>
      <c r="F22" s="176">
        <v>288</v>
      </c>
      <c r="G22" s="176"/>
      <c r="H22" s="176">
        <v>284</v>
      </c>
      <c r="I22" s="164"/>
      <c r="J22" s="176">
        <f>478179-484552</f>
        <v>-6373</v>
      </c>
      <c r="M22" s="176">
        <v>284</v>
      </c>
      <c r="O22" s="176">
        <v>284</v>
      </c>
      <c r="Q22" s="176">
        <v>442</v>
      </c>
      <c r="S22" s="163"/>
      <c r="T22" s="163"/>
      <c r="U22" s="408"/>
      <c r="V22" s="163"/>
      <c r="W22" s="179"/>
      <c r="X22" s="165">
        <v>101.197</v>
      </c>
      <c r="Y22" s="165"/>
      <c r="Z22" s="179"/>
      <c r="AA22" s="179"/>
      <c r="AB22" s="179"/>
      <c r="AC22" s="179"/>
      <c r="AD22" s="179"/>
    </row>
    <row r="23" spans="1:30" x14ac:dyDescent="0.2">
      <c r="A23" s="166" t="s">
        <v>167</v>
      </c>
      <c r="B23" s="164"/>
      <c r="C23" s="163">
        <f>SUM(C21:C22)</f>
        <v>622198.3399435</v>
      </c>
      <c r="D23" s="179"/>
      <c r="E23" s="179"/>
      <c r="F23" s="163">
        <f>SUM(F21:F22)</f>
        <v>617769.43729999999</v>
      </c>
      <c r="G23" s="163"/>
      <c r="H23" s="163">
        <f>SUM(H21:H22)</f>
        <v>542263</v>
      </c>
      <c r="I23" s="164"/>
      <c r="J23" s="163">
        <f>SUM(J21:J22)</f>
        <v>478179.20779900003</v>
      </c>
      <c r="M23" s="163">
        <f>SUM(M21:M22)</f>
        <v>616185.239359</v>
      </c>
      <c r="O23" s="163">
        <f>SUM(O21:O22)</f>
        <v>715503.4534304</v>
      </c>
      <c r="Q23" s="163">
        <f>SUM(Q21:Q22)</f>
        <v>749937.24554680008</v>
      </c>
      <c r="S23" s="163">
        <f t="shared" ref="S23" si="5">SUM(S21)</f>
        <v>822232.32062400004</v>
      </c>
      <c r="T23" s="163"/>
      <c r="U23" s="408"/>
      <c r="V23" s="163">
        <f t="shared" ref="V23:AA23" si="6">SUM(V21)</f>
        <v>962461.34900000005</v>
      </c>
      <c r="W23" s="179"/>
      <c r="X23" s="165">
        <f>SUM(X21:X22)</f>
        <v>1154312.3539999996</v>
      </c>
      <c r="Y23" s="165"/>
      <c r="Z23" s="179">
        <f t="shared" si="6"/>
        <v>1221753.3544843227</v>
      </c>
      <c r="AA23" s="179">
        <f t="shared" si="6"/>
        <v>1312106.6598302019</v>
      </c>
      <c r="AB23" s="179">
        <f t="shared" ref="AB23:AD23" si="7">SUM(AB21)</f>
        <v>1395109.0134904315</v>
      </c>
      <c r="AC23" s="179">
        <f t="shared" si="7"/>
        <v>1460113.458826479</v>
      </c>
      <c r="AD23" s="179">
        <f t="shared" si="7"/>
        <v>1514487.9735337601</v>
      </c>
    </row>
    <row r="24" spans="1:30" x14ac:dyDescent="0.2">
      <c r="A24" s="166" t="s">
        <v>168</v>
      </c>
      <c r="B24" s="178"/>
      <c r="C24" s="177">
        <f>545354.27/622198</f>
        <v>0.87649634039325108</v>
      </c>
      <c r="D24" s="339"/>
      <c r="E24" s="339"/>
      <c r="F24" s="177">
        <f>531429.154/617769</f>
        <v>0.86023927066589612</v>
      </c>
      <c r="G24" s="177"/>
      <c r="H24" s="177">
        <f>SUM(H25/H23)</f>
        <v>0.87198647150921227</v>
      </c>
      <c r="I24" s="178"/>
      <c r="J24" s="177">
        <f>426214631/478179000</f>
        <v>0.89132862589114115</v>
      </c>
      <c r="M24" s="177">
        <f>553299.594/616185</f>
        <v>0.89794395189756326</v>
      </c>
      <c r="O24" s="177">
        <f>SUM(O25/O23)</f>
        <v>0.9021516344963243</v>
      </c>
      <c r="Q24" s="177">
        <f>681556573/749937000</f>
        <v>0.90881843808213225</v>
      </c>
      <c r="S24" s="216">
        <f>765508.488/822232</f>
        <v>0.93101276525360244</v>
      </c>
      <c r="T24" s="216"/>
      <c r="U24" s="409"/>
      <c r="V24" s="177">
        <f>898630/V23</f>
        <v>0.93367905208212154</v>
      </c>
      <c r="W24" s="339"/>
      <c r="X24" s="177">
        <f>1070854.593/X23</f>
        <v>0.92769915291056526</v>
      </c>
      <c r="Y24" s="339"/>
      <c r="Z24" s="339">
        <f>SUM(X24)</f>
        <v>0.92769915291056526</v>
      </c>
      <c r="AA24" s="339">
        <f t="shared" ref="AA24:AD24" si="8">SUM(Z24)</f>
        <v>0.92769915291056526</v>
      </c>
      <c r="AB24" s="339">
        <f t="shared" si="8"/>
        <v>0.92769915291056526</v>
      </c>
      <c r="AC24" s="339">
        <f t="shared" si="8"/>
        <v>0.92769915291056526</v>
      </c>
      <c r="AD24" s="339">
        <f t="shared" si="8"/>
        <v>0.92769915291056526</v>
      </c>
    </row>
    <row r="25" spans="1:30" x14ac:dyDescent="0.2">
      <c r="A25" s="166" t="s">
        <v>169</v>
      </c>
      <c r="B25" s="164"/>
      <c r="C25" s="163">
        <f>SUM(C23*C24)</f>
        <v>545354.56795923377</v>
      </c>
      <c r="D25" s="179"/>
      <c r="E25" s="179"/>
      <c r="F25" s="163">
        <f>SUM(F23*F24)</f>
        <v>531429.53018263308</v>
      </c>
      <c r="G25" s="163"/>
      <c r="H25" s="163">
        <v>472846</v>
      </c>
      <c r="I25" s="164"/>
      <c r="J25" s="163">
        <f>SUM(J23*J24)</f>
        <v>426214.81621719716</v>
      </c>
      <c r="M25" s="163">
        <f>SUM(M23*M24)</f>
        <v>553299.80893096642</v>
      </c>
      <c r="O25" s="163">
        <v>645492.61</v>
      </c>
      <c r="Q25" s="163">
        <f t="shared" ref="Q25:S25" si="9">SUM(Q23*Q24)</f>
        <v>681556.79615745938</v>
      </c>
      <c r="S25" s="163">
        <f t="shared" si="9"/>
        <v>765508.78650503687</v>
      </c>
      <c r="T25" s="163"/>
      <c r="U25" s="408"/>
      <c r="V25" s="163">
        <f t="shared" ref="V25:AD25" si="10">SUM(V23*V24)</f>
        <v>898630</v>
      </c>
      <c r="W25" s="179"/>
      <c r="X25" s="163">
        <f t="shared" si="10"/>
        <v>1070854.5930000001</v>
      </c>
      <c r="Y25" s="179"/>
      <c r="Z25" s="179">
        <f t="shared" si="10"/>
        <v>1133419.5520207477</v>
      </c>
      <c r="AA25" s="179">
        <f t="shared" si="10"/>
        <v>1217240.2368527895</v>
      </c>
      <c r="AB25" s="179">
        <f t="shared" si="10"/>
        <v>1294241.4500329676</v>
      </c>
      <c r="AC25" s="179">
        <f t="shared" si="10"/>
        <v>1354546.0189066401</v>
      </c>
      <c r="AD25" s="179">
        <f t="shared" si="10"/>
        <v>1404989.2101405079</v>
      </c>
    </row>
    <row r="26" spans="1:30" x14ac:dyDescent="0.2">
      <c r="A26" s="166" t="s">
        <v>170</v>
      </c>
      <c r="B26" s="164"/>
      <c r="C26" s="163"/>
      <c r="D26" s="179"/>
      <c r="E26" s="179"/>
      <c r="F26" s="179"/>
      <c r="G26" s="179"/>
      <c r="H26" s="163">
        <v>0</v>
      </c>
      <c r="I26" s="164"/>
      <c r="J26" s="163">
        <v>0</v>
      </c>
      <c r="M26" s="163">
        <v>0</v>
      </c>
      <c r="O26" s="163">
        <v>0</v>
      </c>
      <c r="Q26" s="163">
        <v>0</v>
      </c>
      <c r="S26" s="163">
        <v>0</v>
      </c>
      <c r="T26" s="163"/>
      <c r="U26" s="408"/>
      <c r="V26" s="179">
        <v>0</v>
      </c>
      <c r="W26" s="179"/>
      <c r="X26" s="163">
        <v>0</v>
      </c>
      <c r="Y26" s="179"/>
      <c r="Z26" s="179">
        <v>0</v>
      </c>
      <c r="AA26" s="179">
        <v>0</v>
      </c>
      <c r="AB26" s="179">
        <v>0</v>
      </c>
      <c r="AC26" s="179">
        <v>0</v>
      </c>
      <c r="AD26" s="179">
        <v>0</v>
      </c>
    </row>
    <row r="27" spans="1:30" x14ac:dyDescent="0.2">
      <c r="A27" s="166"/>
      <c r="B27" s="182"/>
      <c r="C27" s="180">
        <f>SUM(C25:C26)</f>
        <v>545354.56795923377</v>
      </c>
      <c r="D27" s="181"/>
      <c r="E27" s="181"/>
      <c r="F27" s="180">
        <f>SUM(F25:F26)</f>
        <v>531429.53018263308</v>
      </c>
      <c r="G27" s="181"/>
      <c r="H27" s="180">
        <f>SUM(H25:H26)</f>
        <v>472846</v>
      </c>
      <c r="I27" s="182"/>
      <c r="J27" s="180">
        <f>SUM(J25:J26)</f>
        <v>426214.81621719716</v>
      </c>
      <c r="M27" s="180">
        <f>SUM(M25:M26)</f>
        <v>553299.80893096642</v>
      </c>
      <c r="O27" s="180">
        <f>SUM(O25:O26)</f>
        <v>645492.61</v>
      </c>
      <c r="Q27" s="180">
        <f t="shared" ref="Q27:S27" si="11">SUM(Q25:Q26)</f>
        <v>681556.79615745938</v>
      </c>
      <c r="S27" s="180">
        <f t="shared" si="11"/>
        <v>765508.78650503687</v>
      </c>
      <c r="T27" s="180"/>
      <c r="U27" s="411"/>
      <c r="V27" s="180">
        <f t="shared" ref="V27:AD27" si="12">SUM(V25:V26)</f>
        <v>898630</v>
      </c>
      <c r="W27" s="181"/>
      <c r="X27" s="180">
        <f t="shared" si="12"/>
        <v>1070854.5930000001</v>
      </c>
      <c r="Y27" s="181"/>
      <c r="Z27" s="181">
        <f t="shared" si="12"/>
        <v>1133419.5520207477</v>
      </c>
      <c r="AA27" s="181">
        <f t="shared" si="12"/>
        <v>1217240.2368527895</v>
      </c>
      <c r="AB27" s="181">
        <f t="shared" si="12"/>
        <v>1294241.4500329676</v>
      </c>
      <c r="AC27" s="181">
        <f t="shared" si="12"/>
        <v>1354546.0189066401</v>
      </c>
      <c r="AD27" s="181">
        <f t="shared" si="12"/>
        <v>1404989.2101405079</v>
      </c>
    </row>
    <row r="28" spans="1:30" x14ac:dyDescent="0.2">
      <c r="A28" s="166" t="s">
        <v>171</v>
      </c>
      <c r="B28" s="340"/>
      <c r="C28" s="201">
        <v>1.201E-2</v>
      </c>
      <c r="D28" s="266"/>
      <c r="E28" s="412"/>
      <c r="F28" s="183">
        <v>1.1147000000000001E-2</v>
      </c>
      <c r="G28" s="412"/>
      <c r="H28" s="184">
        <v>1.0995E-2</v>
      </c>
      <c r="I28" s="412"/>
      <c r="J28" s="201">
        <v>1.1440000000000001E-2</v>
      </c>
      <c r="L28" s="413">
        <f>SUM(M28-J28)/M28</f>
        <v>4.7381130818552754E-2</v>
      </c>
      <c r="M28" s="183">
        <v>1.2009000000000001E-2</v>
      </c>
      <c r="O28" s="183">
        <v>1.2201999999999999E-2</v>
      </c>
      <c r="Q28" s="201">
        <v>1.2663000000000001E-2</v>
      </c>
      <c r="R28" s="414">
        <f>SUM(S28-Q28)/Q28</f>
        <v>-1.9799564229200275E-2</v>
      </c>
      <c r="S28" s="201">
        <f>+S30/S27</f>
        <v>1.2412278118165638E-2</v>
      </c>
      <c r="T28" s="415"/>
      <c r="U28" s="416">
        <f>SUM(V28-S28)/S28</f>
        <v>1.1914378047644822E-2</v>
      </c>
      <c r="V28" s="341">
        <f>SUM(V30/V27)</f>
        <v>1.2560162692097972E-2</v>
      </c>
      <c r="W28" s="416">
        <f>SUM((X28-V28)/V28)</f>
        <v>-3.3482431633753494E-2</v>
      </c>
      <c r="X28" s="201">
        <f>12999.77053/1070855</f>
        <v>1.2139617903450981E-2</v>
      </c>
      <c r="Y28" s="417">
        <v>0</v>
      </c>
      <c r="Z28" s="266">
        <f>SUM(X28*(1+Y28))</f>
        <v>1.2139617903450981E-2</v>
      </c>
      <c r="AA28" s="266">
        <f>SUM(Z28*(1+Y28))</f>
        <v>1.2139617903450981E-2</v>
      </c>
      <c r="AB28" s="266">
        <f t="shared" ref="AB28:AD28" si="13">SUM(AA28*(1+Z28))</f>
        <v>1.2286988226292768E-2</v>
      </c>
      <c r="AC28" s="266">
        <f t="shared" si="13"/>
        <v>1.2436147568544163E-2</v>
      </c>
      <c r="AD28" s="266">
        <f t="shared" si="13"/>
        <v>1.2588950367299305E-2</v>
      </c>
    </row>
    <row r="29" spans="1:30" x14ac:dyDescent="0.2">
      <c r="A29" s="166"/>
      <c r="B29" s="186"/>
      <c r="C29" s="203"/>
      <c r="D29" s="185"/>
      <c r="E29" s="185"/>
      <c r="F29" s="185"/>
      <c r="G29" s="185"/>
      <c r="H29" s="185"/>
      <c r="I29" s="186"/>
      <c r="J29" s="185"/>
      <c r="M29" s="185"/>
      <c r="O29" s="203"/>
      <c r="Q29" s="203"/>
      <c r="S29" s="203"/>
      <c r="T29" s="185"/>
      <c r="U29" s="408"/>
      <c r="V29" s="185"/>
      <c r="W29" s="185"/>
      <c r="X29" s="203"/>
      <c r="Y29" s="185"/>
      <c r="Z29" s="185"/>
      <c r="AA29" s="185"/>
      <c r="AB29" s="185"/>
      <c r="AC29" s="185"/>
      <c r="AD29" s="185"/>
    </row>
    <row r="30" spans="1:30" ht="13.5" thickBot="1" x14ac:dyDescent="0.25">
      <c r="A30" s="166" t="s">
        <v>172</v>
      </c>
      <c r="B30" s="188"/>
      <c r="C30" s="187">
        <f>SUM(C27*C28)</f>
        <v>6549.7083611903972</v>
      </c>
      <c r="D30" s="219"/>
      <c r="E30" s="219"/>
      <c r="F30" s="187">
        <f>SUM(F27*F28)</f>
        <v>5923.8449729458116</v>
      </c>
      <c r="G30" s="418"/>
      <c r="H30" s="187">
        <f>SUM(H27*H28)</f>
        <v>5198.9417699999995</v>
      </c>
      <c r="I30" s="188"/>
      <c r="J30" s="187">
        <f>SUM(J27*J28)</f>
        <v>4875.8974975247356</v>
      </c>
      <c r="M30" s="187">
        <f>SUM(M27*M28)</f>
        <v>6644.5774054519761</v>
      </c>
      <c r="O30" s="187">
        <f>SUM(O27*O28)</f>
        <v>7876.3008272199995</v>
      </c>
      <c r="Q30" s="187">
        <f t="shared" ref="Q30" si="14">SUM(Q27*Q28)</f>
        <v>8630.5537097419092</v>
      </c>
      <c r="S30" s="187">
        <v>9501.7079599999997</v>
      </c>
      <c r="T30" s="219"/>
      <c r="U30" s="419"/>
      <c r="V30" s="187">
        <v>11286.939</v>
      </c>
      <c r="W30" s="219"/>
      <c r="X30" s="187">
        <f t="shared" ref="X30:AD30" si="15">SUM(X27*X28)</f>
        <v>12999.765589175515</v>
      </c>
      <c r="Y30" s="219"/>
      <c r="Z30" s="219">
        <f t="shared" si="15"/>
        <v>13759.280285832459</v>
      </c>
      <c r="AA30" s="219">
        <f t="shared" si="15"/>
        <v>14776.831372099035</v>
      </c>
      <c r="AB30" s="219">
        <f t="shared" si="15"/>
        <v>15902.329458535152</v>
      </c>
      <c r="AC30" s="219">
        <f t="shared" si="15"/>
        <v>16845.33417950699</v>
      </c>
      <c r="AD30" s="219">
        <f t="shared" si="15"/>
        <v>17687.339433049907</v>
      </c>
    </row>
    <row r="31" spans="1:30" ht="13.5" thickTop="1" x14ac:dyDescent="0.2">
      <c r="A31" s="166"/>
      <c r="B31" s="190"/>
      <c r="C31" s="189"/>
      <c r="D31" s="189"/>
      <c r="E31" s="189"/>
      <c r="F31" s="189"/>
      <c r="G31" s="189"/>
      <c r="H31" s="189"/>
      <c r="I31" s="190"/>
      <c r="J31" s="192"/>
      <c r="M31" s="189"/>
      <c r="O31" s="189"/>
      <c r="P31" s="189"/>
      <c r="Q31" s="189"/>
      <c r="S31" s="189"/>
      <c r="T31" s="189"/>
      <c r="U31" s="191"/>
      <c r="V31" s="192"/>
      <c r="W31" s="189"/>
      <c r="X31" s="189"/>
      <c r="Y31" s="189"/>
      <c r="Z31" s="189"/>
      <c r="AA31" s="189"/>
      <c r="AB31" s="189"/>
      <c r="AC31" s="189"/>
      <c r="AD31" s="189"/>
    </row>
    <row r="32" spans="1:30" x14ac:dyDescent="0.2">
      <c r="A32" s="208"/>
      <c r="B32" s="194"/>
      <c r="C32" s="193"/>
      <c r="D32" s="193"/>
      <c r="E32" s="193"/>
      <c r="F32" s="193"/>
      <c r="G32" s="193"/>
      <c r="H32" s="193"/>
      <c r="I32" s="194"/>
      <c r="J32" s="193"/>
      <c r="M32" s="193"/>
      <c r="O32" s="193"/>
      <c r="Q32" s="193"/>
      <c r="S32" s="193"/>
      <c r="T32" s="193"/>
      <c r="U32" s="195"/>
      <c r="V32" s="193"/>
      <c r="W32" s="193"/>
      <c r="X32" s="193"/>
      <c r="Y32" s="193"/>
      <c r="Z32" s="193"/>
      <c r="AA32" s="193"/>
      <c r="AB32" s="193"/>
      <c r="AC32" s="193"/>
      <c r="AD32" s="193"/>
    </row>
    <row r="33" spans="1:30" x14ac:dyDescent="0.2">
      <c r="A33" s="160"/>
      <c r="B33" s="334"/>
      <c r="C33" s="156" t="s">
        <v>138</v>
      </c>
      <c r="D33" s="267"/>
      <c r="E33" s="267"/>
      <c r="F33" s="156" t="s">
        <v>139</v>
      </c>
      <c r="G33" s="267"/>
      <c r="H33" s="156" t="s">
        <v>140</v>
      </c>
      <c r="I33" s="157"/>
      <c r="J33" s="156" t="s">
        <v>141</v>
      </c>
      <c r="M33" s="156" t="s">
        <v>173</v>
      </c>
      <c r="O33" s="156" t="s">
        <v>143</v>
      </c>
      <c r="Q33" s="156" t="s">
        <v>144</v>
      </c>
      <c r="S33" s="156" t="s">
        <v>174</v>
      </c>
      <c r="T33" s="156"/>
      <c r="U33" s="407"/>
      <c r="V33" s="156" t="s">
        <v>175</v>
      </c>
      <c r="W33" s="156"/>
      <c r="X33" s="156" t="s">
        <v>176</v>
      </c>
      <c r="Y33" s="156"/>
      <c r="Z33" s="156" t="s">
        <v>260</v>
      </c>
      <c r="AA33" s="156" t="s">
        <v>261</v>
      </c>
      <c r="AB33" s="156" t="s">
        <v>148</v>
      </c>
      <c r="AC33" s="156" t="s">
        <v>149</v>
      </c>
      <c r="AD33" s="156" t="s">
        <v>150</v>
      </c>
    </row>
    <row r="34" spans="1:30" ht="19.5" x14ac:dyDescent="0.35">
      <c r="A34" s="342" t="s">
        <v>177</v>
      </c>
      <c r="B34" s="159"/>
      <c r="C34" s="160" t="s">
        <v>178</v>
      </c>
      <c r="D34" s="158"/>
      <c r="E34" s="158"/>
      <c r="F34" s="158"/>
      <c r="G34" s="158"/>
      <c r="H34" s="158"/>
      <c r="I34" s="159"/>
      <c r="J34" s="158"/>
      <c r="M34" s="336"/>
      <c r="O34" s="158"/>
      <c r="Q34" s="158"/>
      <c r="S34" s="160"/>
      <c r="T34" s="160"/>
      <c r="U34" s="161"/>
      <c r="V34" s="158"/>
      <c r="W34" s="158"/>
      <c r="X34" s="158"/>
      <c r="Y34" s="158"/>
      <c r="Z34" s="158"/>
      <c r="AA34" s="158"/>
      <c r="AB34" s="158"/>
      <c r="AC34" s="158"/>
      <c r="AD34" s="158"/>
    </row>
    <row r="35" spans="1:30" x14ac:dyDescent="0.2">
      <c r="A35" s="160"/>
      <c r="B35" s="159"/>
      <c r="C35" s="158"/>
      <c r="D35" s="158"/>
      <c r="E35" s="158"/>
      <c r="F35" s="158"/>
      <c r="G35" s="158"/>
      <c r="H35" s="158"/>
      <c r="I35" s="159"/>
      <c r="J35" s="158"/>
      <c r="M35" s="158"/>
      <c r="O35" s="158"/>
      <c r="Q35" s="158"/>
      <c r="S35" s="160"/>
      <c r="T35" s="160"/>
      <c r="U35" s="161"/>
      <c r="V35" s="158"/>
      <c r="W35" s="158"/>
      <c r="X35" s="158"/>
      <c r="Y35" s="158"/>
      <c r="Z35" s="158"/>
      <c r="AA35" s="158"/>
      <c r="AB35" s="158"/>
      <c r="AC35" s="158"/>
      <c r="AD35" s="158"/>
    </row>
    <row r="36" spans="1:30" x14ac:dyDescent="0.2">
      <c r="A36" s="160" t="s">
        <v>154</v>
      </c>
      <c r="B36" s="164"/>
      <c r="C36" s="163">
        <v>1465389</v>
      </c>
      <c r="D36" s="179"/>
      <c r="E36" s="179"/>
      <c r="F36" s="163">
        <v>1456075</v>
      </c>
      <c r="G36" s="163"/>
      <c r="H36" s="163">
        <v>1478797</v>
      </c>
      <c r="I36" s="164"/>
      <c r="J36" s="163">
        <v>1506226</v>
      </c>
      <c r="M36" s="163">
        <v>1578492</v>
      </c>
      <c r="O36" s="163">
        <v>1699083.2690000001</v>
      </c>
      <c r="Q36" s="163">
        <v>1795440.777</v>
      </c>
      <c r="S36" s="163">
        <v>1871167</v>
      </c>
      <c r="T36" s="163"/>
      <c r="U36" s="408"/>
      <c r="V36" s="163">
        <v>1892078.206</v>
      </c>
      <c r="W36" s="179"/>
      <c r="X36" s="165">
        <v>2018725.2420000001</v>
      </c>
      <c r="Y36" s="165"/>
      <c r="Z36" s="179">
        <f>SUM(X36:X42)</f>
        <v>2018725.2420000001</v>
      </c>
      <c r="AA36" s="179">
        <f>SUM(Z36:Z42)</f>
        <v>2151853.8280000002</v>
      </c>
      <c r="AB36" s="179">
        <f t="shared" ref="AB36:AD36" si="16">SUM(AA36:AA42)</f>
        <v>2329944.0920000002</v>
      </c>
      <c r="AC36" s="179">
        <f t="shared" si="16"/>
        <v>2493545.3130000001</v>
      </c>
      <c r="AD36" s="179">
        <f t="shared" si="16"/>
        <v>2621671.8800000004</v>
      </c>
    </row>
    <row r="37" spans="1:30" x14ac:dyDescent="0.2">
      <c r="A37" s="160" t="s">
        <v>155</v>
      </c>
      <c r="B37" s="164"/>
      <c r="C37" s="179">
        <v>0</v>
      </c>
      <c r="D37" s="179"/>
      <c r="E37" s="179"/>
      <c r="F37" s="163">
        <f>SUM(F13:F14)</f>
        <v>0</v>
      </c>
      <c r="G37" s="163"/>
      <c r="H37" s="163"/>
      <c r="I37" s="167"/>
      <c r="J37" s="163"/>
      <c r="M37" s="163"/>
      <c r="O37" s="163"/>
      <c r="Q37" s="163"/>
      <c r="S37" s="163"/>
      <c r="T37" s="163"/>
      <c r="U37" s="420"/>
      <c r="V37" s="163"/>
      <c r="W37" s="163"/>
      <c r="X37" s="165"/>
      <c r="Y37" s="165"/>
      <c r="Z37" s="163"/>
      <c r="AA37" s="163"/>
      <c r="AB37" s="163"/>
      <c r="AC37" s="163"/>
      <c r="AD37" s="163"/>
    </row>
    <row r="38" spans="1:30" x14ac:dyDescent="0.2">
      <c r="A38" s="166" t="s">
        <v>156</v>
      </c>
      <c r="B38" s="164"/>
      <c r="C38" s="179"/>
      <c r="D38" s="179"/>
      <c r="E38" s="179"/>
      <c r="F38" s="163">
        <v>0</v>
      </c>
      <c r="G38" s="163"/>
      <c r="H38" s="163"/>
      <c r="I38" s="164"/>
      <c r="J38" s="163"/>
      <c r="M38" s="163"/>
      <c r="O38" s="179"/>
      <c r="Q38" s="179"/>
      <c r="S38" s="179"/>
      <c r="T38" s="179"/>
      <c r="U38" s="408"/>
      <c r="V38" s="179"/>
      <c r="W38" s="179"/>
      <c r="X38" s="165"/>
      <c r="Y38" s="165"/>
      <c r="Z38" s="179">
        <f t="shared" ref="Z38:AA42" si="17">SUM(Z14)</f>
        <v>338100.06699999998</v>
      </c>
      <c r="AA38" s="179">
        <f t="shared" si="17"/>
        <v>310837.11200000002</v>
      </c>
      <c r="AB38" s="179">
        <f t="shared" ref="AB38:AD42" si="18">SUM(AB14)</f>
        <v>344411.16399999999</v>
      </c>
      <c r="AC38" s="179">
        <f t="shared" si="18"/>
        <v>271186.56599999999</v>
      </c>
      <c r="AD38" s="179">
        <f t="shared" si="18"/>
        <v>279384.51500000001</v>
      </c>
    </row>
    <row r="39" spans="1:30" x14ac:dyDescent="0.2">
      <c r="A39" s="166" t="s">
        <v>158</v>
      </c>
      <c r="B39" s="164"/>
      <c r="C39" s="179"/>
      <c r="D39" s="179"/>
      <c r="E39" s="179"/>
      <c r="F39" s="163"/>
      <c r="G39" s="163"/>
      <c r="H39" s="163"/>
      <c r="I39" s="164"/>
      <c r="J39" s="163"/>
      <c r="M39" s="163"/>
      <c r="O39" s="179"/>
      <c r="Q39" s="179"/>
      <c r="S39" s="179"/>
      <c r="T39" s="179"/>
      <c r="U39" s="408"/>
      <c r="V39" s="179"/>
      <c r="W39" s="179"/>
      <c r="X39" s="165"/>
      <c r="Y39" s="165"/>
      <c r="Z39" s="179">
        <f t="shared" si="17"/>
        <v>-104053.53599999999</v>
      </c>
      <c r="AA39" s="179">
        <f t="shared" si="17"/>
        <v>-31087.348000000002</v>
      </c>
      <c r="AB39" s="179">
        <f t="shared" si="18"/>
        <v>-77109.944000000003</v>
      </c>
      <c r="AC39" s="179">
        <f t="shared" si="18"/>
        <v>-39360</v>
      </c>
      <c r="AD39" s="179">
        <f t="shared" si="18"/>
        <v>-68510</v>
      </c>
    </row>
    <row r="40" spans="1:30" x14ac:dyDescent="0.2">
      <c r="A40" s="166" t="s">
        <v>159</v>
      </c>
      <c r="B40" s="164"/>
      <c r="C40" s="179"/>
      <c r="D40" s="179"/>
      <c r="E40" s="179"/>
      <c r="F40" s="163"/>
      <c r="G40" s="163"/>
      <c r="H40" s="163"/>
      <c r="I40" s="164"/>
      <c r="J40" s="179"/>
      <c r="M40" s="163"/>
      <c r="O40" s="179"/>
      <c r="Q40" s="179"/>
      <c r="S40" s="179"/>
      <c r="T40" s="179"/>
      <c r="U40" s="408"/>
      <c r="V40" s="179"/>
      <c r="W40" s="179"/>
      <c r="X40" s="165"/>
      <c r="Y40" s="165"/>
      <c r="Z40" s="179">
        <f t="shared" si="17"/>
        <v>0</v>
      </c>
      <c r="AA40" s="179">
        <f t="shared" si="17"/>
        <v>0</v>
      </c>
      <c r="AB40" s="179">
        <f t="shared" si="18"/>
        <v>0</v>
      </c>
      <c r="AC40" s="179">
        <f t="shared" si="18"/>
        <v>0</v>
      </c>
      <c r="AD40" s="179">
        <f t="shared" si="18"/>
        <v>0</v>
      </c>
    </row>
    <row r="41" spans="1:30" x14ac:dyDescent="0.2">
      <c r="A41" s="166" t="s">
        <v>160</v>
      </c>
      <c r="B41" s="164"/>
      <c r="C41" s="179"/>
      <c r="D41" s="179"/>
      <c r="E41" s="179"/>
      <c r="F41" s="163"/>
      <c r="G41" s="163"/>
      <c r="H41" s="163"/>
      <c r="I41" s="164"/>
      <c r="J41" s="179"/>
      <c r="M41" s="163"/>
      <c r="O41" s="179"/>
      <c r="Q41" s="179"/>
      <c r="S41" s="179"/>
      <c r="T41" s="179"/>
      <c r="U41" s="408"/>
      <c r="V41" s="179"/>
      <c r="W41" s="179"/>
      <c r="X41" s="165"/>
      <c r="Y41" s="165"/>
      <c r="Z41" s="179">
        <f t="shared" si="17"/>
        <v>-5022.8149999999996</v>
      </c>
      <c r="AA41" s="179">
        <f t="shared" si="17"/>
        <v>-5659.5</v>
      </c>
      <c r="AB41" s="179">
        <f t="shared" si="18"/>
        <v>-7699.9989999999998</v>
      </c>
      <c r="AC41" s="179">
        <f t="shared" si="18"/>
        <v>-7699.9989999999998</v>
      </c>
      <c r="AD41" s="179">
        <f t="shared" si="18"/>
        <v>-7700</v>
      </c>
    </row>
    <row r="42" spans="1:30" x14ac:dyDescent="0.2">
      <c r="A42" s="166" t="s">
        <v>161</v>
      </c>
      <c r="B42" s="164"/>
      <c r="C42" s="179">
        <v>0</v>
      </c>
      <c r="D42" s="179"/>
      <c r="E42" s="179"/>
      <c r="F42" s="163">
        <f>SUM(F18)</f>
        <v>0</v>
      </c>
      <c r="G42" s="163"/>
      <c r="H42" s="163"/>
      <c r="I42" s="164"/>
      <c r="J42" s="179"/>
      <c r="M42" s="163"/>
      <c r="O42" s="179"/>
      <c r="Q42" s="179"/>
      <c r="S42" s="179"/>
      <c r="T42" s="179"/>
      <c r="U42" s="408"/>
      <c r="V42" s="179"/>
      <c r="W42" s="179"/>
      <c r="X42" s="165"/>
      <c r="Y42" s="165"/>
      <c r="Z42" s="179">
        <f t="shared" si="17"/>
        <v>-95895.13</v>
      </c>
      <c r="AA42" s="179">
        <f t="shared" si="17"/>
        <v>-96000</v>
      </c>
      <c r="AB42" s="179">
        <f t="shared" si="18"/>
        <v>-96000</v>
      </c>
      <c r="AC42" s="179">
        <f t="shared" si="18"/>
        <v>-96000</v>
      </c>
      <c r="AD42" s="179">
        <f t="shared" si="18"/>
        <v>-96000</v>
      </c>
    </row>
    <row r="43" spans="1:30" x14ac:dyDescent="0.2">
      <c r="A43" s="160" t="s">
        <v>179</v>
      </c>
      <c r="B43" s="164"/>
      <c r="C43" s="179"/>
      <c r="D43" s="179"/>
      <c r="E43" s="179"/>
      <c r="F43" s="163"/>
      <c r="G43" s="163"/>
      <c r="H43" s="163"/>
      <c r="I43" s="164"/>
      <c r="J43" s="179"/>
      <c r="M43" s="176"/>
      <c r="O43" s="212"/>
      <c r="Q43" s="212"/>
      <c r="S43" s="212"/>
      <c r="T43" s="212"/>
      <c r="U43" s="409"/>
      <c r="V43" s="212"/>
      <c r="W43" s="212"/>
      <c r="X43" s="168"/>
      <c r="Y43" s="168"/>
      <c r="Z43" s="212"/>
      <c r="AA43" s="212"/>
      <c r="AB43" s="212"/>
      <c r="AC43" s="212"/>
      <c r="AD43" s="212"/>
    </row>
    <row r="44" spans="1:30" x14ac:dyDescent="0.2">
      <c r="A44" s="160" t="s">
        <v>163</v>
      </c>
      <c r="B44" s="170"/>
      <c r="C44" s="196">
        <v>1</v>
      </c>
      <c r="D44" s="196"/>
      <c r="E44" s="196"/>
      <c r="F44" s="169">
        <v>1</v>
      </c>
      <c r="G44" s="169"/>
      <c r="H44" s="169">
        <v>1</v>
      </c>
      <c r="I44" s="170"/>
      <c r="J44" s="169">
        <v>1</v>
      </c>
      <c r="M44" s="169">
        <v>1</v>
      </c>
      <c r="O44" s="169">
        <v>1</v>
      </c>
      <c r="Q44" s="169">
        <v>1</v>
      </c>
      <c r="S44" s="169">
        <v>1</v>
      </c>
      <c r="T44" s="169"/>
      <c r="U44" s="408"/>
      <c r="V44" s="169">
        <v>1</v>
      </c>
      <c r="W44" s="196"/>
      <c r="X44" s="171">
        <v>1</v>
      </c>
      <c r="Y44" s="171"/>
      <c r="Z44" s="196">
        <v>1</v>
      </c>
      <c r="AA44" s="196">
        <v>1</v>
      </c>
      <c r="AB44" s="196">
        <v>1</v>
      </c>
      <c r="AC44" s="196">
        <v>1</v>
      </c>
      <c r="AD44" s="196">
        <v>1</v>
      </c>
    </row>
    <row r="45" spans="1:30" x14ac:dyDescent="0.2">
      <c r="A45" s="160" t="s">
        <v>164</v>
      </c>
      <c r="B45" s="174"/>
      <c r="C45" s="172">
        <v>0.24570600000000001</v>
      </c>
      <c r="D45" s="173"/>
      <c r="E45" s="173"/>
      <c r="F45" s="216">
        <v>0.2427</v>
      </c>
      <c r="G45" s="216"/>
      <c r="H45" s="172">
        <v>0.25745699999999999</v>
      </c>
      <c r="I45" s="174"/>
      <c r="J45" s="172">
        <v>0.25345000000000001</v>
      </c>
      <c r="M45" s="172">
        <v>0.25974900000000001</v>
      </c>
      <c r="O45" s="343">
        <v>0.24714743</v>
      </c>
      <c r="Q45" s="338">
        <v>0.24893693</v>
      </c>
      <c r="S45" s="172">
        <f>478010267/1871166525</f>
        <v>0.2554611044038424</v>
      </c>
      <c r="T45" s="172"/>
      <c r="U45" s="410"/>
      <c r="V45" s="172">
        <f>479016601/1892078206</f>
        <v>0.25316955688247061</v>
      </c>
      <c r="W45" s="173"/>
      <c r="X45" s="175">
        <f>515171.974/2018725.242</f>
        <v>0.25519667723063028</v>
      </c>
      <c r="Y45" s="175"/>
      <c r="Z45" s="173">
        <f>SUM(X45)</f>
        <v>0.25519667723063028</v>
      </c>
      <c r="AA45" s="173">
        <f>SUM(Z45)</f>
        <v>0.25519667723063028</v>
      </c>
      <c r="AB45" s="173">
        <f t="shared" ref="AB45:AD45" si="19">SUM(AA45)</f>
        <v>0.25519667723063028</v>
      </c>
      <c r="AC45" s="173">
        <f t="shared" si="19"/>
        <v>0.25519667723063028</v>
      </c>
      <c r="AD45" s="173">
        <f t="shared" si="19"/>
        <v>0.25519667723063028</v>
      </c>
    </row>
    <row r="46" spans="1:30" x14ac:dyDescent="0.2">
      <c r="A46" s="160" t="s">
        <v>165</v>
      </c>
      <c r="B46" s="164"/>
      <c r="C46" s="179">
        <f>SUM((C36+C37+C38+C42)*C44*C45)</f>
        <v>360054.869634</v>
      </c>
      <c r="D46" s="179"/>
      <c r="E46" s="179"/>
      <c r="F46" s="163">
        <f>SUM((F36+F37+F42)*F44*F45)</f>
        <v>353389.40250000003</v>
      </c>
      <c r="G46" s="163"/>
      <c r="H46" s="163">
        <f>SUM((H36+H38+H42)*H44*H45)</f>
        <v>380726.63922899996</v>
      </c>
      <c r="I46" s="164"/>
      <c r="J46" s="163">
        <f>SUM(J36*J44*J45)</f>
        <v>381752.97970000003</v>
      </c>
      <c r="M46" s="163">
        <f>SUM(M36:M42)*M44*M45</f>
        <v>410011.71850800002</v>
      </c>
      <c r="O46" s="163">
        <f>SUM(O36:O43)*O44*O45</f>
        <v>419924.06328934868</v>
      </c>
      <c r="Q46" s="163">
        <f t="shared" ref="Q46:S46" si="20">SUM(Q36:Q43)*Q44*Q45</f>
        <v>446951.5150231946</v>
      </c>
      <c r="S46" s="163">
        <f t="shared" si="20"/>
        <v>478010.38834402454</v>
      </c>
      <c r="T46" s="163"/>
      <c r="U46" s="408"/>
      <c r="V46" s="163">
        <f t="shared" ref="V46:X46" si="21">SUM(V36:V43)*V44*V45</f>
        <v>479016.60099999997</v>
      </c>
      <c r="W46" s="179"/>
      <c r="X46" s="165">
        <f t="shared" si="21"/>
        <v>515171.97399999999</v>
      </c>
      <c r="Y46" s="165"/>
      <c r="Z46" s="179">
        <f t="shared" ref="Z46:AD46" si="22">SUM(Z36:Z43)*Z44*Z45</f>
        <v>549145.94679161219</v>
      </c>
      <c r="AA46" s="179">
        <f t="shared" si="22"/>
        <v>594593.99041153793</v>
      </c>
      <c r="AB46" s="179">
        <f t="shared" si="22"/>
        <v>636344.47840161191</v>
      </c>
      <c r="AC46" s="179">
        <f t="shared" si="22"/>
        <v>669041.95256497979</v>
      </c>
      <c r="AD46" s="179">
        <f t="shared" si="22"/>
        <v>696392.53267678409</v>
      </c>
    </row>
    <row r="47" spans="1:30" x14ac:dyDescent="0.2">
      <c r="A47" s="160" t="s">
        <v>166</v>
      </c>
      <c r="B47" s="197"/>
      <c r="C47" s="212">
        <f>345887-360055</f>
        <v>-14168</v>
      </c>
      <c r="D47" s="212"/>
      <c r="E47" s="212"/>
      <c r="F47" s="176">
        <v>0</v>
      </c>
      <c r="G47" s="176"/>
      <c r="H47" s="176">
        <f>-3742.059-7651.947-290.822-326.978-2</f>
        <v>-12013.806</v>
      </c>
      <c r="I47" s="197"/>
      <c r="J47" s="176">
        <f>-4268.625-7376.252-275.53-265.192</f>
        <v>-12185.599000000002</v>
      </c>
      <c r="M47" s="176">
        <f>(5887+8589+229+382)*-1</f>
        <v>-15087</v>
      </c>
      <c r="O47" s="176">
        <f>-3975.631-8936.384-222.924-283</f>
        <v>-13417.939</v>
      </c>
      <c r="Q47" s="176">
        <f>-10488.681-9022.891-264.554-322.957</f>
        <v>-20099.082999999999</v>
      </c>
      <c r="S47" s="176">
        <f>-8904.767-211.228-231.129</f>
        <v>-9347.1239999999998</v>
      </c>
      <c r="T47" s="176"/>
      <c r="U47" s="409"/>
      <c r="V47" s="176">
        <f>-8573.011-238.474-810.181</f>
        <v>-9621.6660000000011</v>
      </c>
      <c r="W47" s="212"/>
      <c r="X47" s="168">
        <f>-8697.667-262.431-1000-301.639</f>
        <v>-10261.736999999999</v>
      </c>
      <c r="Y47" s="168"/>
      <c r="Z47" s="212">
        <f>SUM(X47)</f>
        <v>-10261.736999999999</v>
      </c>
      <c r="AA47" s="212">
        <f t="shared" ref="AA47:AD47" si="23">SUM(Z47)</f>
        <v>-10261.736999999999</v>
      </c>
      <c r="AB47" s="212">
        <f t="shared" si="23"/>
        <v>-10261.736999999999</v>
      </c>
      <c r="AC47" s="212">
        <f t="shared" si="23"/>
        <v>-10261.736999999999</v>
      </c>
      <c r="AD47" s="212">
        <f t="shared" si="23"/>
        <v>-10261.736999999999</v>
      </c>
    </row>
    <row r="48" spans="1:30" x14ac:dyDescent="0.2">
      <c r="A48" s="160" t="s">
        <v>167</v>
      </c>
      <c r="B48" s="164"/>
      <c r="C48" s="163">
        <v>345887</v>
      </c>
      <c r="D48" s="179"/>
      <c r="E48" s="179"/>
      <c r="F48" s="163">
        <f>SUM(F46:F47)</f>
        <v>353389.40250000003</v>
      </c>
      <c r="G48" s="163"/>
      <c r="H48" s="163">
        <f>SUM(H46:H47)</f>
        <v>368712.83322899998</v>
      </c>
      <c r="I48" s="164"/>
      <c r="J48" s="163">
        <f>SUM(J46:J47)</f>
        <v>369567.38070000004</v>
      </c>
      <c r="M48" s="163">
        <f>SUM(M46:M47)</f>
        <v>394924.71850800002</v>
      </c>
      <c r="O48" s="163">
        <f>SUM(O46:O47)</f>
        <v>406506.12428934866</v>
      </c>
      <c r="Q48" s="163">
        <f>SUM(Q46:Q47)</f>
        <v>426852.43202319462</v>
      </c>
      <c r="S48" s="163">
        <f>SUM(S46:S47)</f>
        <v>468663.26434402453</v>
      </c>
      <c r="T48" s="163"/>
      <c r="U48" s="408"/>
      <c r="V48" s="163">
        <f t="shared" ref="V48:AD48" si="24">SUM(V46:V47)</f>
        <v>469394.93499999994</v>
      </c>
      <c r="W48" s="179"/>
      <c r="X48" s="165">
        <f t="shared" si="24"/>
        <v>504910.23699999996</v>
      </c>
      <c r="Y48" s="165"/>
      <c r="Z48" s="179">
        <f t="shared" si="24"/>
        <v>538884.20979161223</v>
      </c>
      <c r="AA48" s="179">
        <f t="shared" si="24"/>
        <v>584332.25341153797</v>
      </c>
      <c r="AB48" s="179">
        <f t="shared" si="24"/>
        <v>626082.74140161194</v>
      </c>
      <c r="AC48" s="179">
        <f t="shared" si="24"/>
        <v>658780.21556497982</v>
      </c>
      <c r="AD48" s="179">
        <f t="shared" si="24"/>
        <v>686130.79567678412</v>
      </c>
    </row>
    <row r="49" spans="1:30" x14ac:dyDescent="0.2">
      <c r="A49" s="160" t="s">
        <v>180</v>
      </c>
      <c r="B49" s="199"/>
      <c r="C49" s="263">
        <v>1</v>
      </c>
      <c r="D49" s="263"/>
      <c r="E49" s="263"/>
      <c r="F49" s="198">
        <v>1</v>
      </c>
      <c r="G49" s="198"/>
      <c r="H49" s="198">
        <v>1</v>
      </c>
      <c r="I49" s="199"/>
      <c r="J49" s="198">
        <v>1</v>
      </c>
      <c r="M49" s="198">
        <v>1</v>
      </c>
      <c r="O49" s="198">
        <v>1</v>
      </c>
      <c r="Q49" s="198">
        <v>1</v>
      </c>
      <c r="S49" s="198">
        <v>1</v>
      </c>
      <c r="T49" s="198"/>
      <c r="U49" s="409"/>
      <c r="V49" s="198">
        <v>1</v>
      </c>
      <c r="W49" s="263"/>
      <c r="X49" s="200">
        <v>1</v>
      </c>
      <c r="Y49" s="200"/>
      <c r="Z49" s="263">
        <v>1</v>
      </c>
      <c r="AA49" s="263">
        <v>1</v>
      </c>
      <c r="AB49" s="263">
        <v>1</v>
      </c>
      <c r="AC49" s="263">
        <v>1</v>
      </c>
      <c r="AD49" s="263">
        <v>1</v>
      </c>
    </row>
    <row r="50" spans="1:30" x14ac:dyDescent="0.2">
      <c r="A50" s="160" t="s">
        <v>169</v>
      </c>
      <c r="B50" s="164"/>
      <c r="C50" s="179">
        <f>SUM(C48*C49)</f>
        <v>345887</v>
      </c>
      <c r="D50" s="179"/>
      <c r="E50" s="179"/>
      <c r="F50" s="163">
        <f>SUM(F48*F49)</f>
        <v>353389.40250000003</v>
      </c>
      <c r="G50" s="163"/>
      <c r="H50" s="163">
        <f>SUM(H48*H49)</f>
        <v>368712.83322899998</v>
      </c>
      <c r="I50" s="164"/>
      <c r="J50" s="163">
        <f>SUM(J48*J49)</f>
        <v>369567.38070000004</v>
      </c>
      <c r="M50" s="163">
        <f>SUM(M48*M49)</f>
        <v>394924.71850800002</v>
      </c>
      <c r="O50" s="163">
        <f>SUM(O48*O49)</f>
        <v>406506.12428934866</v>
      </c>
      <c r="Q50" s="163">
        <f t="shared" ref="Q50:S50" si="25">SUM(Q48*Q49)</f>
        <v>426852.43202319462</v>
      </c>
      <c r="S50" s="163">
        <f t="shared" si="25"/>
        <v>468663.26434402453</v>
      </c>
      <c r="T50" s="163"/>
      <c r="U50" s="408"/>
      <c r="V50" s="163">
        <f t="shared" ref="V50:AD50" si="26">SUM(V48*V49)</f>
        <v>469394.93499999994</v>
      </c>
      <c r="W50" s="179"/>
      <c r="X50" s="165">
        <f t="shared" si="26"/>
        <v>504910.23699999996</v>
      </c>
      <c r="Y50" s="165"/>
      <c r="Z50" s="179">
        <f t="shared" si="26"/>
        <v>538884.20979161223</v>
      </c>
      <c r="AA50" s="179">
        <f t="shared" si="26"/>
        <v>584332.25341153797</v>
      </c>
      <c r="AB50" s="179">
        <f t="shared" si="26"/>
        <v>626082.74140161194</v>
      </c>
      <c r="AC50" s="179">
        <f t="shared" si="26"/>
        <v>658780.21556497982</v>
      </c>
      <c r="AD50" s="179">
        <f t="shared" si="26"/>
        <v>686130.79567678412</v>
      </c>
    </row>
    <row r="51" spans="1:30" x14ac:dyDescent="0.2">
      <c r="A51" s="160" t="s">
        <v>171</v>
      </c>
      <c r="B51" s="340"/>
      <c r="C51" s="201">
        <v>8.0000000000000002E-3</v>
      </c>
      <c r="D51" s="266"/>
      <c r="E51" s="412"/>
      <c r="F51" s="201">
        <v>7.5500000000000003E-3</v>
      </c>
      <c r="G51" s="412"/>
      <c r="H51" s="183">
        <v>8.0219999999999996E-3</v>
      </c>
      <c r="I51" s="412"/>
      <c r="J51" s="201">
        <f>3189956.46/369566460</f>
        <v>8.6316178692189757E-3</v>
      </c>
      <c r="L51" s="421">
        <f>SUM(M51-J51)/M51</f>
        <v>0.10994928441066149</v>
      </c>
      <c r="M51" s="201">
        <f>3829943.98/394925312</f>
        <v>9.697894421110187E-3</v>
      </c>
      <c r="N51" s="422">
        <f>SUM(O51-M51)/O51</f>
        <v>9.0569557305089754E-2</v>
      </c>
      <c r="O51" s="201">
        <f>4334861/406506236</f>
        <v>1.06637011098644E-2</v>
      </c>
      <c r="P51" s="422">
        <f>SUM(Q51-O51)/Q51</f>
        <v>2.9513914282453545E-2</v>
      </c>
      <c r="Q51" s="201">
        <v>1.0988E-2</v>
      </c>
      <c r="R51" s="414">
        <f>SUM(S51-Q51)/Q51</f>
        <v>4.0654360318626757E-2</v>
      </c>
      <c r="S51" s="201">
        <f>5359027.18/468663143</f>
        <v>1.143471011118107E-2</v>
      </c>
      <c r="T51" s="202"/>
      <c r="U51" s="423">
        <f>SUM(V51-S51)/S51</f>
        <v>1.3665332452170083E-2</v>
      </c>
      <c r="V51" s="201">
        <f>5440.743/469395</f>
        <v>1.159096922634455E-2</v>
      </c>
      <c r="W51" s="416">
        <f>SUM((X51-V51)/V51)</f>
        <v>-2.3012975508219759E-2</v>
      </c>
      <c r="X51" s="201">
        <f>5717.71522/504910</f>
        <v>1.1324226535422154E-2</v>
      </c>
      <c r="Y51" s="417">
        <f>SUM(Y28)</f>
        <v>0</v>
      </c>
      <c r="Z51" s="266">
        <f>SUM(X51*(1+Y51))</f>
        <v>1.1324226535422154E-2</v>
      </c>
      <c r="AA51" s="266">
        <f>SUM(Z51*(1+Y51))</f>
        <v>1.1324226535422154E-2</v>
      </c>
      <c r="AB51" s="266">
        <f t="shared" ref="AB51:AD51" si="27">SUM(AA51*(1+Z51))</f>
        <v>1.1452464642047713E-2</v>
      </c>
      <c r="AC51" s="266">
        <f t="shared" si="27"/>
        <v>1.1582154946043173E-2</v>
      </c>
      <c r="AD51" s="266">
        <f t="shared" si="27"/>
        <v>1.1714799166041451E-2</v>
      </c>
    </row>
    <row r="52" spans="1:30" x14ac:dyDescent="0.2">
      <c r="A52" s="160"/>
      <c r="B52" s="186"/>
      <c r="C52" s="185"/>
      <c r="D52" s="185"/>
      <c r="E52" s="185"/>
      <c r="F52" s="185"/>
      <c r="G52" s="185"/>
      <c r="H52" s="185"/>
      <c r="I52" s="186"/>
      <c r="J52" s="203"/>
      <c r="M52" s="185"/>
      <c r="O52" s="203"/>
      <c r="Q52" s="203"/>
      <c r="S52" s="203"/>
      <c r="T52" s="203"/>
      <c r="U52" s="408"/>
      <c r="V52" s="203"/>
      <c r="W52" s="185"/>
      <c r="X52" s="203"/>
      <c r="Y52" s="185"/>
      <c r="Z52" s="185"/>
      <c r="AA52" s="185"/>
      <c r="AB52" s="185"/>
      <c r="AC52" s="185"/>
      <c r="AD52" s="185"/>
    </row>
    <row r="53" spans="1:30" ht="13.5" thickBot="1" x14ac:dyDescent="0.25">
      <c r="A53" s="153" t="s">
        <v>172</v>
      </c>
      <c r="B53" s="188"/>
      <c r="C53" s="187">
        <f>SUM(C50*C51)</f>
        <v>2767.096</v>
      </c>
      <c r="D53" s="219"/>
      <c r="E53" s="219"/>
      <c r="F53" s="187">
        <f>SUM(F50*F51)</f>
        <v>2668.0899888750005</v>
      </c>
      <c r="G53" s="418"/>
      <c r="H53" s="187">
        <f>SUM(H50*H51)</f>
        <v>2957.8143481630377</v>
      </c>
      <c r="I53" s="188"/>
      <c r="J53" s="187">
        <f>SUM(J50*J51)</f>
        <v>3189.9644071305725</v>
      </c>
      <c r="M53" s="187">
        <f>SUM(M50*M51)</f>
        <v>3829.9382243772443</v>
      </c>
      <c r="O53" s="187">
        <f>SUM(O50*O51)</f>
        <v>4334.8598087510027</v>
      </c>
      <c r="Q53" s="187">
        <f t="shared" ref="Q53:S53" si="28">SUM(Q50*Q51)</f>
        <v>4690.254523070862</v>
      </c>
      <c r="S53" s="187">
        <f t="shared" si="28"/>
        <v>5359.0285675337436</v>
      </c>
      <c r="T53" s="187"/>
      <c r="U53" s="419"/>
      <c r="V53" s="187">
        <f t="shared" ref="V53:AD53" si="29">SUM(V50*V51)</f>
        <v>5440.7422465869995</v>
      </c>
      <c r="W53" s="219"/>
      <c r="X53" s="301">
        <f t="shared" si="29"/>
        <v>5717.717903841688</v>
      </c>
      <c r="Y53" s="219"/>
      <c r="Z53" s="219">
        <f t="shared" si="29"/>
        <v>6102.4468680421742</v>
      </c>
      <c r="AA53" s="219">
        <f t="shared" si="29"/>
        <v>6617.1108095859609</v>
      </c>
      <c r="AB53" s="219">
        <f t="shared" si="29"/>
        <v>7170.1904588982625</v>
      </c>
      <c r="AC53" s="219">
        <f t="shared" si="29"/>
        <v>7630.0945320613191</v>
      </c>
      <c r="AD53" s="219">
        <f t="shared" si="29"/>
        <v>8037.8844729897482</v>
      </c>
    </row>
    <row r="54" spans="1:30" ht="13.5" thickTop="1" x14ac:dyDescent="0.2">
      <c r="A54" s="277"/>
      <c r="B54" s="205"/>
      <c r="C54" s="204"/>
      <c r="D54" s="204"/>
      <c r="E54" s="204"/>
      <c r="F54" s="204"/>
      <c r="G54" s="204"/>
      <c r="H54" s="204"/>
      <c r="I54" s="205"/>
      <c r="J54" s="204"/>
      <c r="M54" s="204"/>
      <c r="O54" s="204"/>
      <c r="P54" s="204"/>
      <c r="Q54" s="204"/>
      <c r="S54" s="204"/>
      <c r="T54" s="204"/>
      <c r="U54" s="206"/>
      <c r="V54" s="207"/>
      <c r="W54" s="204"/>
      <c r="X54" s="204"/>
      <c r="Y54" s="204"/>
      <c r="Z54" s="204"/>
      <c r="AA54" s="204"/>
      <c r="AB54" s="204"/>
      <c r="AC54" s="204"/>
      <c r="AD54" s="204"/>
    </row>
    <row r="55" spans="1:30" x14ac:dyDescent="0.2">
      <c r="A55" s="344"/>
      <c r="B55" s="194"/>
      <c r="C55" s="193"/>
      <c r="D55" s="193"/>
      <c r="E55" s="193"/>
      <c r="F55" s="193"/>
      <c r="G55" s="193"/>
      <c r="H55" s="193"/>
      <c r="I55" s="194"/>
      <c r="J55" s="193"/>
      <c r="M55" s="208"/>
      <c r="O55" s="193"/>
      <c r="Q55" s="208"/>
      <c r="S55" s="208"/>
      <c r="T55" s="208"/>
      <c r="U55" s="195"/>
      <c r="V55" s="193"/>
      <c r="W55" s="193"/>
      <c r="X55" s="193"/>
      <c r="Y55" s="193"/>
      <c r="Z55" s="193"/>
      <c r="AA55" s="193"/>
      <c r="AB55" s="193"/>
      <c r="AC55" s="193"/>
      <c r="AD55" s="193"/>
    </row>
    <row r="56" spans="1:30" x14ac:dyDescent="0.2">
      <c r="A56" s="166"/>
      <c r="B56" s="334"/>
      <c r="C56" s="156" t="s">
        <v>138</v>
      </c>
      <c r="D56" s="267"/>
      <c r="E56" s="267"/>
      <c r="F56" s="156" t="s">
        <v>139</v>
      </c>
      <c r="G56" s="156"/>
      <c r="H56" s="156" t="s">
        <v>140</v>
      </c>
      <c r="I56" s="157"/>
      <c r="J56" s="156" t="s">
        <v>141</v>
      </c>
      <c r="M56" s="156" t="s">
        <v>173</v>
      </c>
      <c r="O56" s="156" t="s">
        <v>143</v>
      </c>
      <c r="Q56" s="156" t="s">
        <v>144</v>
      </c>
      <c r="S56" s="156" t="s">
        <v>174</v>
      </c>
      <c r="T56" s="156"/>
      <c r="U56" s="407"/>
      <c r="V56" s="156" t="s">
        <v>175</v>
      </c>
      <c r="W56" s="156"/>
      <c r="X56" s="156" t="s">
        <v>176</v>
      </c>
      <c r="Y56" s="156"/>
      <c r="Z56" s="156" t="s">
        <v>260</v>
      </c>
      <c r="AA56" s="156" t="s">
        <v>261</v>
      </c>
      <c r="AB56" s="156" t="s">
        <v>148</v>
      </c>
      <c r="AC56" s="156" t="s">
        <v>149</v>
      </c>
      <c r="AD56" s="156" t="s">
        <v>150</v>
      </c>
    </row>
    <row r="57" spans="1:30" x14ac:dyDescent="0.2">
      <c r="A57" s="335" t="s">
        <v>181</v>
      </c>
      <c r="B57" s="159"/>
      <c r="C57" s="162" t="s">
        <v>182</v>
      </c>
      <c r="D57" s="158"/>
      <c r="E57" s="158"/>
      <c r="F57" s="162" t="s">
        <v>182</v>
      </c>
      <c r="G57" s="162"/>
      <c r="H57" s="146" t="s">
        <v>183</v>
      </c>
      <c r="I57" s="146"/>
      <c r="J57" s="146" t="s">
        <v>183</v>
      </c>
      <c r="M57" s="162" t="s">
        <v>183</v>
      </c>
      <c r="O57" s="162" t="s">
        <v>183</v>
      </c>
      <c r="Q57" s="162" t="s">
        <v>183</v>
      </c>
      <c r="S57" s="146" t="s">
        <v>183</v>
      </c>
      <c r="T57" s="146"/>
      <c r="U57" s="148"/>
      <c r="V57" s="146" t="s">
        <v>183</v>
      </c>
      <c r="W57" s="146"/>
      <c r="X57" s="146" t="s">
        <v>183</v>
      </c>
      <c r="Y57" s="146"/>
      <c r="Z57" s="146" t="s">
        <v>183</v>
      </c>
      <c r="AA57" s="146" t="s">
        <v>183</v>
      </c>
      <c r="AB57" s="146" t="s">
        <v>183</v>
      </c>
      <c r="AC57" s="146" t="s">
        <v>183</v>
      </c>
      <c r="AD57" s="146" t="s">
        <v>183</v>
      </c>
    </row>
    <row r="58" spans="1:30" x14ac:dyDescent="0.2">
      <c r="A58" s="345"/>
      <c r="B58" s="159"/>
      <c r="C58" s="209">
        <v>1860000</v>
      </c>
      <c r="D58" s="248"/>
      <c r="E58" s="248"/>
      <c r="F58" s="209">
        <v>1941000</v>
      </c>
      <c r="G58" s="209"/>
      <c r="H58" s="209"/>
      <c r="I58" s="210"/>
      <c r="J58" s="346"/>
      <c r="K58" s="166" t="s">
        <v>184</v>
      </c>
      <c r="M58" s="209">
        <v>2200000</v>
      </c>
      <c r="N58" s="347"/>
      <c r="O58" s="209">
        <v>2320000</v>
      </c>
      <c r="Q58" s="209">
        <v>2600000</v>
      </c>
      <c r="S58" s="209">
        <v>2700000</v>
      </c>
      <c r="T58" s="209"/>
      <c r="U58" s="424"/>
      <c r="V58" s="209">
        <v>2973000</v>
      </c>
      <c r="W58" s="209"/>
      <c r="X58" s="211">
        <v>3318000</v>
      </c>
      <c r="Y58" s="211"/>
      <c r="Z58" s="209">
        <f>SUM(X58)</f>
        <v>3318000</v>
      </c>
      <c r="AA58" s="209">
        <f t="shared" ref="AA58" si="30">SUM(Z58:Z62)</f>
        <v>3494443.3160000001</v>
      </c>
      <c r="AB58" s="209">
        <f t="shared" ref="AB58:AD58" si="31">SUM(AA58:AA62)</f>
        <v>3711773.2710000002</v>
      </c>
      <c r="AC58" s="209">
        <f t="shared" si="31"/>
        <v>3924939.463</v>
      </c>
      <c r="AD58" s="209">
        <f t="shared" si="31"/>
        <v>4093003.3810000001</v>
      </c>
    </row>
    <row r="59" spans="1:30" x14ac:dyDescent="0.2">
      <c r="A59" s="166" t="s">
        <v>185</v>
      </c>
      <c r="B59" s="164"/>
      <c r="C59" s="163">
        <v>1677121</v>
      </c>
      <c r="D59" s="179"/>
      <c r="E59" s="179"/>
      <c r="F59" s="163">
        <v>1746900</v>
      </c>
      <c r="G59" s="163"/>
      <c r="H59" s="163">
        <v>1890000</v>
      </c>
      <c r="I59" s="164"/>
      <c r="J59" s="163">
        <v>1850400</v>
      </c>
      <c r="M59" s="163">
        <v>1980000</v>
      </c>
      <c r="O59" s="163">
        <v>2088000</v>
      </c>
      <c r="Q59" s="163">
        <v>2340000</v>
      </c>
      <c r="S59" s="163">
        <v>2430000</v>
      </c>
      <c r="T59" s="163"/>
      <c r="U59" s="408"/>
      <c r="V59" s="163">
        <v>2676000</v>
      </c>
      <c r="W59" s="179"/>
      <c r="X59" s="165">
        <v>2987000</v>
      </c>
      <c r="Y59" s="165"/>
      <c r="Z59" s="179"/>
      <c r="AA59" s="179"/>
      <c r="AB59" s="179"/>
      <c r="AC59" s="179"/>
      <c r="AD59" s="179"/>
    </row>
    <row r="60" spans="1:30" x14ac:dyDescent="0.2">
      <c r="A60" s="166" t="s">
        <v>186</v>
      </c>
      <c r="B60" s="164"/>
      <c r="C60" s="163">
        <v>0</v>
      </c>
      <c r="D60" s="179"/>
      <c r="E60" s="179"/>
      <c r="F60" s="163">
        <v>0</v>
      </c>
      <c r="G60" s="163"/>
      <c r="H60" s="163"/>
      <c r="I60" s="163"/>
      <c r="J60" s="163"/>
      <c r="K60" s="166" t="s">
        <v>262</v>
      </c>
      <c r="M60" s="163"/>
      <c r="O60" s="163"/>
      <c r="Q60" s="179"/>
      <c r="S60" s="163"/>
      <c r="T60" s="163"/>
      <c r="U60" s="420"/>
      <c r="V60" s="163"/>
      <c r="W60" s="163"/>
      <c r="X60" s="165"/>
      <c r="Y60" s="165"/>
      <c r="Z60" s="163">
        <f>229023.717+69908.308</f>
        <v>298932.02500000002</v>
      </c>
      <c r="AA60" s="163">
        <f>274090.264+66239.691</f>
        <v>340329.95500000002</v>
      </c>
      <c r="AB60" s="163">
        <f>259601.221+76564.971</f>
        <v>336166.19199999998</v>
      </c>
      <c r="AC60" s="163">
        <f>224126.567+66937.351</f>
        <v>291063.91800000001</v>
      </c>
      <c r="AD60" s="163">
        <f>203174.515+68156.641</f>
        <v>271331.15600000002</v>
      </c>
    </row>
    <row r="61" spans="1:30" x14ac:dyDescent="0.2">
      <c r="A61" s="166" t="s">
        <v>159</v>
      </c>
      <c r="B61" s="164"/>
      <c r="C61" s="163"/>
      <c r="D61" s="179"/>
      <c r="E61" s="179"/>
      <c r="F61" s="163"/>
      <c r="G61" s="163"/>
      <c r="H61" s="163"/>
      <c r="I61" s="163"/>
      <c r="J61" s="163"/>
      <c r="K61" s="166"/>
      <c r="M61" s="163"/>
      <c r="O61" s="163"/>
      <c r="Q61" s="179"/>
      <c r="S61" s="163"/>
      <c r="T61" s="163"/>
      <c r="U61" s="420"/>
      <c r="V61" s="163"/>
      <c r="W61" s="163"/>
      <c r="X61" s="165"/>
      <c r="Y61" s="165"/>
      <c r="Z61" s="163"/>
      <c r="AA61" s="163"/>
      <c r="AB61" s="163"/>
      <c r="AC61" s="163"/>
      <c r="AD61" s="163"/>
    </row>
    <row r="62" spans="1:30" x14ac:dyDescent="0.2">
      <c r="A62" s="166" t="s">
        <v>161</v>
      </c>
      <c r="B62" s="164"/>
      <c r="C62" s="163">
        <v>0</v>
      </c>
      <c r="D62" s="179"/>
      <c r="E62" s="179"/>
      <c r="F62" s="163">
        <v>0</v>
      </c>
      <c r="G62" s="163"/>
      <c r="H62" s="163"/>
      <c r="I62" s="164"/>
      <c r="J62" s="179"/>
      <c r="K62" s="166" t="s">
        <v>263</v>
      </c>
      <c r="M62" s="163"/>
      <c r="O62" s="179"/>
      <c r="Q62" s="179"/>
      <c r="S62" s="179"/>
      <c r="T62" s="179"/>
      <c r="U62" s="408"/>
      <c r="V62" s="163"/>
      <c r="W62" s="179"/>
      <c r="X62" s="165"/>
      <c r="Y62" s="165"/>
      <c r="Z62" s="179">
        <f t="shared" ref="Z62:AA62" si="32">SUM(Z18+Z123)</f>
        <v>-122488.709</v>
      </c>
      <c r="AA62" s="179">
        <f t="shared" si="32"/>
        <v>-123000</v>
      </c>
      <c r="AB62" s="179">
        <f t="shared" ref="AB62:AD62" si="33">SUM(AB18+AB123)</f>
        <v>-123000</v>
      </c>
      <c r="AC62" s="179">
        <f t="shared" si="33"/>
        <v>-123000</v>
      </c>
      <c r="AD62" s="179">
        <f t="shared" si="33"/>
        <v>-123000</v>
      </c>
    </row>
    <row r="63" spans="1:30" x14ac:dyDescent="0.2">
      <c r="A63" s="166" t="s">
        <v>187</v>
      </c>
      <c r="B63" s="164"/>
      <c r="C63" s="163">
        <v>0</v>
      </c>
      <c r="D63" s="179"/>
      <c r="E63" s="179"/>
      <c r="F63" s="176">
        <v>0</v>
      </c>
      <c r="G63" s="163"/>
      <c r="H63" s="176"/>
      <c r="I63" s="164"/>
      <c r="J63" s="176"/>
      <c r="K63" s="166" t="s">
        <v>188</v>
      </c>
      <c r="M63" s="176"/>
      <c r="O63" s="212"/>
      <c r="Q63" s="212"/>
      <c r="S63" s="212"/>
      <c r="T63" s="212"/>
      <c r="U63" s="409"/>
      <c r="V63" s="176"/>
      <c r="W63" s="212"/>
      <c r="X63" s="168"/>
      <c r="Y63" s="168"/>
      <c r="Z63" s="212">
        <f t="shared" ref="Z63:AA63" si="34">SUM(Z58:Z62)*0.1*-1</f>
        <v>-349444.33160000003</v>
      </c>
      <c r="AA63" s="212">
        <f t="shared" si="34"/>
        <v>-371177.32710000005</v>
      </c>
      <c r="AB63" s="212">
        <f t="shared" ref="AB63:AD63" si="35">SUM(AB58:AB62)*0.1*-1</f>
        <v>-392493.94630000001</v>
      </c>
      <c r="AC63" s="212">
        <f t="shared" si="35"/>
        <v>-409300.33810000005</v>
      </c>
      <c r="AD63" s="212">
        <f t="shared" si="35"/>
        <v>-424133.45370000007</v>
      </c>
    </row>
    <row r="64" spans="1:30" x14ac:dyDescent="0.2">
      <c r="A64" s="166"/>
      <c r="B64" s="164"/>
      <c r="C64" s="163"/>
      <c r="D64" s="179"/>
      <c r="E64" s="179"/>
      <c r="F64" s="163"/>
      <c r="G64" s="163"/>
      <c r="H64" s="163">
        <f>SUM(H58:H63)</f>
        <v>1890000</v>
      </c>
      <c r="I64" s="164"/>
      <c r="J64" s="163">
        <f>SUM(J58:J63)</f>
        <v>1850400</v>
      </c>
      <c r="M64" s="163">
        <f>SUM(M59:M63)</f>
        <v>1980000</v>
      </c>
      <c r="O64" s="163">
        <f>SUM(O59)</f>
        <v>2088000</v>
      </c>
      <c r="Q64" s="163">
        <f>SUM(Q59)</f>
        <v>2340000</v>
      </c>
      <c r="S64" s="163">
        <f>SUM(S59)</f>
        <v>2430000</v>
      </c>
      <c r="T64" s="163"/>
      <c r="U64" s="408"/>
      <c r="V64" s="163">
        <f>SUM(V59)</f>
        <v>2676000</v>
      </c>
      <c r="W64" s="179"/>
      <c r="X64" s="165">
        <f>SUM(X59)</f>
        <v>2987000</v>
      </c>
      <c r="Y64" s="165"/>
      <c r="Z64" s="179">
        <f t="shared" ref="Z64:AD64" si="36">SUM(Z58:Z63)</f>
        <v>3144998.9844</v>
      </c>
      <c r="AA64" s="179">
        <f t="shared" si="36"/>
        <v>3340595.9439000003</v>
      </c>
      <c r="AB64" s="179">
        <f t="shared" si="36"/>
        <v>3532445.5167</v>
      </c>
      <c r="AC64" s="179">
        <f t="shared" si="36"/>
        <v>3683703.0428999998</v>
      </c>
      <c r="AD64" s="179">
        <f t="shared" si="36"/>
        <v>3817201.0833000005</v>
      </c>
    </row>
    <row r="65" spans="1:30" x14ac:dyDescent="0.2">
      <c r="A65" s="166" t="s">
        <v>163</v>
      </c>
      <c r="B65" s="170"/>
      <c r="C65" s="169">
        <v>1</v>
      </c>
      <c r="D65" s="196"/>
      <c r="E65" s="196"/>
      <c r="F65" s="169">
        <v>1</v>
      </c>
      <c r="G65" s="169"/>
      <c r="H65" s="169">
        <v>1</v>
      </c>
      <c r="I65" s="170"/>
      <c r="J65" s="169">
        <v>1</v>
      </c>
      <c r="M65" s="169">
        <v>1</v>
      </c>
      <c r="O65" s="169">
        <v>1</v>
      </c>
      <c r="Q65" s="169">
        <v>1</v>
      </c>
      <c r="S65" s="169">
        <v>1</v>
      </c>
      <c r="T65" s="169"/>
      <c r="U65" s="408"/>
      <c r="V65" s="169">
        <v>1</v>
      </c>
      <c r="W65" s="196"/>
      <c r="X65" s="171">
        <v>1</v>
      </c>
      <c r="Y65" s="171"/>
      <c r="Z65" s="196">
        <v>1</v>
      </c>
      <c r="AA65" s="196">
        <v>1</v>
      </c>
      <c r="AB65" s="196">
        <v>1</v>
      </c>
      <c r="AC65" s="196">
        <v>1</v>
      </c>
      <c r="AD65" s="196">
        <v>1</v>
      </c>
    </row>
    <row r="66" spans="1:30" x14ac:dyDescent="0.2">
      <c r="A66" s="166" t="s">
        <v>164</v>
      </c>
      <c r="B66" s="174"/>
      <c r="C66" s="172">
        <v>0.164162</v>
      </c>
      <c r="D66" s="173"/>
      <c r="E66" s="173"/>
      <c r="F66" s="172">
        <v>0.16444500000000001</v>
      </c>
      <c r="G66" s="172"/>
      <c r="H66" s="172">
        <f>340088449/2100000000</f>
        <v>0.16194688047619046</v>
      </c>
      <c r="I66" s="174"/>
      <c r="J66" s="172">
        <f>295237467/1850400000</f>
        <v>0.15955332198443581</v>
      </c>
      <c r="M66" s="172">
        <v>0.15857099999999999</v>
      </c>
      <c r="O66" s="172">
        <v>0.1574547</v>
      </c>
      <c r="Q66" s="172">
        <f>350240377/2340000000%*0.01</f>
        <v>0.14967537478632481</v>
      </c>
      <c r="S66" s="172">
        <f>370904020/2430000000</f>
        <v>0.15263539917695473</v>
      </c>
      <c r="T66" s="172"/>
      <c r="U66" s="410"/>
      <c r="V66" s="172">
        <v>0.141817</v>
      </c>
      <c r="W66" s="173"/>
      <c r="X66" s="175">
        <f>345023.428/2987000</f>
        <v>0.11550834549715434</v>
      </c>
      <c r="Y66" s="175"/>
      <c r="Z66" s="173">
        <f>SUM(X66)</f>
        <v>0.11550834549715434</v>
      </c>
      <c r="AA66" s="173">
        <f>SUM(Z66)</f>
        <v>0.11550834549715434</v>
      </c>
      <c r="AB66" s="173">
        <f t="shared" ref="AB66:AD66" si="37">SUM(AA66)</f>
        <v>0.11550834549715434</v>
      </c>
      <c r="AC66" s="173">
        <f t="shared" si="37"/>
        <v>0.11550834549715434</v>
      </c>
      <c r="AD66" s="173">
        <f t="shared" si="37"/>
        <v>0.11550834549715434</v>
      </c>
    </row>
    <row r="67" spans="1:30" x14ac:dyDescent="0.2">
      <c r="A67" s="166" t="s">
        <v>165</v>
      </c>
      <c r="B67" s="164"/>
      <c r="C67" s="163">
        <f>SUM((C59+C60+C63)*C65*C66)</f>
        <v>275319.537602</v>
      </c>
      <c r="D67" s="179"/>
      <c r="E67" s="179"/>
      <c r="F67" s="163">
        <f>SUM((F59+F60+F63)*F65*F66)</f>
        <v>287268.9705</v>
      </c>
      <c r="G67" s="163"/>
      <c r="H67" s="163">
        <f>SUM(H64*H66)</f>
        <v>306079.6041</v>
      </c>
      <c r="I67" s="164"/>
      <c r="J67" s="163">
        <f>SUM(J64*J66)</f>
        <v>295237.467</v>
      </c>
      <c r="M67" s="163">
        <f>SUM(M64*M66)</f>
        <v>313970.57999999996</v>
      </c>
      <c r="O67" s="163">
        <f>SUM(O64*O66)</f>
        <v>328765.41360000003</v>
      </c>
      <c r="Q67" s="163">
        <f t="shared" ref="Q67:S67" si="38">SUM(Q64*Q66)</f>
        <v>350240.37700000004</v>
      </c>
      <c r="S67" s="163">
        <f t="shared" si="38"/>
        <v>370904.02</v>
      </c>
      <c r="T67" s="163"/>
      <c r="U67" s="408"/>
      <c r="V67" s="163">
        <f t="shared" ref="V67:AD67" si="39">SUM(V64*V66)</f>
        <v>379502.29200000002</v>
      </c>
      <c r="W67" s="179"/>
      <c r="X67" s="165">
        <f t="shared" si="39"/>
        <v>345023.42800000001</v>
      </c>
      <c r="Y67" s="165"/>
      <c r="Z67" s="179">
        <f t="shared" si="39"/>
        <v>363273.62927827472</v>
      </c>
      <c r="AA67" s="179">
        <f t="shared" si="39"/>
        <v>385866.71045439364</v>
      </c>
      <c r="AB67" s="179">
        <f t="shared" si="39"/>
        <v>408026.9371928575</v>
      </c>
      <c r="AC67" s="179">
        <f t="shared" si="39"/>
        <v>425498.44378821197</v>
      </c>
      <c r="AD67" s="179">
        <f t="shared" si="39"/>
        <v>440918.58156192832</v>
      </c>
    </row>
    <row r="68" spans="1:30" x14ac:dyDescent="0.2">
      <c r="A68" s="166" t="s">
        <v>189</v>
      </c>
      <c r="B68" s="164"/>
      <c r="C68" s="163">
        <f>283305-275320</f>
        <v>7985</v>
      </c>
      <c r="D68" s="179"/>
      <c r="E68" s="179"/>
      <c r="F68" s="163">
        <f>-26408+33289</f>
        <v>6881</v>
      </c>
      <c r="G68" s="163"/>
      <c r="H68" s="163">
        <f>-384.308-14.639-48.32-15.314-24409.062+7097.396+24409.062</f>
        <v>6634.8150000000023</v>
      </c>
      <c r="I68" s="164"/>
      <c r="J68" s="163">
        <f>-374.501-13.258-43.618-13.7+6672.21</f>
        <v>6227.1329999999998</v>
      </c>
      <c r="M68" s="163">
        <f>6237-14-53-14-267</f>
        <v>5889</v>
      </c>
      <c r="O68" s="163">
        <f>-198.728-15-50.618056</f>
        <v>-264.34605600000003</v>
      </c>
      <c r="Q68" s="163">
        <f>-217.58-15-69.194-0.062</f>
        <v>-301.83600000000001</v>
      </c>
      <c r="S68" s="163">
        <f>-215.103-15-50.168-0.061</f>
        <v>-280.33199999999999</v>
      </c>
      <c r="T68" s="163"/>
      <c r="U68" s="408"/>
      <c r="V68" s="163">
        <f>-49.245-0.521-15-223.702</f>
        <v>-288.46799999999996</v>
      </c>
      <c r="W68" s="179"/>
      <c r="X68" s="165">
        <v>-276.91899999999998</v>
      </c>
      <c r="Y68" s="165"/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</row>
    <row r="69" spans="1:30" x14ac:dyDescent="0.2">
      <c r="A69" s="166" t="s">
        <v>190</v>
      </c>
      <c r="B69" s="214"/>
      <c r="C69" s="213">
        <v>1</v>
      </c>
      <c r="D69" s="348"/>
      <c r="E69" s="348"/>
      <c r="F69" s="213">
        <v>1</v>
      </c>
      <c r="G69" s="213"/>
      <c r="H69" s="213">
        <v>1</v>
      </c>
      <c r="I69" s="214"/>
      <c r="J69" s="213">
        <v>1</v>
      </c>
      <c r="M69" s="213">
        <v>1</v>
      </c>
      <c r="O69" s="213">
        <v>1</v>
      </c>
      <c r="Q69" s="213">
        <v>1</v>
      </c>
      <c r="S69" s="213">
        <v>1</v>
      </c>
      <c r="T69" s="213"/>
      <c r="U69" s="408"/>
      <c r="V69" s="213">
        <v>1</v>
      </c>
      <c r="W69" s="348"/>
      <c r="X69" s="215">
        <v>1</v>
      </c>
      <c r="Y69" s="215"/>
      <c r="Z69" s="348">
        <v>1</v>
      </c>
      <c r="AA69" s="348">
        <v>1</v>
      </c>
      <c r="AB69" s="348">
        <v>1</v>
      </c>
      <c r="AC69" s="348">
        <v>1</v>
      </c>
      <c r="AD69" s="348">
        <v>1</v>
      </c>
    </row>
    <row r="70" spans="1:30" x14ac:dyDescent="0.2">
      <c r="A70" s="349" t="s">
        <v>191</v>
      </c>
      <c r="B70" s="164"/>
      <c r="C70" s="163">
        <f>SUM(C67:C68)*C69</f>
        <v>283304.537602</v>
      </c>
      <c r="D70" s="179"/>
      <c r="E70" s="179"/>
      <c r="F70" s="163">
        <f>SUM(F67:F68)*F69</f>
        <v>294149.9705</v>
      </c>
      <c r="G70" s="163"/>
      <c r="H70" s="163">
        <f>SUM(H67:H68)*H69</f>
        <v>312714.4191</v>
      </c>
      <c r="I70" s="164"/>
      <c r="J70" s="163">
        <f>SUM(J67:J68)*J69</f>
        <v>301464.59999999998</v>
      </c>
      <c r="M70" s="163">
        <f>SUM(M67:M68)*M69</f>
        <v>319859.57999999996</v>
      </c>
      <c r="O70" s="163">
        <f>SUM(O67:O68)*O69</f>
        <v>328501.06754400005</v>
      </c>
      <c r="Q70" s="163">
        <f t="shared" ref="Q70:S70" si="40">SUM(Q67:Q68)*Q69</f>
        <v>349938.54100000003</v>
      </c>
      <c r="S70" s="163">
        <f t="shared" si="40"/>
        <v>370623.68800000002</v>
      </c>
      <c r="T70" s="163"/>
      <c r="U70" s="408"/>
      <c r="V70" s="163">
        <f t="shared" ref="V70:X70" si="41">SUM(V67:V68)*V69</f>
        <v>379213.82400000002</v>
      </c>
      <c r="W70" s="179"/>
      <c r="X70" s="165">
        <f t="shared" si="41"/>
        <v>344746.50900000002</v>
      </c>
      <c r="Y70" s="165"/>
      <c r="Z70" s="179">
        <f t="shared" ref="Z70:AD70" si="42">SUM(Z67:Z68)*Z69</f>
        <v>363273.62927827472</v>
      </c>
      <c r="AA70" s="179">
        <f t="shared" si="42"/>
        <v>385866.71045439364</v>
      </c>
      <c r="AB70" s="179">
        <f t="shared" si="42"/>
        <v>408026.9371928575</v>
      </c>
      <c r="AC70" s="179">
        <f t="shared" si="42"/>
        <v>425498.44378821197</v>
      </c>
      <c r="AD70" s="179">
        <f t="shared" si="42"/>
        <v>440918.58156192832</v>
      </c>
    </row>
    <row r="71" spans="1:30" x14ac:dyDescent="0.2">
      <c r="A71" s="166" t="s">
        <v>180</v>
      </c>
      <c r="B71" s="217"/>
      <c r="C71" s="216">
        <f>18850/283305</f>
        <v>6.6536065371243E-2</v>
      </c>
      <c r="D71" s="218"/>
      <c r="E71" s="218"/>
      <c r="F71" s="216">
        <f>19364423/294150155</f>
        <v>6.5831762012840009E-2</v>
      </c>
      <c r="G71" s="216"/>
      <c r="H71" s="216">
        <f>20873923/312714428</f>
        <v>6.6750751263705679E-2</v>
      </c>
      <c r="I71" s="217"/>
      <c r="J71" s="216">
        <f>19901853/301464474</f>
        <v>6.6017241553974954E-2</v>
      </c>
      <c r="M71" s="216">
        <f>20889221/319841522</f>
        <v>6.5311160569077084E-2</v>
      </c>
      <c r="O71" s="183">
        <v>6.5777000000000002E-2</v>
      </c>
      <c r="Q71" s="201">
        <f>22904266/349938542</f>
        <v>6.5452253041621236E-2</v>
      </c>
      <c r="S71" s="216">
        <f>24674/370624</f>
        <v>6.6574209981005009E-2</v>
      </c>
      <c r="T71" s="218"/>
      <c r="U71" s="409"/>
      <c r="V71" s="216">
        <f>24737.466/379214</f>
        <v>6.5233525133565742E-2</v>
      </c>
      <c r="W71" s="218"/>
      <c r="X71" s="224">
        <f>22376.23/344747</f>
        <v>6.4906235587256736E-2</v>
      </c>
      <c r="Y71" s="224"/>
      <c r="Z71" s="218">
        <f>SUM(X71)</f>
        <v>6.4906235587256736E-2</v>
      </c>
      <c r="AA71" s="218">
        <f t="shared" ref="AA71:AD71" si="43">SUM(Z71)</f>
        <v>6.4906235587256736E-2</v>
      </c>
      <c r="AB71" s="218">
        <f t="shared" si="43"/>
        <v>6.4906235587256736E-2</v>
      </c>
      <c r="AC71" s="218">
        <f t="shared" si="43"/>
        <v>6.4906235587256736E-2</v>
      </c>
      <c r="AD71" s="218">
        <f t="shared" si="43"/>
        <v>6.4906235587256736E-2</v>
      </c>
    </row>
    <row r="72" spans="1:30" x14ac:dyDescent="0.2">
      <c r="A72" s="166" t="s">
        <v>192</v>
      </c>
      <c r="B72" s="164"/>
      <c r="C72" s="163">
        <f>SUM(C70*C71)</f>
        <v>18849.969233856442</v>
      </c>
      <c r="D72" s="179"/>
      <c r="E72" s="179"/>
      <c r="F72" s="163">
        <f>SUM(F70*F71)</f>
        <v>19364.41085403991</v>
      </c>
      <c r="G72" s="163"/>
      <c r="H72" s="163">
        <f>SUM(H70*H71)</f>
        <v>20873.922405918311</v>
      </c>
      <c r="I72" s="164"/>
      <c r="J72" s="163">
        <f>SUM(J70*J71)</f>
        <v>19901.861318172436</v>
      </c>
      <c r="M72" s="163">
        <f>SUM(M70*M71)</f>
        <v>20890.400388937553</v>
      </c>
      <c r="O72" s="163">
        <f>SUM(O70*O71)</f>
        <v>21607.814719841692</v>
      </c>
      <c r="Q72" s="163">
        <f t="shared" ref="Q72:S72" si="44">SUM(Q70*Q71)</f>
        <v>22904.265934547748</v>
      </c>
      <c r="S72" s="163">
        <f t="shared" si="44"/>
        <v>24673.979228846489</v>
      </c>
      <c r="T72" s="179"/>
      <c r="U72" s="408"/>
      <c r="V72" s="163">
        <f t="shared" ref="V72:AD72" si="45">SUM(V70*V71)</f>
        <v>24737.454518899576</v>
      </c>
      <c r="W72" s="179"/>
      <c r="X72" s="165">
        <f t="shared" si="45"/>
        <v>22376.198131038327</v>
      </c>
      <c r="Y72" s="165"/>
      <c r="Z72" s="179">
        <f t="shared" si="45"/>
        <v>23578.723764573464</v>
      </c>
      <c r="AA72" s="179">
        <f t="shared" si="45"/>
        <v>25045.155614032654</v>
      </c>
      <c r="AB72" s="179">
        <f t="shared" si="45"/>
        <v>26483.492511386416</v>
      </c>
      <c r="AC72" s="179">
        <f t="shared" si="45"/>
        <v>27617.502234528802</v>
      </c>
      <c r="AD72" s="179">
        <f t="shared" si="45"/>
        <v>28618.365329657594</v>
      </c>
    </row>
    <row r="73" spans="1:30" x14ac:dyDescent="0.2">
      <c r="A73" s="166" t="s">
        <v>193</v>
      </c>
      <c r="B73" s="164"/>
      <c r="C73" s="163">
        <f>-173+18.398</f>
        <v>-154.602</v>
      </c>
      <c r="D73" s="179"/>
      <c r="E73" s="179"/>
      <c r="F73" s="163">
        <v>0</v>
      </c>
      <c r="G73" s="163"/>
      <c r="H73" s="163">
        <v>0</v>
      </c>
      <c r="I73" s="164"/>
      <c r="J73" s="163">
        <v>0</v>
      </c>
      <c r="M73" s="163">
        <v>0</v>
      </c>
      <c r="O73" s="163">
        <v>0</v>
      </c>
      <c r="Q73" s="163">
        <v>0</v>
      </c>
      <c r="S73" s="163">
        <v>0</v>
      </c>
      <c r="T73" s="179"/>
      <c r="U73" s="408"/>
      <c r="V73" s="163">
        <v>0</v>
      </c>
      <c r="W73" s="179"/>
      <c r="X73" s="179">
        <v>0</v>
      </c>
      <c r="Y73" s="179"/>
      <c r="Z73" s="179">
        <v>0</v>
      </c>
      <c r="AA73" s="179">
        <v>0</v>
      </c>
      <c r="AB73" s="179">
        <v>0</v>
      </c>
      <c r="AC73" s="179">
        <v>0</v>
      </c>
      <c r="AD73" s="179">
        <v>0</v>
      </c>
    </row>
    <row r="74" spans="1:30" x14ac:dyDescent="0.2">
      <c r="A74" s="166" t="s">
        <v>194</v>
      </c>
      <c r="B74" s="182"/>
      <c r="C74" s="180">
        <f>SUM(C72:C73)</f>
        <v>18695.367233856443</v>
      </c>
      <c r="D74" s="181"/>
      <c r="E74" s="181"/>
      <c r="F74" s="180">
        <f>SUM(F72:F73)</f>
        <v>19364.41085403991</v>
      </c>
      <c r="G74" s="180"/>
      <c r="H74" s="180">
        <f>SUM(H72:H73)</f>
        <v>20873.922405918311</v>
      </c>
      <c r="I74" s="182"/>
      <c r="J74" s="180">
        <f>SUM(J72:J73)</f>
        <v>19901.861318172436</v>
      </c>
      <c r="M74" s="180">
        <f>SUM(M72:M73)</f>
        <v>20890.400388937553</v>
      </c>
      <c r="O74" s="180">
        <f>SUM(O72:O73)</f>
        <v>21607.814719841692</v>
      </c>
      <c r="Q74" s="180">
        <f t="shared" ref="Q74:S74" si="46">SUM(Q72:Q73)</f>
        <v>22904.265934547748</v>
      </c>
      <c r="S74" s="180">
        <f t="shared" si="46"/>
        <v>24673.979228846489</v>
      </c>
      <c r="T74" s="181"/>
      <c r="U74" s="411"/>
      <c r="V74" s="180">
        <f t="shared" ref="V74:AD74" si="47">SUM(V72:V73)</f>
        <v>24737.454518899576</v>
      </c>
      <c r="W74" s="181"/>
      <c r="X74" s="225">
        <f t="shared" si="47"/>
        <v>22376.198131038327</v>
      </c>
      <c r="Y74" s="181"/>
      <c r="Z74" s="181">
        <f t="shared" si="47"/>
        <v>23578.723764573464</v>
      </c>
      <c r="AA74" s="181">
        <f t="shared" si="47"/>
        <v>25045.155614032654</v>
      </c>
      <c r="AB74" s="181">
        <f t="shared" si="47"/>
        <v>26483.492511386416</v>
      </c>
      <c r="AC74" s="181">
        <f t="shared" si="47"/>
        <v>27617.502234528802</v>
      </c>
      <c r="AD74" s="181">
        <f t="shared" si="47"/>
        <v>28618.365329657594</v>
      </c>
    </row>
    <row r="75" spans="1:30" x14ac:dyDescent="0.2">
      <c r="A75" s="166" t="s">
        <v>171</v>
      </c>
      <c r="B75" s="340"/>
      <c r="C75" s="201">
        <v>0.31753999999999999</v>
      </c>
      <c r="D75" s="266"/>
      <c r="E75" s="266"/>
      <c r="F75" s="201">
        <v>0.31885000000000002</v>
      </c>
      <c r="G75" s="412"/>
      <c r="H75" s="201">
        <v>0.31947999999999999</v>
      </c>
      <c r="I75" s="412"/>
      <c r="J75" s="201">
        <v>0.30969999999999998</v>
      </c>
      <c r="K75" s="425"/>
      <c r="L75" s="413">
        <f>SUM(M75-J75)/M75</f>
        <v>2.1976012674837325E-2</v>
      </c>
      <c r="M75" s="201">
        <v>0.31665890000000002</v>
      </c>
      <c r="N75" s="422">
        <f>SUM(O75-M75)/O75</f>
        <v>1.2508805778898601E-2</v>
      </c>
      <c r="O75" s="201">
        <v>0.32067010000000001</v>
      </c>
      <c r="P75" s="422">
        <f>SUM(Q75-O75)/Q75</f>
        <v>-1.7309515855741205E-2</v>
      </c>
      <c r="Q75" s="201">
        <v>0.31521389999999999</v>
      </c>
      <c r="R75" s="414">
        <f>SUM(S75-Q75)/Q75</f>
        <v>4.9560661099330737E-2</v>
      </c>
      <c r="S75" s="201">
        <f>8163129.23/24674239</f>
        <v>0.33083610927169832</v>
      </c>
      <c r="T75" s="202"/>
      <c r="U75" s="423">
        <f>SUM(V75-S75)/S75</f>
        <v>3.3346375673087368E-2</v>
      </c>
      <c r="V75" s="201">
        <f>8456.796/24737</f>
        <v>0.34186829445769495</v>
      </c>
      <c r="W75" s="416">
        <f>SUM((X75-V75)/V75)</f>
        <v>0.10912612257568324</v>
      </c>
      <c r="X75" s="183">
        <f>8484.42105/22376</f>
        <v>0.37917505586342515</v>
      </c>
      <c r="Y75" s="417">
        <f>SUM(Y51)</f>
        <v>0</v>
      </c>
      <c r="Z75" s="266">
        <f>SUM(X75*(1+Y75))</f>
        <v>0.37917505586342515</v>
      </c>
      <c r="AA75" s="266">
        <f>SUM(Z75*(1+Y75))</f>
        <v>0.37917505586342515</v>
      </c>
      <c r="AB75" s="266">
        <f>SUM(AA75*(1+Y75))</f>
        <v>0.37917505586342515</v>
      </c>
      <c r="AC75" s="266">
        <f>SUM(AB75*(1+Y75))</f>
        <v>0.37917505586342515</v>
      </c>
      <c r="AD75" s="266">
        <f>SUM(AC75*(1+Y75))</f>
        <v>0.37917505586342515</v>
      </c>
    </row>
    <row r="76" spans="1:30" x14ac:dyDescent="0.2">
      <c r="A76" s="166"/>
      <c r="B76" s="186"/>
      <c r="C76" s="203"/>
      <c r="D76" s="185"/>
      <c r="E76" s="185"/>
      <c r="F76" s="203"/>
      <c r="G76" s="203"/>
      <c r="H76" s="203"/>
      <c r="I76" s="186"/>
      <c r="J76" s="203"/>
      <c r="M76" s="203"/>
      <c r="O76" s="203"/>
      <c r="Q76" s="203"/>
      <c r="S76" s="203"/>
      <c r="T76" s="203"/>
      <c r="U76" s="408"/>
      <c r="V76" s="203"/>
      <c r="W76" s="185"/>
      <c r="X76" s="203"/>
      <c r="Y76" s="185"/>
      <c r="Z76" s="185"/>
      <c r="AA76" s="185"/>
      <c r="AB76" s="185"/>
      <c r="AC76" s="185"/>
      <c r="AD76" s="185"/>
    </row>
    <row r="77" spans="1:30" ht="13.5" thickBot="1" x14ac:dyDescent="0.25">
      <c r="A77" s="333" t="s">
        <v>172</v>
      </c>
      <c r="B77" s="188"/>
      <c r="C77" s="187">
        <f>SUM(C74*C75)</f>
        <v>5936.5269114387747</v>
      </c>
      <c r="D77" s="219"/>
      <c r="E77" s="219"/>
      <c r="F77" s="187">
        <f>SUM(F74*F75)</f>
        <v>6174.3424008106258</v>
      </c>
      <c r="G77" s="219"/>
      <c r="H77" s="187">
        <f>SUM(H74*H75)</f>
        <v>6668.8007302427814</v>
      </c>
      <c r="I77" s="188"/>
      <c r="J77" s="187">
        <f>SUM(J74*J75)</f>
        <v>6163.6064502380032</v>
      </c>
      <c r="M77" s="187">
        <f>SUM(M74*M75)</f>
        <v>6615.1312077205384</v>
      </c>
      <c r="O77" s="187">
        <f>SUM(O74*O75)</f>
        <v>6928.9801069931073</v>
      </c>
      <c r="Q77" s="187">
        <f t="shared" ref="Q77:S77" si="48">SUM(Q74*Q75)</f>
        <v>7219.74299186594</v>
      </c>
      <c r="S77" s="187">
        <f t="shared" si="48"/>
        <v>8163.043288322272</v>
      </c>
      <c r="T77" s="187"/>
      <c r="U77" s="419"/>
      <c r="V77" s="187">
        <f t="shared" ref="V77:AD77" si="49">SUM(V74*V75)</f>
        <v>8456.9513856009962</v>
      </c>
      <c r="W77" s="219"/>
      <c r="X77" s="301">
        <f t="shared" si="49"/>
        <v>8484.4961763475276</v>
      </c>
      <c r="Y77" s="219"/>
      <c r="Z77" s="219">
        <f t="shared" si="49"/>
        <v>8940.4639006204125</v>
      </c>
      <c r="AA77" s="219">
        <f t="shared" si="49"/>
        <v>9496.4982790590075</v>
      </c>
      <c r="AB77" s="219">
        <f t="shared" si="49"/>
        <v>10041.879752463547</v>
      </c>
      <c r="AC77" s="219">
        <f t="shared" si="49"/>
        <v>10471.867952585728</v>
      </c>
      <c r="AD77" s="219">
        <f t="shared" si="49"/>
        <v>10851.370272592827</v>
      </c>
    </row>
    <row r="78" spans="1:30" ht="13.5" thickTop="1" x14ac:dyDescent="0.2">
      <c r="A78" s="249"/>
      <c r="B78" s="221"/>
      <c r="C78" s="220"/>
      <c r="D78" s="220"/>
      <c r="E78" s="220"/>
      <c r="F78" s="220"/>
      <c r="G78" s="220"/>
      <c r="H78" s="220"/>
      <c r="I78" s="221"/>
      <c r="J78" s="223"/>
      <c r="M78" s="220"/>
      <c r="O78" s="220"/>
      <c r="P78" s="220"/>
      <c r="Q78" s="220"/>
      <c r="S78" s="220"/>
      <c r="T78" s="220"/>
      <c r="U78" s="222"/>
      <c r="V78" s="223"/>
      <c r="W78" s="220"/>
      <c r="X78" s="220"/>
      <c r="Y78" s="220"/>
      <c r="Z78" s="220"/>
      <c r="AA78" s="220"/>
      <c r="AB78" s="220"/>
      <c r="AC78" s="220"/>
      <c r="AD78" s="220"/>
    </row>
    <row r="79" spans="1:30" x14ac:dyDescent="0.2">
      <c r="A79" s="344"/>
      <c r="B79" s="194"/>
      <c r="C79" s="193"/>
      <c r="D79" s="193"/>
      <c r="E79" s="193"/>
      <c r="F79" s="193"/>
      <c r="G79" s="193"/>
      <c r="H79" s="193"/>
      <c r="I79" s="194"/>
      <c r="J79" s="208"/>
      <c r="M79" s="193"/>
      <c r="O79" s="208"/>
      <c r="Q79" s="208"/>
      <c r="S79" s="208"/>
      <c r="T79" s="208"/>
      <c r="U79" s="195"/>
      <c r="V79" s="193"/>
      <c r="W79" s="193"/>
      <c r="X79" s="208"/>
      <c r="Y79" s="208"/>
      <c r="Z79" s="193"/>
      <c r="AA79" s="193"/>
      <c r="AB79" s="193"/>
      <c r="AC79" s="193"/>
      <c r="AD79" s="193"/>
    </row>
    <row r="80" spans="1:30" x14ac:dyDescent="0.2">
      <c r="A80" s="335" t="s">
        <v>195</v>
      </c>
      <c r="B80" s="334"/>
      <c r="C80" s="156" t="s">
        <v>196</v>
      </c>
      <c r="D80" s="267"/>
      <c r="E80" s="267"/>
      <c r="F80" s="156" t="s">
        <v>197</v>
      </c>
      <c r="G80" s="156"/>
      <c r="H80" s="156" t="s">
        <v>198</v>
      </c>
      <c r="I80" s="157"/>
      <c r="J80" s="156" t="s">
        <v>199</v>
      </c>
      <c r="M80" s="156" t="s">
        <v>200</v>
      </c>
      <c r="O80" s="156" t="s">
        <v>201</v>
      </c>
      <c r="Q80" s="156" t="s">
        <v>202</v>
      </c>
      <c r="S80" s="156" t="s">
        <v>203</v>
      </c>
      <c r="T80" s="156"/>
      <c r="U80" s="407"/>
      <c r="V80" s="156" t="s">
        <v>204</v>
      </c>
      <c r="W80" s="156"/>
      <c r="X80" s="156" t="s">
        <v>205</v>
      </c>
      <c r="Y80" s="156"/>
      <c r="Z80" s="156" t="s">
        <v>265</v>
      </c>
      <c r="AA80" s="156" t="s">
        <v>266</v>
      </c>
      <c r="AB80" s="156" t="s">
        <v>206</v>
      </c>
      <c r="AC80" s="156" t="s">
        <v>207</v>
      </c>
      <c r="AD80" s="156" t="s">
        <v>208</v>
      </c>
    </row>
    <row r="81" spans="1:30" x14ac:dyDescent="0.2">
      <c r="A81" s="345"/>
      <c r="B81" s="159"/>
      <c r="C81" s="158"/>
      <c r="D81" s="158"/>
      <c r="E81" s="158"/>
      <c r="F81" s="158"/>
      <c r="G81" s="158"/>
      <c r="H81" s="158"/>
      <c r="I81" s="159"/>
      <c r="J81" s="158"/>
      <c r="M81" s="160"/>
      <c r="O81" s="160"/>
      <c r="Q81" s="160"/>
      <c r="S81" s="160"/>
      <c r="T81" s="160"/>
      <c r="U81" s="161"/>
      <c r="V81" s="160"/>
      <c r="W81" s="158"/>
      <c r="X81" s="160"/>
      <c r="Y81" s="160"/>
      <c r="Z81" s="158"/>
      <c r="AA81" s="158"/>
      <c r="AB81" s="158"/>
      <c r="AC81" s="158"/>
      <c r="AD81" s="158"/>
    </row>
    <row r="82" spans="1:30" x14ac:dyDescent="0.2">
      <c r="A82" s="166" t="s">
        <v>154</v>
      </c>
      <c r="B82" s="159"/>
      <c r="C82" s="146" t="s">
        <v>209</v>
      </c>
      <c r="D82" s="158"/>
      <c r="E82" s="158"/>
      <c r="F82" s="146" t="s">
        <v>209</v>
      </c>
      <c r="G82" s="146"/>
      <c r="H82" s="146" t="s">
        <v>210</v>
      </c>
      <c r="I82" s="159"/>
      <c r="J82" s="162" t="s">
        <v>210</v>
      </c>
      <c r="M82" s="162" t="s">
        <v>210</v>
      </c>
      <c r="O82" s="162" t="s">
        <v>210</v>
      </c>
      <c r="Q82" s="162" t="s">
        <v>210</v>
      </c>
      <c r="S82" s="162" t="s">
        <v>210</v>
      </c>
      <c r="T82" s="162"/>
      <c r="U82" s="148"/>
      <c r="V82" s="162" t="s">
        <v>210</v>
      </c>
      <c r="W82" s="146"/>
      <c r="X82" s="162" t="s">
        <v>210</v>
      </c>
      <c r="Y82" s="162"/>
      <c r="Z82" s="146" t="s">
        <v>210</v>
      </c>
      <c r="AA82" s="146" t="s">
        <v>210</v>
      </c>
      <c r="AB82" s="146" t="s">
        <v>210</v>
      </c>
      <c r="AC82" s="146" t="s">
        <v>210</v>
      </c>
      <c r="AD82" s="146" t="s">
        <v>210</v>
      </c>
    </row>
    <row r="83" spans="1:30" x14ac:dyDescent="0.2">
      <c r="A83" s="166" t="s">
        <v>155</v>
      </c>
      <c r="B83" s="164"/>
      <c r="C83" s="163">
        <v>1420</v>
      </c>
      <c r="D83" s="179"/>
      <c r="E83" s="179"/>
      <c r="F83" s="163">
        <v>1412</v>
      </c>
      <c r="G83" s="163"/>
      <c r="H83" s="163">
        <v>1354</v>
      </c>
      <c r="I83" s="164"/>
      <c r="J83" s="163">
        <v>666</v>
      </c>
      <c r="M83" s="163">
        <v>841</v>
      </c>
      <c r="O83" s="163">
        <v>925</v>
      </c>
      <c r="Q83" s="163">
        <v>888</v>
      </c>
      <c r="S83" s="163">
        <v>1002</v>
      </c>
      <c r="T83" s="163"/>
      <c r="U83" s="408"/>
      <c r="V83" s="163">
        <v>1190</v>
      </c>
      <c r="W83" s="179"/>
      <c r="X83" s="165">
        <v>1131</v>
      </c>
      <c r="Y83" s="165"/>
      <c r="Z83" s="179">
        <f>SUM(X83)</f>
        <v>1131</v>
      </c>
      <c r="AA83" s="179">
        <f t="shared" ref="AA83:AD83" si="50">SUM(Z83)</f>
        <v>1131</v>
      </c>
      <c r="AB83" s="179">
        <f t="shared" si="50"/>
        <v>1131</v>
      </c>
      <c r="AC83" s="179">
        <f t="shared" si="50"/>
        <v>1131</v>
      </c>
      <c r="AD83" s="179">
        <f t="shared" si="50"/>
        <v>1131</v>
      </c>
    </row>
    <row r="84" spans="1:30" x14ac:dyDescent="0.2">
      <c r="A84" s="166" t="s">
        <v>211</v>
      </c>
      <c r="B84" s="164"/>
      <c r="C84" s="163">
        <f>SUM(C75)</f>
        <v>0.31753999999999999</v>
      </c>
      <c r="D84" s="179"/>
      <c r="E84" s="179"/>
      <c r="F84" s="163">
        <f>SUM(F75)</f>
        <v>0.31885000000000002</v>
      </c>
      <c r="G84" s="163"/>
      <c r="H84" s="163"/>
      <c r="I84" s="164"/>
      <c r="J84" s="163"/>
      <c r="M84" s="163">
        <f>SUM(M75)</f>
        <v>0.31665890000000002</v>
      </c>
      <c r="O84" s="163">
        <f>SUM(O75)</f>
        <v>0.32067010000000001</v>
      </c>
      <c r="Q84" s="163">
        <f t="shared" ref="Q84:S85" si="51">SUM(Q75)</f>
        <v>0.31521389999999999</v>
      </c>
      <c r="S84" s="163">
        <f t="shared" si="51"/>
        <v>0.33083610927169832</v>
      </c>
      <c r="T84" s="163"/>
      <c r="U84" s="408" t="s">
        <v>117</v>
      </c>
      <c r="V84" s="163">
        <v>0</v>
      </c>
      <c r="W84" s="179"/>
      <c r="X84" s="165">
        <v>0</v>
      </c>
      <c r="Y84" s="165"/>
      <c r="Z84" s="179">
        <v>0</v>
      </c>
      <c r="AA84" s="179">
        <v>0</v>
      </c>
      <c r="AB84" s="179">
        <v>0</v>
      </c>
      <c r="AC84" s="179">
        <v>0</v>
      </c>
      <c r="AD84" s="179">
        <v>0</v>
      </c>
    </row>
    <row r="85" spans="1:30" x14ac:dyDescent="0.2">
      <c r="A85" s="166" t="s">
        <v>161</v>
      </c>
      <c r="B85" s="164"/>
      <c r="C85" s="163">
        <f>SUM(C76)</f>
        <v>0</v>
      </c>
      <c r="D85" s="179"/>
      <c r="E85" s="179"/>
      <c r="F85" s="163">
        <f>SUM(F76)</f>
        <v>0</v>
      </c>
      <c r="G85" s="163"/>
      <c r="H85" s="163"/>
      <c r="I85" s="164"/>
      <c r="J85" s="163"/>
      <c r="M85" s="163">
        <f>SUM(M76)</f>
        <v>0</v>
      </c>
      <c r="O85" s="163">
        <f>SUM(O76)</f>
        <v>0</v>
      </c>
      <c r="Q85" s="163">
        <f t="shared" si="51"/>
        <v>0</v>
      </c>
      <c r="S85" s="163">
        <f t="shared" si="51"/>
        <v>0</v>
      </c>
      <c r="T85" s="163"/>
      <c r="U85" s="408"/>
      <c r="V85" s="163">
        <v>0</v>
      </c>
      <c r="W85" s="179"/>
      <c r="X85" s="165">
        <v>0</v>
      </c>
      <c r="Y85" s="165"/>
      <c r="Z85" s="179">
        <f t="shared" ref="Z85:AD85" si="52">SUM(Z76)</f>
        <v>0</v>
      </c>
      <c r="AA85" s="179">
        <f t="shared" si="52"/>
        <v>0</v>
      </c>
      <c r="AB85" s="179">
        <f t="shared" si="52"/>
        <v>0</v>
      </c>
      <c r="AC85" s="179">
        <f t="shared" si="52"/>
        <v>0</v>
      </c>
      <c r="AD85" s="179">
        <f t="shared" si="52"/>
        <v>0</v>
      </c>
    </row>
    <row r="86" spans="1:30" x14ac:dyDescent="0.2">
      <c r="A86" s="166" t="s">
        <v>163</v>
      </c>
      <c r="B86" s="170"/>
      <c r="C86" s="169">
        <v>1</v>
      </c>
      <c r="D86" s="196"/>
      <c r="E86" s="196"/>
      <c r="F86" s="169">
        <v>1</v>
      </c>
      <c r="G86" s="169"/>
      <c r="H86" s="169">
        <v>1</v>
      </c>
      <c r="I86" s="170"/>
      <c r="J86" s="169">
        <v>1</v>
      </c>
      <c r="M86" s="169">
        <v>1</v>
      </c>
      <c r="O86" s="169">
        <v>1</v>
      </c>
      <c r="Q86" s="169">
        <v>1</v>
      </c>
      <c r="S86" s="169">
        <v>1</v>
      </c>
      <c r="T86" s="169"/>
      <c r="U86" s="408"/>
      <c r="V86" s="169">
        <v>1</v>
      </c>
      <c r="W86" s="196"/>
      <c r="X86" s="171">
        <v>1</v>
      </c>
      <c r="Y86" s="171"/>
      <c r="Z86" s="196">
        <v>1</v>
      </c>
      <c r="AA86" s="196">
        <v>1</v>
      </c>
      <c r="AB86" s="196">
        <v>1</v>
      </c>
      <c r="AC86" s="196">
        <v>1</v>
      </c>
      <c r="AD86" s="196">
        <v>1</v>
      </c>
    </row>
    <row r="87" spans="1:30" x14ac:dyDescent="0.2">
      <c r="A87" s="166" t="s">
        <v>164</v>
      </c>
      <c r="B87" s="174"/>
      <c r="C87" s="172">
        <v>1</v>
      </c>
      <c r="D87" s="173"/>
      <c r="E87" s="173"/>
      <c r="F87" s="172">
        <v>1</v>
      </c>
      <c r="G87" s="172"/>
      <c r="H87" s="172">
        <v>1</v>
      </c>
      <c r="I87" s="174"/>
      <c r="J87" s="172">
        <v>1</v>
      </c>
      <c r="M87" s="172">
        <v>1</v>
      </c>
      <c r="O87" s="172">
        <v>1</v>
      </c>
      <c r="Q87" s="172">
        <v>1</v>
      </c>
      <c r="S87" s="172">
        <v>1</v>
      </c>
      <c r="T87" s="172"/>
      <c r="U87" s="409"/>
      <c r="V87" s="172">
        <v>1</v>
      </c>
      <c r="W87" s="173"/>
      <c r="X87" s="175">
        <v>1</v>
      </c>
      <c r="Y87" s="175"/>
      <c r="Z87" s="173">
        <v>1</v>
      </c>
      <c r="AA87" s="173">
        <v>1</v>
      </c>
      <c r="AB87" s="173">
        <v>1</v>
      </c>
      <c r="AC87" s="173">
        <v>1</v>
      </c>
      <c r="AD87" s="173">
        <v>1</v>
      </c>
    </row>
    <row r="88" spans="1:30" x14ac:dyDescent="0.2">
      <c r="A88" s="166" t="s">
        <v>165</v>
      </c>
      <c r="B88" s="164"/>
      <c r="C88" s="163">
        <f>SUM((C83+C84+C85)*C86*C87)</f>
        <v>1420.31754</v>
      </c>
      <c r="D88" s="179"/>
      <c r="E88" s="179"/>
      <c r="F88" s="163">
        <f>SUM((F83+F84+F85)*F86*F87)</f>
        <v>1412.3188500000001</v>
      </c>
      <c r="G88" s="163"/>
      <c r="H88" s="163">
        <f>SUM((H83+H84+H85)*H86*H87)</f>
        <v>1354</v>
      </c>
      <c r="I88" s="164"/>
      <c r="J88" s="163">
        <f>SUM((J83+J84+J85)*J86*J87)</f>
        <v>666</v>
      </c>
      <c r="M88" s="163">
        <f>SUM((M83+M84+M85)*M86*M87)</f>
        <v>841.31665889999999</v>
      </c>
      <c r="O88" s="163">
        <f>SUM((O83+O84+O85)*O86*O87)</f>
        <v>925.32067010000003</v>
      </c>
      <c r="Q88" s="163">
        <f t="shared" ref="Q88:S88" si="53">SUM((Q83+Q84+Q85)*Q86*Q87)</f>
        <v>888.3152139</v>
      </c>
      <c r="S88" s="163">
        <f t="shared" si="53"/>
        <v>1002.3308361092717</v>
      </c>
      <c r="T88" s="163"/>
      <c r="U88" s="408"/>
      <c r="V88" s="163">
        <f>SUM((V83+V84+V85)*V86*V87)</f>
        <v>1190</v>
      </c>
      <c r="W88" s="179"/>
      <c r="X88" s="165">
        <f>SUM((X83+X84+X85)*X86*X87)</f>
        <v>1131</v>
      </c>
      <c r="Y88" s="165"/>
      <c r="Z88" s="179">
        <f t="shared" ref="Z88:AD88" si="54">SUM((Z83+Z84+Z85)*Z86*Z87)</f>
        <v>1131</v>
      </c>
      <c r="AA88" s="179">
        <f t="shared" si="54"/>
        <v>1131</v>
      </c>
      <c r="AB88" s="179">
        <f t="shared" si="54"/>
        <v>1131</v>
      </c>
      <c r="AC88" s="179">
        <f t="shared" si="54"/>
        <v>1131</v>
      </c>
      <c r="AD88" s="179">
        <f t="shared" si="54"/>
        <v>1131</v>
      </c>
    </row>
    <row r="89" spans="1:30" x14ac:dyDescent="0.2">
      <c r="A89" s="166" t="s">
        <v>189</v>
      </c>
      <c r="B89" s="164"/>
      <c r="C89" s="163"/>
      <c r="D89" s="179"/>
      <c r="E89" s="179"/>
      <c r="F89" s="163"/>
      <c r="G89" s="163"/>
      <c r="H89" s="163"/>
      <c r="I89" s="164"/>
      <c r="J89" s="163"/>
      <c r="M89" s="163"/>
      <c r="O89" s="163"/>
      <c r="Q89" s="163"/>
      <c r="S89" s="163"/>
      <c r="T89" s="163"/>
      <c r="U89" s="408"/>
      <c r="V89" s="163"/>
      <c r="W89" s="179"/>
      <c r="X89" s="165"/>
      <c r="Y89" s="165"/>
      <c r="Z89" s="179"/>
      <c r="AA89" s="179"/>
      <c r="AB89" s="179"/>
      <c r="AC89" s="179"/>
      <c r="AD89" s="179"/>
    </row>
    <row r="90" spans="1:30" x14ac:dyDescent="0.2">
      <c r="A90" s="166" t="s">
        <v>190</v>
      </c>
      <c r="B90" s="214"/>
      <c r="C90" s="213">
        <v>1</v>
      </c>
      <c r="D90" s="348"/>
      <c r="E90" s="348"/>
      <c r="F90" s="213">
        <v>1</v>
      </c>
      <c r="G90" s="213"/>
      <c r="H90" s="213">
        <v>1</v>
      </c>
      <c r="I90" s="214"/>
      <c r="J90" s="213">
        <v>1</v>
      </c>
      <c r="M90" s="213">
        <v>1</v>
      </c>
      <c r="O90" s="213">
        <v>1</v>
      </c>
      <c r="Q90" s="213">
        <v>1</v>
      </c>
      <c r="S90" s="213">
        <v>1</v>
      </c>
      <c r="T90" s="213"/>
      <c r="U90" s="408"/>
      <c r="V90" s="213">
        <v>1</v>
      </c>
      <c r="W90" s="348"/>
      <c r="X90" s="215">
        <v>1</v>
      </c>
      <c r="Y90" s="215"/>
      <c r="Z90" s="348">
        <v>1</v>
      </c>
      <c r="AA90" s="348">
        <v>1</v>
      </c>
      <c r="AB90" s="348">
        <v>1</v>
      </c>
      <c r="AC90" s="348">
        <v>1</v>
      </c>
      <c r="AD90" s="348">
        <v>1</v>
      </c>
    </row>
    <row r="91" spans="1:30" x14ac:dyDescent="0.2">
      <c r="A91" s="349" t="s">
        <v>191</v>
      </c>
      <c r="B91" s="164"/>
      <c r="C91" s="163">
        <f>SUM(C88:C89)*C90</f>
        <v>1420.31754</v>
      </c>
      <c r="D91" s="179"/>
      <c r="E91" s="179"/>
      <c r="F91" s="163">
        <f>SUM(F88:F89)*F90</f>
        <v>1412.3188500000001</v>
      </c>
      <c r="G91" s="163"/>
      <c r="H91" s="163">
        <f>SUM(H88:H89)*H90</f>
        <v>1354</v>
      </c>
      <c r="I91" s="164"/>
      <c r="J91" s="163">
        <f>SUM(J88:J89)*J90</f>
        <v>666</v>
      </c>
      <c r="M91" s="163">
        <f>SUM(M88:M89)*M90</f>
        <v>841.31665889999999</v>
      </c>
      <c r="O91" s="163">
        <f>SUM(O88:O89)*O90</f>
        <v>925.32067010000003</v>
      </c>
      <c r="Q91" s="163">
        <f t="shared" ref="Q91:S91" si="55">SUM(Q88:Q89)*Q90</f>
        <v>888.3152139</v>
      </c>
      <c r="S91" s="163">
        <f t="shared" si="55"/>
        <v>1002.3308361092717</v>
      </c>
      <c r="T91" s="163"/>
      <c r="U91" s="408"/>
      <c r="V91" s="163">
        <v>1190</v>
      </c>
      <c r="W91" s="179"/>
      <c r="X91" s="165">
        <f t="shared" ref="X91" si="56">SUM(X88:X89)*X90</f>
        <v>1131</v>
      </c>
      <c r="Y91" s="165"/>
      <c r="Z91" s="179">
        <f t="shared" ref="Z91:AD91" si="57">SUM(Z88:Z89)*Z90</f>
        <v>1131</v>
      </c>
      <c r="AA91" s="179">
        <f t="shared" si="57"/>
        <v>1131</v>
      </c>
      <c r="AB91" s="179">
        <f t="shared" si="57"/>
        <v>1131</v>
      </c>
      <c r="AC91" s="179">
        <f t="shared" si="57"/>
        <v>1131</v>
      </c>
      <c r="AD91" s="179">
        <f t="shared" si="57"/>
        <v>1131</v>
      </c>
    </row>
    <row r="92" spans="1:30" x14ac:dyDescent="0.2">
      <c r="A92" s="166" t="s">
        <v>180</v>
      </c>
      <c r="B92" s="217"/>
      <c r="C92" s="216">
        <v>1</v>
      </c>
      <c r="D92" s="218"/>
      <c r="E92" s="218"/>
      <c r="F92" s="216">
        <v>1</v>
      </c>
      <c r="G92" s="216"/>
      <c r="H92" s="216">
        <v>1</v>
      </c>
      <c r="I92" s="217"/>
      <c r="J92" s="216">
        <v>1</v>
      </c>
      <c r="M92" s="216">
        <v>1</v>
      </c>
      <c r="O92" s="216">
        <v>1</v>
      </c>
      <c r="Q92" s="216">
        <v>1</v>
      </c>
      <c r="S92" s="216">
        <v>1</v>
      </c>
      <c r="T92" s="216"/>
      <c r="U92" s="409"/>
      <c r="V92" s="216">
        <v>1</v>
      </c>
      <c r="W92" s="218"/>
      <c r="X92" s="224">
        <v>1</v>
      </c>
      <c r="Y92" s="224"/>
      <c r="Z92" s="218">
        <v>1</v>
      </c>
      <c r="AA92" s="218">
        <v>1</v>
      </c>
      <c r="AB92" s="218">
        <v>1</v>
      </c>
      <c r="AC92" s="218">
        <v>1</v>
      </c>
      <c r="AD92" s="218">
        <v>1</v>
      </c>
    </row>
    <row r="93" spans="1:30" x14ac:dyDescent="0.2">
      <c r="A93" s="166" t="s">
        <v>192</v>
      </c>
      <c r="B93" s="164"/>
      <c r="C93" s="163">
        <f>SUM(C91*C92)</f>
        <v>1420.31754</v>
      </c>
      <c r="D93" s="179"/>
      <c r="E93" s="179"/>
      <c r="F93" s="163">
        <f>SUM(F91*F92)</f>
        <v>1412.3188500000001</v>
      </c>
      <c r="G93" s="163"/>
      <c r="H93" s="163">
        <f>SUM(H91*H92)</f>
        <v>1354</v>
      </c>
      <c r="I93" s="164"/>
      <c r="J93" s="163">
        <f>SUM(J91*J92)</f>
        <v>666</v>
      </c>
      <c r="M93" s="163">
        <f>SUM(M91*M92)</f>
        <v>841.31665889999999</v>
      </c>
      <c r="O93" s="163">
        <f>SUM(O91*O92)</f>
        <v>925.32067010000003</v>
      </c>
      <c r="Q93" s="163">
        <f t="shared" ref="Q93:S93" si="58">SUM(Q91*Q92)</f>
        <v>888.3152139</v>
      </c>
      <c r="S93" s="163">
        <f t="shared" si="58"/>
        <v>1002.3308361092717</v>
      </c>
      <c r="T93" s="163"/>
      <c r="U93" s="408"/>
      <c r="V93" s="163">
        <f t="shared" ref="V93:AD93" si="59">SUM(V91*V92)</f>
        <v>1190</v>
      </c>
      <c r="W93" s="179"/>
      <c r="X93" s="165">
        <f t="shared" si="59"/>
        <v>1131</v>
      </c>
      <c r="Y93" s="165"/>
      <c r="Z93" s="179">
        <f t="shared" si="59"/>
        <v>1131</v>
      </c>
      <c r="AA93" s="179">
        <f t="shared" si="59"/>
        <v>1131</v>
      </c>
      <c r="AB93" s="179">
        <f t="shared" si="59"/>
        <v>1131</v>
      </c>
      <c r="AC93" s="179">
        <f t="shared" si="59"/>
        <v>1131</v>
      </c>
      <c r="AD93" s="179">
        <f t="shared" si="59"/>
        <v>1131</v>
      </c>
    </row>
    <row r="94" spans="1:30" x14ac:dyDescent="0.2">
      <c r="A94" s="166" t="s">
        <v>212</v>
      </c>
      <c r="B94" s="164"/>
      <c r="C94" s="163">
        <v>0</v>
      </c>
      <c r="D94" s="179"/>
      <c r="E94" s="179"/>
      <c r="F94" s="163">
        <v>0</v>
      </c>
      <c r="G94" s="163"/>
      <c r="H94" s="163">
        <v>0</v>
      </c>
      <c r="I94" s="164"/>
      <c r="J94" s="163">
        <v>0</v>
      </c>
      <c r="M94" s="163">
        <v>0</v>
      </c>
      <c r="O94" s="163">
        <v>0</v>
      </c>
      <c r="Q94" s="163">
        <v>0</v>
      </c>
      <c r="S94" s="163">
        <v>0</v>
      </c>
      <c r="T94" s="163"/>
      <c r="U94" s="408"/>
      <c r="V94" s="163">
        <v>0</v>
      </c>
      <c r="W94" s="179"/>
      <c r="X94" s="165">
        <v>0</v>
      </c>
      <c r="Y94" s="165"/>
      <c r="Z94" s="179">
        <v>0</v>
      </c>
      <c r="AA94" s="179">
        <v>0</v>
      </c>
      <c r="AB94" s="179">
        <v>0</v>
      </c>
      <c r="AC94" s="179">
        <v>0</v>
      </c>
      <c r="AD94" s="179">
        <v>0</v>
      </c>
    </row>
    <row r="95" spans="1:30" x14ac:dyDescent="0.2">
      <c r="A95" s="166" t="s">
        <v>194</v>
      </c>
      <c r="B95" s="182"/>
      <c r="C95" s="180">
        <f>SUM(C93:C94)</f>
        <v>1420.31754</v>
      </c>
      <c r="D95" s="181"/>
      <c r="E95" s="181"/>
      <c r="F95" s="180">
        <f>SUM(F93:F94)</f>
        <v>1412.3188500000001</v>
      </c>
      <c r="G95" s="180"/>
      <c r="H95" s="180">
        <f>SUM(H93:H94)</f>
        <v>1354</v>
      </c>
      <c r="I95" s="182"/>
      <c r="J95" s="180">
        <f>SUM(J93:J94)</f>
        <v>666</v>
      </c>
      <c r="M95" s="180">
        <f>SUM(M93:M94)</f>
        <v>841.31665889999999</v>
      </c>
      <c r="O95" s="180">
        <f>SUM(O93:O94)</f>
        <v>925.32067010000003</v>
      </c>
      <c r="Q95" s="180">
        <f t="shared" ref="Q95:S95" si="60">SUM(Q93:Q94)</f>
        <v>888.3152139</v>
      </c>
      <c r="S95" s="180">
        <f t="shared" si="60"/>
        <v>1002.3308361092717</v>
      </c>
      <c r="T95" s="180"/>
      <c r="U95" s="411"/>
      <c r="V95" s="180">
        <f t="shared" ref="V95:AD95" si="61">SUM(V93:V94)</f>
        <v>1190</v>
      </c>
      <c r="W95" s="185"/>
      <c r="X95" s="225">
        <f t="shared" si="61"/>
        <v>1131</v>
      </c>
      <c r="Y95" s="225"/>
      <c r="Z95" s="181">
        <f t="shared" si="61"/>
        <v>1131</v>
      </c>
      <c r="AA95" s="181">
        <f t="shared" si="61"/>
        <v>1131</v>
      </c>
      <c r="AB95" s="181">
        <f t="shared" si="61"/>
        <v>1131</v>
      </c>
      <c r="AC95" s="181">
        <f t="shared" si="61"/>
        <v>1131</v>
      </c>
      <c r="AD95" s="181">
        <f t="shared" si="61"/>
        <v>1131</v>
      </c>
    </row>
    <row r="96" spans="1:30" x14ac:dyDescent="0.2">
      <c r="A96" s="166" t="s">
        <v>171</v>
      </c>
      <c r="B96" s="340"/>
      <c r="C96" s="201">
        <f>(13.71953)/1420</f>
        <v>9.6616408450704225E-3</v>
      </c>
      <c r="D96" s="266"/>
      <c r="E96" s="266"/>
      <c r="F96" s="201">
        <f>13531.4/1412000</f>
        <v>9.5831444759206796E-3</v>
      </c>
      <c r="G96" s="412"/>
      <c r="H96" s="201">
        <v>9.8499999999999994E-3</v>
      </c>
      <c r="I96" s="426"/>
      <c r="J96" s="201">
        <v>9.5099999999999994E-3</v>
      </c>
      <c r="L96" s="413">
        <f>SUM(M96-J96)/M96</f>
        <v>2.4215062589780435E-2</v>
      </c>
      <c r="M96" s="201">
        <v>9.7459999999999995E-3</v>
      </c>
      <c r="N96" s="413">
        <f>SUM(O96-M96)/O96</f>
        <v>-4.425158041358622E-2</v>
      </c>
      <c r="O96" s="201">
        <v>9.3329999999999993E-3</v>
      </c>
      <c r="P96" s="413">
        <f>SUM(Q96-O96)/Q96</f>
        <v>-2.4704618689579713E-3</v>
      </c>
      <c r="Q96" s="201">
        <v>9.3100000000000006E-3</v>
      </c>
      <c r="R96" s="414">
        <f>SUM(S96-Q96)/Q96</f>
        <v>-1.5450106807006719E-3</v>
      </c>
      <c r="S96" s="201">
        <f>9314.17/1001996</f>
        <v>9.2956159505626773E-3</v>
      </c>
      <c r="T96" s="202"/>
      <c r="U96" s="423">
        <f>SUM(V96-S96)/S96</f>
        <v>2.8979687937840962E-2</v>
      </c>
      <c r="V96" s="201">
        <v>9.5650000000000006E-3</v>
      </c>
      <c r="W96" s="416">
        <f>SUM((X96-V96)/V96)</f>
        <v>-3.2263460533194024E-2</v>
      </c>
      <c r="X96" s="201">
        <v>9.2563999999999997E-3</v>
      </c>
      <c r="Y96" s="417">
        <f>SUM(Y75)</f>
        <v>0</v>
      </c>
      <c r="Z96" s="266">
        <f>SUM(X96*(1+Y96))</f>
        <v>9.2563999999999997E-3</v>
      </c>
      <c r="AA96" s="266">
        <f>SUM(Z96*(1+Y96))</f>
        <v>9.2563999999999997E-3</v>
      </c>
      <c r="AB96" s="266">
        <f t="shared" ref="AB96:AD96" si="62">SUM(AA96*(1+Z96))</f>
        <v>9.34208094096E-3</v>
      </c>
      <c r="AC96" s="266">
        <f t="shared" si="62"/>
        <v>9.4285549789819012E-3</v>
      </c>
      <c r="AD96" s="266">
        <f t="shared" si="62"/>
        <v>9.5166373027518406E-3</v>
      </c>
    </row>
    <row r="97" spans="1:30" x14ac:dyDescent="0.2">
      <c r="A97" s="166"/>
      <c r="B97" s="186"/>
      <c r="C97" s="203"/>
      <c r="D97" s="185"/>
      <c r="E97" s="185"/>
      <c r="F97" s="203"/>
      <c r="G97" s="203"/>
      <c r="H97" s="203"/>
      <c r="I97" s="186"/>
      <c r="J97" s="203"/>
      <c r="M97" s="203"/>
      <c r="O97" s="203"/>
      <c r="Q97" s="203"/>
      <c r="S97" s="203"/>
      <c r="T97" s="203"/>
      <c r="U97" s="408"/>
      <c r="V97" s="203"/>
      <c r="W97" s="185"/>
      <c r="X97" s="203"/>
      <c r="Y97" s="203"/>
      <c r="Z97" s="185"/>
      <c r="AA97" s="185"/>
      <c r="AB97" s="185"/>
      <c r="AC97" s="185"/>
      <c r="AD97" s="185"/>
    </row>
    <row r="98" spans="1:30" x14ac:dyDescent="0.2">
      <c r="A98" s="333" t="s">
        <v>172</v>
      </c>
      <c r="B98" s="227"/>
      <c r="C98" s="226">
        <f>SUM(C95*C96)</f>
        <v>13.722597957433944</v>
      </c>
      <c r="D98" s="350"/>
      <c r="E98" s="350"/>
      <c r="F98" s="226">
        <f>SUM(F95*F96)</f>
        <v>13.534455585616149</v>
      </c>
      <c r="G98" s="226"/>
      <c r="H98" s="226">
        <f>SUM(H95*H96)</f>
        <v>13.3369</v>
      </c>
      <c r="I98" s="227"/>
      <c r="J98" s="226">
        <f>SUM(J95*J96)</f>
        <v>6.3336599999999992</v>
      </c>
      <c r="M98" s="226">
        <f>SUM(M95*M96)</f>
        <v>8.1994721576394003</v>
      </c>
      <c r="O98" s="226">
        <f>SUM(O95*O96)</f>
        <v>8.6360178140432993</v>
      </c>
      <c r="Q98" s="226">
        <f t="shared" ref="Q98:S98" si="63">SUM(Q95*Q96)</f>
        <v>8.2702146414089999</v>
      </c>
      <c r="S98" s="226">
        <f t="shared" si="63"/>
        <v>9.3172825078781703</v>
      </c>
      <c r="T98" s="226"/>
      <c r="U98" s="427"/>
      <c r="V98" s="226">
        <f t="shared" ref="V98:AD98" si="64">SUM(V95*V96)</f>
        <v>11.382350000000001</v>
      </c>
      <c r="W98" s="350"/>
      <c r="X98" s="228">
        <f t="shared" si="64"/>
        <v>10.468988399999999</v>
      </c>
      <c r="Y98" s="228"/>
      <c r="Z98" s="350">
        <f t="shared" si="64"/>
        <v>10.468988399999999</v>
      </c>
      <c r="AA98" s="350">
        <f t="shared" si="64"/>
        <v>10.468988399999999</v>
      </c>
      <c r="AB98" s="350">
        <f t="shared" si="64"/>
        <v>10.56589354422576</v>
      </c>
      <c r="AC98" s="350">
        <f t="shared" si="64"/>
        <v>10.66369568122853</v>
      </c>
      <c r="AD98" s="350">
        <f t="shared" si="64"/>
        <v>10.763316789412332</v>
      </c>
    </row>
    <row r="99" spans="1:30" x14ac:dyDescent="0.2">
      <c r="A99" s="249"/>
      <c r="B99" s="221"/>
      <c r="C99" s="220"/>
      <c r="D99" s="220"/>
      <c r="E99" s="220"/>
      <c r="F99" s="220"/>
      <c r="G99" s="220"/>
      <c r="H99" s="220"/>
      <c r="I99" s="221"/>
      <c r="J99" s="220"/>
      <c r="M99" s="220"/>
      <c r="O99" s="220"/>
      <c r="S99" s="222"/>
      <c r="T99" s="222"/>
      <c r="U99" s="222"/>
      <c r="V99" s="222"/>
      <c r="W99" s="220"/>
      <c r="X99" s="220"/>
      <c r="Y99" s="220"/>
      <c r="Z99" s="220"/>
      <c r="AA99" s="220"/>
      <c r="AB99" s="220"/>
      <c r="AC99" s="220"/>
      <c r="AD99" s="220"/>
    </row>
    <row r="100" spans="1:30" x14ac:dyDescent="0.2">
      <c r="A100" s="351" t="s">
        <v>195</v>
      </c>
      <c r="B100" s="352"/>
      <c r="C100" s="229" t="s">
        <v>196</v>
      </c>
      <c r="D100" s="353"/>
      <c r="E100" s="353"/>
      <c r="F100" s="229" t="s">
        <v>197</v>
      </c>
      <c r="G100" s="229"/>
      <c r="H100" s="229" t="s">
        <v>198</v>
      </c>
      <c r="I100" s="230"/>
      <c r="J100" s="229" t="s">
        <v>213</v>
      </c>
      <c r="M100" s="229" t="s">
        <v>200</v>
      </c>
      <c r="O100" s="229" t="s">
        <v>201</v>
      </c>
      <c r="Q100" s="229" t="s">
        <v>202</v>
      </c>
      <c r="S100" s="229" t="s">
        <v>203</v>
      </c>
      <c r="T100" s="229"/>
      <c r="U100" s="428"/>
      <c r="V100" s="229" t="s">
        <v>204</v>
      </c>
      <c r="W100" s="229"/>
      <c r="X100" s="156" t="s">
        <v>205</v>
      </c>
      <c r="Y100" s="156"/>
      <c r="Z100" s="156" t="s">
        <v>265</v>
      </c>
      <c r="AA100" s="156" t="s">
        <v>266</v>
      </c>
      <c r="AB100" s="156" t="s">
        <v>206</v>
      </c>
      <c r="AC100" s="156" t="s">
        <v>207</v>
      </c>
      <c r="AD100" s="156" t="s">
        <v>208</v>
      </c>
    </row>
    <row r="101" spans="1:30" x14ac:dyDescent="0.2">
      <c r="A101" s="354"/>
      <c r="B101" s="159"/>
      <c r="C101" s="146" t="s">
        <v>214</v>
      </c>
      <c r="D101" s="158"/>
      <c r="E101" s="158"/>
      <c r="F101" s="146" t="s">
        <v>215</v>
      </c>
      <c r="G101" s="158"/>
      <c r="H101" s="146" t="s">
        <v>215</v>
      </c>
      <c r="I101" s="159"/>
      <c r="J101" s="162" t="s">
        <v>215</v>
      </c>
      <c r="M101" s="162" t="s">
        <v>215</v>
      </c>
      <c r="O101" s="162" t="s">
        <v>215</v>
      </c>
      <c r="Q101" s="162" t="s">
        <v>215</v>
      </c>
      <c r="S101" s="288" t="s">
        <v>215</v>
      </c>
      <c r="T101" s="207"/>
      <c r="U101" s="222"/>
      <c r="V101" s="288" t="s">
        <v>215</v>
      </c>
      <c r="W101" s="146"/>
      <c r="X101" s="231" t="s">
        <v>215</v>
      </c>
      <c r="Y101" s="231"/>
      <c r="Z101" s="146" t="s">
        <v>215</v>
      </c>
      <c r="AA101" s="146" t="s">
        <v>215</v>
      </c>
      <c r="AB101" s="146" t="s">
        <v>215</v>
      </c>
      <c r="AC101" s="146" t="s">
        <v>215</v>
      </c>
      <c r="AD101" s="146" t="s">
        <v>215</v>
      </c>
    </row>
    <row r="102" spans="1:30" x14ac:dyDescent="0.2">
      <c r="A102" s="354"/>
      <c r="B102" s="159"/>
      <c r="C102" s="146"/>
      <c r="D102" s="158"/>
      <c r="E102" s="158"/>
      <c r="F102" s="146"/>
      <c r="G102" s="158"/>
      <c r="H102" s="146"/>
      <c r="I102" s="159"/>
      <c r="J102" s="237">
        <v>82634</v>
      </c>
      <c r="M102" s="162"/>
      <c r="O102" s="162"/>
      <c r="Q102" s="162"/>
      <c r="S102" s="162"/>
      <c r="T102" s="207"/>
      <c r="U102" s="222"/>
      <c r="V102" s="162"/>
      <c r="W102" s="146"/>
      <c r="X102" s="231"/>
      <c r="Y102" s="231"/>
      <c r="Z102" s="146"/>
      <c r="AA102" s="146"/>
      <c r="AB102" s="146"/>
      <c r="AC102" s="146"/>
      <c r="AD102" s="146"/>
    </row>
    <row r="103" spans="1:30" ht="13.5" thickBot="1" x14ac:dyDescent="0.25">
      <c r="A103" s="354"/>
      <c r="B103" s="159"/>
      <c r="C103" s="146"/>
      <c r="D103" s="158"/>
      <c r="E103" s="158"/>
      <c r="F103" s="146"/>
      <c r="G103" s="158"/>
      <c r="H103" s="146"/>
      <c r="I103" s="159"/>
      <c r="J103" s="429">
        <v>25100</v>
      </c>
      <c r="M103" s="162"/>
      <c r="O103" s="162"/>
      <c r="Q103" s="162"/>
      <c r="S103" s="162"/>
      <c r="T103" s="207"/>
      <c r="U103" s="222"/>
      <c r="V103" s="162"/>
      <c r="W103" s="146"/>
      <c r="X103" s="162"/>
      <c r="Y103" s="162"/>
      <c r="Z103" s="146"/>
      <c r="AA103" s="146"/>
      <c r="AB103" s="146"/>
      <c r="AC103" s="146"/>
      <c r="AD103" s="146"/>
    </row>
    <row r="104" spans="1:30" x14ac:dyDescent="0.2">
      <c r="A104" s="160" t="s">
        <v>154</v>
      </c>
      <c r="B104" s="233"/>
      <c r="C104" s="232">
        <v>183580</v>
      </c>
      <c r="D104" s="355"/>
      <c r="E104" s="355"/>
      <c r="F104" s="232">
        <v>176588</v>
      </c>
      <c r="G104" s="232"/>
      <c r="H104" s="232">
        <v>170000</v>
      </c>
      <c r="I104" s="233"/>
      <c r="J104" s="355">
        <f>SUM(J102:J103)</f>
        <v>107734</v>
      </c>
      <c r="M104" s="232">
        <v>104359</v>
      </c>
      <c r="O104" s="232">
        <v>115700</v>
      </c>
      <c r="Q104" s="232">
        <v>110212</v>
      </c>
      <c r="S104" s="232">
        <v>127298</v>
      </c>
      <c r="T104" s="234"/>
      <c r="U104" s="206"/>
      <c r="V104" s="232">
        <v>151210</v>
      </c>
      <c r="W104" s="355"/>
      <c r="X104" s="235">
        <v>151669</v>
      </c>
      <c r="Y104" s="235"/>
      <c r="Z104" s="355">
        <f>SUM(X104:X106)</f>
        <v>151669</v>
      </c>
      <c r="AA104" s="355">
        <f>SUM(Z104:Z106)</f>
        <v>151669</v>
      </c>
      <c r="AB104" s="355">
        <f t="shared" ref="AB104:AD104" si="65">SUM(AA104:AA106)</f>
        <v>155169</v>
      </c>
      <c r="AC104" s="355">
        <f t="shared" si="65"/>
        <v>155169</v>
      </c>
      <c r="AD104" s="355">
        <f t="shared" si="65"/>
        <v>155169</v>
      </c>
    </row>
    <row r="105" spans="1:30" x14ac:dyDescent="0.2">
      <c r="A105" s="160" t="s">
        <v>156</v>
      </c>
      <c r="B105" s="164"/>
      <c r="C105" s="163">
        <v>0</v>
      </c>
      <c r="D105" s="179"/>
      <c r="E105" s="179"/>
      <c r="F105" s="163">
        <v>0</v>
      </c>
      <c r="G105" s="163"/>
      <c r="H105" s="163"/>
      <c r="I105" s="163"/>
      <c r="J105" s="179"/>
      <c r="M105" s="163">
        <v>0</v>
      </c>
      <c r="O105" s="163"/>
      <c r="Q105" s="163"/>
      <c r="S105" s="163"/>
      <c r="T105" s="236"/>
      <c r="U105" s="430"/>
      <c r="V105" s="179"/>
      <c r="W105" s="179"/>
      <c r="X105" s="163"/>
      <c r="Y105" s="163"/>
      <c r="Z105" s="179">
        <v>0</v>
      </c>
      <c r="AA105" s="179">
        <v>3500</v>
      </c>
      <c r="AB105" s="179">
        <v>0</v>
      </c>
      <c r="AC105" s="179">
        <v>0</v>
      </c>
      <c r="AD105" s="179">
        <v>0</v>
      </c>
    </row>
    <row r="106" spans="1:30" x14ac:dyDescent="0.2">
      <c r="A106" s="160" t="s">
        <v>216</v>
      </c>
      <c r="B106" s="164"/>
      <c r="C106" s="163"/>
      <c r="D106" s="179"/>
      <c r="E106" s="179"/>
      <c r="F106" s="163"/>
      <c r="G106" s="163"/>
      <c r="H106" s="163"/>
      <c r="I106" s="163"/>
      <c r="J106" s="179"/>
      <c r="M106" s="163"/>
      <c r="O106" s="163"/>
      <c r="Q106" s="163"/>
      <c r="S106" s="163"/>
      <c r="T106" s="236"/>
      <c r="U106" s="430"/>
      <c r="V106" s="179"/>
      <c r="W106" s="179"/>
      <c r="X106" s="163"/>
      <c r="Y106" s="163"/>
      <c r="Z106" s="179">
        <v>0</v>
      </c>
      <c r="AA106" s="179">
        <v>0</v>
      </c>
      <c r="AB106" s="179">
        <v>0</v>
      </c>
      <c r="AC106" s="179">
        <v>0</v>
      </c>
      <c r="AD106" s="179">
        <v>0</v>
      </c>
    </row>
    <row r="107" spans="1:30" x14ac:dyDescent="0.2">
      <c r="A107" s="160" t="s">
        <v>217</v>
      </c>
      <c r="B107" s="238"/>
      <c r="C107" s="237">
        <v>0</v>
      </c>
      <c r="D107" s="355"/>
      <c r="E107" s="355"/>
      <c r="F107" s="237">
        <v>0</v>
      </c>
      <c r="G107" s="237"/>
      <c r="H107" s="237"/>
      <c r="I107" s="238"/>
      <c r="J107" s="431"/>
      <c r="M107" s="237"/>
      <c r="O107" s="237"/>
      <c r="Q107" s="237"/>
      <c r="S107" s="237">
        <v>0</v>
      </c>
      <c r="T107" s="239"/>
      <c r="U107" s="430"/>
      <c r="V107" s="431"/>
      <c r="W107" s="431"/>
      <c r="X107" s="237">
        <v>0</v>
      </c>
      <c r="Y107" s="237"/>
      <c r="Z107" s="431">
        <v>0</v>
      </c>
      <c r="AA107" s="431">
        <v>0</v>
      </c>
      <c r="AB107" s="431">
        <v>0</v>
      </c>
      <c r="AC107" s="431">
        <v>0</v>
      </c>
      <c r="AD107" s="431">
        <v>0</v>
      </c>
    </row>
    <row r="108" spans="1:30" x14ac:dyDescent="0.2">
      <c r="A108" s="160" t="s">
        <v>164</v>
      </c>
      <c r="B108" s="241"/>
      <c r="C108" s="240">
        <v>0</v>
      </c>
      <c r="D108" s="356"/>
      <c r="E108" s="356"/>
      <c r="F108" s="240">
        <v>0</v>
      </c>
      <c r="G108" s="240"/>
      <c r="H108" s="240">
        <v>0</v>
      </c>
      <c r="I108" s="241"/>
      <c r="J108" s="356">
        <v>0</v>
      </c>
      <c r="M108" s="243" t="s">
        <v>218</v>
      </c>
      <c r="O108" s="243" t="s">
        <v>218</v>
      </c>
      <c r="Q108" s="243" t="s">
        <v>218</v>
      </c>
      <c r="S108" s="243" t="s">
        <v>218</v>
      </c>
      <c r="T108" s="242"/>
      <c r="U108" s="430"/>
      <c r="V108" s="357" t="s">
        <v>218</v>
      </c>
      <c r="W108" s="431"/>
      <c r="X108" s="243" t="s">
        <v>218</v>
      </c>
      <c r="Y108" s="243"/>
      <c r="Z108" s="357" t="s">
        <v>218</v>
      </c>
      <c r="AA108" s="357" t="s">
        <v>218</v>
      </c>
      <c r="AB108" s="357" t="s">
        <v>218</v>
      </c>
      <c r="AC108" s="357" t="s">
        <v>218</v>
      </c>
      <c r="AD108" s="357" t="s">
        <v>218</v>
      </c>
    </row>
    <row r="109" spans="1:30" x14ac:dyDescent="0.2">
      <c r="A109" s="160" t="s">
        <v>219</v>
      </c>
      <c r="B109" s="358"/>
      <c r="C109" s="359">
        <v>5</v>
      </c>
      <c r="D109" s="360"/>
      <c r="E109" s="360"/>
      <c r="F109" s="244">
        <v>5</v>
      </c>
      <c r="G109" s="244"/>
      <c r="H109" s="244">
        <v>0</v>
      </c>
      <c r="I109" s="245"/>
      <c r="J109" s="245">
        <v>0</v>
      </c>
      <c r="M109" s="244">
        <v>0</v>
      </c>
      <c r="O109" s="244">
        <v>0</v>
      </c>
      <c r="Q109" s="244">
        <v>0</v>
      </c>
      <c r="S109" s="244">
        <v>0</v>
      </c>
      <c r="T109" s="246"/>
      <c r="U109" s="430"/>
      <c r="V109" s="245">
        <v>0</v>
      </c>
      <c r="W109" s="431"/>
      <c r="X109" s="244">
        <v>0</v>
      </c>
      <c r="Y109" s="244"/>
      <c r="Z109" s="245">
        <v>0</v>
      </c>
      <c r="AA109" s="245">
        <v>0</v>
      </c>
      <c r="AB109" s="245">
        <v>0</v>
      </c>
      <c r="AC109" s="245">
        <v>0</v>
      </c>
      <c r="AD109" s="245">
        <v>0</v>
      </c>
    </row>
    <row r="110" spans="1:30" x14ac:dyDescent="0.2">
      <c r="A110" s="153" t="s">
        <v>220</v>
      </c>
      <c r="B110" s="361"/>
      <c r="C110" s="247">
        <v>138</v>
      </c>
      <c r="D110" s="362"/>
      <c r="E110" s="362"/>
      <c r="F110" s="247">
        <v>138</v>
      </c>
      <c r="G110" s="247"/>
      <c r="H110" s="247">
        <v>138</v>
      </c>
      <c r="I110" s="248"/>
      <c r="J110" s="248"/>
      <c r="M110" s="247"/>
      <c r="O110" s="247"/>
      <c r="Q110" s="247"/>
      <c r="S110" s="247"/>
      <c r="T110" s="249"/>
      <c r="U110" s="430"/>
      <c r="V110" s="248"/>
      <c r="W110" s="431"/>
      <c r="X110" s="247"/>
      <c r="Y110" s="247"/>
      <c r="Z110" s="248"/>
      <c r="AA110" s="248"/>
      <c r="AB110" s="248"/>
      <c r="AC110" s="248"/>
      <c r="AD110" s="248"/>
    </row>
    <row r="111" spans="1:30" x14ac:dyDescent="0.2">
      <c r="A111" s="160" t="s">
        <v>221</v>
      </c>
      <c r="B111" s="361"/>
      <c r="C111" s="247"/>
      <c r="D111" s="362"/>
      <c r="E111" s="362"/>
      <c r="F111" s="247">
        <v>0</v>
      </c>
      <c r="G111" s="247"/>
      <c r="H111" s="247"/>
      <c r="I111" s="250"/>
      <c r="J111" s="248">
        <v>1.7387E-2</v>
      </c>
      <c r="L111" s="413">
        <f>SUM(M111-J111)/M111</f>
        <v>1.5405362465862283E-2</v>
      </c>
      <c r="M111" s="201">
        <f>1842880.17/104359000</f>
        <v>1.7659043973207868E-2</v>
      </c>
      <c r="N111" s="421">
        <f>SUM(O111-M111)/O111</f>
        <v>-6.6797886391917281E-3</v>
      </c>
      <c r="O111" s="201">
        <f>+(2013367.9)/(114775000)</f>
        <v>1.7541868002613807E-2</v>
      </c>
      <c r="P111" s="421">
        <f>SUM(Q111-O111)/Q111</f>
        <v>-7.516397829751751E-3</v>
      </c>
      <c r="Q111" s="201">
        <v>1.7410999999999999E-2</v>
      </c>
      <c r="R111" s="414">
        <f>SUM(S111-Q111)/Q111</f>
        <v>-1.2155474878995879E-2</v>
      </c>
      <c r="S111" s="201">
        <f>2189444.26/127298000</f>
        <v>1.7199361026881802E-2</v>
      </c>
      <c r="T111" s="202"/>
      <c r="U111" s="423">
        <f>SUM(V111-S111)/S111</f>
        <v>-2.8796838525869704E-2</v>
      </c>
      <c r="V111" s="201">
        <f>2525823/151210000</f>
        <v>1.670407380464255E-2</v>
      </c>
      <c r="W111" s="416">
        <f>SUM((X111-V111)/V111)</f>
        <v>6.8625546604017693E-2</v>
      </c>
      <c r="X111" s="183">
        <v>1.7850399999999999E-2</v>
      </c>
      <c r="Y111" s="417">
        <f>SUM(Y96)</f>
        <v>0</v>
      </c>
      <c r="Z111" s="266">
        <f>SUM(X111*(1+Y111))</f>
        <v>1.7850399999999999E-2</v>
      </c>
      <c r="AA111" s="266">
        <f>SUM(Z111*(1+Y111))</f>
        <v>1.7850399999999999E-2</v>
      </c>
      <c r="AB111" s="266">
        <f t="shared" ref="AB111:AD111" si="66">SUM(AA111*(1+Z111))</f>
        <v>1.8169036780159999E-2</v>
      </c>
      <c r="AC111" s="266">
        <f t="shared" si="66"/>
        <v>1.8493361354300564E-2</v>
      </c>
      <c r="AD111" s="266">
        <f t="shared" si="66"/>
        <v>1.8829367916935638E-2</v>
      </c>
    </row>
    <row r="112" spans="1:30" x14ac:dyDescent="0.2">
      <c r="A112" s="160" t="s">
        <v>222</v>
      </c>
      <c r="B112" s="363"/>
      <c r="C112" s="251">
        <v>1</v>
      </c>
      <c r="D112" s="252"/>
      <c r="E112" s="252"/>
      <c r="F112" s="251">
        <v>1</v>
      </c>
      <c r="G112" s="251"/>
      <c r="H112" s="251">
        <v>1</v>
      </c>
      <c r="I112" s="252"/>
      <c r="J112" s="252">
        <v>1</v>
      </c>
      <c r="M112" s="251">
        <v>1</v>
      </c>
      <c r="O112" s="251">
        <v>1</v>
      </c>
      <c r="Q112" s="251">
        <v>1</v>
      </c>
      <c r="S112" s="251">
        <v>1</v>
      </c>
      <c r="T112" s="253"/>
      <c r="U112" s="206"/>
      <c r="V112" s="251">
        <v>1</v>
      </c>
      <c r="W112" s="431"/>
      <c r="X112" s="251">
        <v>1</v>
      </c>
      <c r="Y112" s="251"/>
      <c r="Z112" s="252">
        <v>1</v>
      </c>
      <c r="AA112" s="252">
        <v>1</v>
      </c>
      <c r="AB112" s="252">
        <v>1</v>
      </c>
      <c r="AC112" s="252">
        <v>1</v>
      </c>
      <c r="AD112" s="252">
        <v>1</v>
      </c>
    </row>
    <row r="113" spans="1:30" x14ac:dyDescent="0.2">
      <c r="A113" s="160" t="s">
        <v>223</v>
      </c>
      <c r="B113" s="255"/>
      <c r="C113" s="254"/>
      <c r="D113" s="255"/>
      <c r="E113" s="255"/>
      <c r="F113" s="254"/>
      <c r="G113" s="254"/>
      <c r="H113" s="254"/>
      <c r="I113" s="255"/>
      <c r="J113" s="255"/>
      <c r="M113" s="254"/>
      <c r="O113" s="254"/>
      <c r="Q113" s="254"/>
      <c r="S113" s="254"/>
      <c r="T113" s="253"/>
      <c r="U113" s="206"/>
      <c r="V113" s="254"/>
      <c r="W113" s="431"/>
      <c r="X113" s="254"/>
      <c r="Y113" s="254"/>
      <c r="Z113" s="255"/>
      <c r="AA113" s="255"/>
      <c r="AB113" s="255"/>
      <c r="AC113" s="255"/>
      <c r="AD113" s="255"/>
    </row>
    <row r="114" spans="1:30" x14ac:dyDescent="0.2">
      <c r="A114" s="153"/>
      <c r="B114" s="257"/>
      <c r="C114" s="226">
        <f>SUM(C109:C110)</f>
        <v>143</v>
      </c>
      <c r="D114" s="257"/>
      <c r="E114" s="257"/>
      <c r="F114" s="256">
        <f>SUM(F109:F110)</f>
        <v>143</v>
      </c>
      <c r="G114" s="256"/>
      <c r="H114" s="153">
        <f>SUM(H109:H110)*H112</f>
        <v>138</v>
      </c>
      <c r="I114" s="257"/>
      <c r="J114" s="226">
        <f>SUM((J104+J105+J107+J109)*J111)</f>
        <v>1873.1710579999999</v>
      </c>
      <c r="M114" s="226">
        <f>SUM(M104:M107)*M111*M112</f>
        <v>1842.8801699999999</v>
      </c>
      <c r="O114" s="226">
        <f>SUM(O104:O108)*O111*O112</f>
        <v>2029.5941279024175</v>
      </c>
      <c r="Q114" s="226">
        <f t="shared" ref="Q114:S114" si="67">SUM(Q104:Q108)*Q111*Q112</f>
        <v>1918.901132</v>
      </c>
      <c r="S114" s="226">
        <f t="shared" si="67"/>
        <v>2189.4442599999998</v>
      </c>
      <c r="T114" s="258"/>
      <c r="U114" s="432"/>
      <c r="V114" s="226">
        <f>SUM(V104*V111)</f>
        <v>2525.8229999999999</v>
      </c>
      <c r="W114" s="431"/>
      <c r="X114" s="228">
        <f t="shared" ref="X114" si="68">SUM(X104:X108)*X111*X112</f>
        <v>2707.3523175999999</v>
      </c>
      <c r="Y114" s="228"/>
      <c r="Z114" s="226">
        <f t="shared" ref="Z114:AA114" si="69">SUM(Z104:Z108)*Z111*Z112</f>
        <v>2707.3523175999999</v>
      </c>
      <c r="AA114" s="226">
        <f t="shared" si="69"/>
        <v>2769.8287175999999</v>
      </c>
      <c r="AB114" s="226">
        <f t="shared" ref="AB114:AD114" si="70">SUM(AB104:AB108)*AB111*AB112</f>
        <v>2819.271268140647</v>
      </c>
      <c r="AC114" s="226">
        <f t="shared" si="70"/>
        <v>2869.5963879854644</v>
      </c>
      <c r="AD114" s="226">
        <f t="shared" si="70"/>
        <v>2921.734190302986</v>
      </c>
    </row>
    <row r="115" spans="1:30" x14ac:dyDescent="0.2">
      <c r="A115" s="277"/>
      <c r="B115" s="221"/>
      <c r="C115" s="220"/>
      <c r="D115" s="220"/>
      <c r="E115" s="220"/>
      <c r="F115" s="220"/>
      <c r="G115" s="220"/>
      <c r="H115" s="220"/>
      <c r="I115" s="221"/>
      <c r="J115" s="220" t="s">
        <v>224</v>
      </c>
      <c r="M115" s="220"/>
      <c r="O115" s="220"/>
      <c r="Q115" s="220"/>
      <c r="S115" s="220"/>
      <c r="T115" s="220"/>
      <c r="U115" s="222"/>
      <c r="V115" s="222"/>
      <c r="W115" s="431"/>
      <c r="X115" s="220"/>
      <c r="Y115" s="220"/>
      <c r="Z115" s="220"/>
      <c r="AA115" s="220"/>
      <c r="AB115" s="220"/>
      <c r="AC115" s="220"/>
      <c r="AD115" s="220"/>
    </row>
    <row r="116" spans="1:30" x14ac:dyDescent="0.2">
      <c r="A116" s="249"/>
      <c r="B116" s="205"/>
      <c r="C116" s="204"/>
      <c r="D116" s="204"/>
      <c r="E116" s="204"/>
      <c r="F116" s="204"/>
      <c r="G116" s="204"/>
      <c r="H116" s="204"/>
      <c r="I116" s="205"/>
      <c r="J116" s="204"/>
      <c r="M116" s="204"/>
      <c r="O116" s="204"/>
      <c r="Q116" s="204"/>
      <c r="S116" s="204"/>
      <c r="T116" s="204"/>
      <c r="U116" s="206"/>
      <c r="V116" s="204"/>
      <c r="W116" s="204"/>
      <c r="X116" s="204"/>
      <c r="Y116" s="204"/>
      <c r="Z116" s="204"/>
      <c r="AA116" s="204"/>
      <c r="AB116" s="204"/>
      <c r="AC116" s="204"/>
      <c r="AD116" s="204"/>
    </row>
    <row r="117" spans="1:30" x14ac:dyDescent="0.2">
      <c r="A117" s="208"/>
      <c r="B117" s="194"/>
      <c r="C117" s="208"/>
      <c r="D117" s="193"/>
      <c r="E117" s="193"/>
      <c r="F117" s="193"/>
      <c r="G117" s="193"/>
      <c r="H117" s="193"/>
      <c r="I117" s="194"/>
      <c r="J117" s="193"/>
      <c r="M117" s="193"/>
      <c r="O117" s="193"/>
      <c r="Q117" s="193"/>
      <c r="S117" s="193"/>
      <c r="T117" s="193"/>
      <c r="U117" s="195"/>
      <c r="V117" s="193"/>
      <c r="W117" s="193"/>
      <c r="X117" s="193"/>
      <c r="Y117" s="193"/>
      <c r="Z117" s="193"/>
      <c r="AA117" s="193"/>
      <c r="AB117" s="193"/>
      <c r="AC117" s="193"/>
      <c r="AD117" s="193"/>
    </row>
    <row r="118" spans="1:30" x14ac:dyDescent="0.2">
      <c r="A118" s="342" t="s">
        <v>225</v>
      </c>
      <c r="B118" s="334"/>
      <c r="C118" s="364" t="s">
        <v>138</v>
      </c>
      <c r="D118" s="267"/>
      <c r="E118" s="267"/>
      <c r="F118" s="156" t="s">
        <v>139</v>
      </c>
      <c r="G118" s="156"/>
      <c r="H118" s="156" t="s">
        <v>140</v>
      </c>
      <c r="I118" s="157"/>
      <c r="J118" s="156" t="s">
        <v>226</v>
      </c>
      <c r="M118" s="156" t="s">
        <v>227</v>
      </c>
      <c r="O118" s="156" t="s">
        <v>143</v>
      </c>
      <c r="Q118" s="156" t="s">
        <v>144</v>
      </c>
      <c r="S118" s="156" t="s">
        <v>228</v>
      </c>
      <c r="T118" s="156"/>
      <c r="U118" s="407"/>
      <c r="V118" s="156" t="s">
        <v>229</v>
      </c>
      <c r="W118" s="156"/>
      <c r="X118" s="156" t="s">
        <v>230</v>
      </c>
      <c r="Y118" s="156"/>
      <c r="Z118" s="156" t="s">
        <v>260</v>
      </c>
      <c r="AA118" s="156" t="s">
        <v>261</v>
      </c>
      <c r="AB118" s="156" t="s">
        <v>148</v>
      </c>
      <c r="AC118" s="156" t="s">
        <v>149</v>
      </c>
      <c r="AD118" s="156" t="s">
        <v>150</v>
      </c>
    </row>
    <row r="119" spans="1:30" ht="19.5" x14ac:dyDescent="0.35">
      <c r="A119" s="160"/>
      <c r="B119" s="159"/>
      <c r="C119" s="158"/>
      <c r="D119" s="158"/>
      <c r="E119" s="158"/>
      <c r="F119" s="162"/>
      <c r="G119" s="162"/>
      <c r="H119" s="158"/>
      <c r="I119" s="159"/>
      <c r="J119" s="160"/>
      <c r="M119" s="365"/>
      <c r="O119" s="158"/>
      <c r="Q119" s="160"/>
      <c r="S119" s="160"/>
      <c r="T119" s="160"/>
      <c r="U119" s="161"/>
      <c r="V119" s="158"/>
      <c r="W119" s="158"/>
      <c r="X119" s="158"/>
      <c r="Y119" s="158"/>
      <c r="Z119" s="158"/>
      <c r="AA119" s="158"/>
      <c r="AB119" s="158"/>
      <c r="AC119" s="158"/>
      <c r="AD119" s="158"/>
    </row>
    <row r="120" spans="1:30" x14ac:dyDescent="0.2">
      <c r="A120" s="160" t="s">
        <v>154</v>
      </c>
      <c r="B120" s="159"/>
      <c r="C120" s="158"/>
      <c r="D120" s="158"/>
      <c r="E120" s="158"/>
      <c r="F120" s="158"/>
      <c r="G120" s="158"/>
      <c r="H120" s="146"/>
      <c r="I120" s="159"/>
      <c r="J120" s="160"/>
      <c r="M120" s="160"/>
      <c r="O120" s="158"/>
      <c r="Q120" s="160"/>
      <c r="S120" s="160"/>
      <c r="T120" s="160"/>
      <c r="U120" s="161"/>
      <c r="V120" s="158"/>
      <c r="W120" s="158"/>
      <c r="X120" s="259"/>
      <c r="Y120" s="259"/>
      <c r="Z120" s="158"/>
      <c r="AA120" s="158"/>
      <c r="AB120" s="158"/>
      <c r="AC120" s="158"/>
      <c r="AD120" s="158"/>
    </row>
    <row r="121" spans="1:30" x14ac:dyDescent="0.2">
      <c r="A121" s="160" t="s">
        <v>155</v>
      </c>
      <c r="B121" s="164"/>
      <c r="C121" s="163">
        <v>360000</v>
      </c>
      <c r="D121" s="179"/>
      <c r="E121" s="179"/>
      <c r="F121" s="163">
        <v>350000</v>
      </c>
      <c r="G121" s="163"/>
      <c r="H121" s="163">
        <f>123978000/0.9975/0.454222*0.001</f>
        <v>273629.90300890594</v>
      </c>
      <c r="I121" s="164"/>
      <c r="J121" s="163">
        <v>300000</v>
      </c>
      <c r="M121" s="163">
        <v>365000</v>
      </c>
      <c r="O121" s="163">
        <v>370000</v>
      </c>
      <c r="Q121" s="163">
        <v>400000</v>
      </c>
      <c r="S121" s="163">
        <v>435000</v>
      </c>
      <c r="T121" s="163"/>
      <c r="U121" s="408"/>
      <c r="V121" s="163">
        <v>515000</v>
      </c>
      <c r="W121" s="179"/>
      <c r="X121" s="165">
        <v>500000</v>
      </c>
      <c r="Y121" s="165"/>
      <c r="Z121" s="179">
        <f>SUM(X121:X123)</f>
        <v>500000</v>
      </c>
      <c r="AA121" s="179">
        <f>SUM(Z121:Z123)</f>
        <v>543314.72899999993</v>
      </c>
      <c r="AB121" s="179">
        <f t="shared" ref="AB121:AD121" si="71">SUM(AA121:AA123)</f>
        <v>582554.41999999993</v>
      </c>
      <c r="AC121" s="179">
        <f t="shared" si="71"/>
        <v>632119.39099999995</v>
      </c>
      <c r="AD121" s="179">
        <f t="shared" si="71"/>
        <v>672056.74199999997</v>
      </c>
    </row>
    <row r="122" spans="1:30" x14ac:dyDescent="0.2">
      <c r="A122" s="160" t="s">
        <v>156</v>
      </c>
      <c r="B122" s="164"/>
      <c r="C122" s="163">
        <v>0</v>
      </c>
      <c r="D122" s="179"/>
      <c r="E122" s="179"/>
      <c r="F122" s="179">
        <v>0</v>
      </c>
      <c r="G122" s="179"/>
      <c r="H122" s="163"/>
      <c r="I122" s="167"/>
      <c r="J122" s="163"/>
      <c r="M122" s="163"/>
      <c r="O122" s="179"/>
      <c r="Q122" s="163"/>
      <c r="S122" s="163"/>
      <c r="T122" s="163"/>
      <c r="U122" s="408"/>
      <c r="V122" s="179"/>
      <c r="W122" s="179"/>
      <c r="X122" s="165">
        <v>0</v>
      </c>
      <c r="Y122" s="165"/>
      <c r="Z122" s="179">
        <v>69908.308000000005</v>
      </c>
      <c r="AA122" s="179">
        <v>66239.691000000006</v>
      </c>
      <c r="AB122" s="179">
        <v>76564.971000000005</v>
      </c>
      <c r="AC122" s="179">
        <v>66937.350999999995</v>
      </c>
      <c r="AD122" s="179">
        <v>68156.641000000003</v>
      </c>
    </row>
    <row r="123" spans="1:30" x14ac:dyDescent="0.2">
      <c r="A123" s="160" t="s">
        <v>161</v>
      </c>
      <c r="B123" s="164"/>
      <c r="C123" s="163">
        <v>0</v>
      </c>
      <c r="D123" s="179"/>
      <c r="E123" s="179"/>
      <c r="F123" s="179">
        <v>0</v>
      </c>
      <c r="G123" s="179"/>
      <c r="H123" s="179"/>
      <c r="I123" s="164"/>
      <c r="J123" s="163"/>
      <c r="M123" s="163"/>
      <c r="O123" s="179"/>
      <c r="Q123" s="163"/>
      <c r="S123" s="163"/>
      <c r="T123" s="163"/>
      <c r="U123" s="408"/>
      <c r="V123" s="179"/>
      <c r="W123" s="179"/>
      <c r="X123" s="165">
        <v>0</v>
      </c>
      <c r="Y123" s="165"/>
      <c r="Z123" s="179">
        <v>-26593.579000000002</v>
      </c>
      <c r="AA123" s="179">
        <v>-27000</v>
      </c>
      <c r="AB123" s="179">
        <v>-27000</v>
      </c>
      <c r="AC123" s="179">
        <v>-27000</v>
      </c>
      <c r="AD123" s="179">
        <v>-27000</v>
      </c>
    </row>
    <row r="124" spans="1:30" x14ac:dyDescent="0.2">
      <c r="A124" s="160" t="s">
        <v>163</v>
      </c>
      <c r="B124" s="170"/>
      <c r="C124" s="169">
        <v>0.92915999999999999</v>
      </c>
      <c r="D124" s="196"/>
      <c r="E124" s="196"/>
      <c r="F124" s="169">
        <v>0.96709999999999996</v>
      </c>
      <c r="G124" s="169"/>
      <c r="H124" s="196"/>
      <c r="I124" s="170"/>
      <c r="J124" s="169">
        <v>0.97714299999999998</v>
      </c>
      <c r="M124" s="169">
        <v>0.94630499999999995</v>
      </c>
      <c r="O124" s="169">
        <v>0.96772369999999996</v>
      </c>
      <c r="Q124" s="169">
        <f>188890268/195011082</f>
        <v>0.96861299400410483</v>
      </c>
      <c r="S124" s="169">
        <v>0.96685500000000002</v>
      </c>
      <c r="T124" s="169"/>
      <c r="U124" s="408"/>
      <c r="V124" s="169">
        <f>234774025/243990907</f>
        <v>0.96222448568544405</v>
      </c>
      <c r="W124" s="196"/>
      <c r="X124" s="171">
        <f>230552.665/238786.689</f>
        <v>0.96551724036845288</v>
      </c>
      <c r="Y124" s="171"/>
      <c r="Z124" s="196">
        <f>SUM(X124)</f>
        <v>0.96551724036845288</v>
      </c>
      <c r="AA124" s="196">
        <f t="shared" ref="AA124:AD125" si="72">SUM(Z124)</f>
        <v>0.96551724036845288</v>
      </c>
      <c r="AB124" s="196">
        <f t="shared" si="72"/>
        <v>0.96551724036845288</v>
      </c>
      <c r="AC124" s="196">
        <f t="shared" si="72"/>
        <v>0.96551724036845288</v>
      </c>
      <c r="AD124" s="196">
        <f t="shared" si="72"/>
        <v>0.96551724036845288</v>
      </c>
    </row>
    <row r="125" spans="1:30" x14ac:dyDescent="0.2">
      <c r="A125" s="160" t="s">
        <v>164</v>
      </c>
      <c r="B125" s="174"/>
      <c r="C125" s="172">
        <v>0.47398499999999999</v>
      </c>
      <c r="D125" s="173"/>
      <c r="E125" s="173"/>
      <c r="F125" s="172">
        <v>0.46337800000000001</v>
      </c>
      <c r="G125" s="172"/>
      <c r="H125" s="173"/>
      <c r="I125" s="174"/>
      <c r="J125" s="172">
        <v>0.46666400000000002</v>
      </c>
      <c r="M125" s="172">
        <v>0.471997</v>
      </c>
      <c r="O125" s="172">
        <v>0.47163899999999997</v>
      </c>
      <c r="Q125" s="172">
        <f>195011082/400000000</f>
        <v>0.48752770499999998</v>
      </c>
      <c r="S125" s="172">
        <v>0.47452299999999997</v>
      </c>
      <c r="T125" s="172"/>
      <c r="U125" s="409"/>
      <c r="V125" s="172">
        <f>243990907/515000000</f>
        <v>0.4737687514563107</v>
      </c>
      <c r="W125" s="173"/>
      <c r="X125" s="175">
        <f>238786.689/500000</f>
        <v>0.47757337800000005</v>
      </c>
      <c r="Y125" s="175"/>
      <c r="Z125" s="173">
        <f>SUM(X125)</f>
        <v>0.47757337800000005</v>
      </c>
      <c r="AA125" s="173">
        <f t="shared" si="72"/>
        <v>0.47757337800000005</v>
      </c>
      <c r="AB125" s="173">
        <f t="shared" si="72"/>
        <v>0.47757337800000005</v>
      </c>
      <c r="AC125" s="173">
        <f t="shared" si="72"/>
        <v>0.47757337800000005</v>
      </c>
      <c r="AD125" s="173">
        <f t="shared" si="72"/>
        <v>0.47757337800000005</v>
      </c>
    </row>
    <row r="126" spans="1:30" x14ac:dyDescent="0.2">
      <c r="A126" s="160" t="s">
        <v>165</v>
      </c>
      <c r="B126" s="164"/>
      <c r="C126" s="180">
        <f>SUM((C121+C122+C123)*C124*C125)</f>
        <v>158546.84493599998</v>
      </c>
      <c r="D126" s="179"/>
      <c r="E126" s="179"/>
      <c r="F126" s="163">
        <f>SUM((F121+F122+F123)*F124*F125)</f>
        <v>156846.50233000002</v>
      </c>
      <c r="G126" s="163"/>
      <c r="H126" s="163">
        <v>123978</v>
      </c>
      <c r="I126" s="164"/>
      <c r="J126" s="163">
        <f>SUM(J121+J122+J123)*J124*J125</f>
        <v>136799.2382856</v>
      </c>
      <c r="M126" s="163">
        <f>SUM(M121+M122+M123)*M124*M125</f>
        <v>163028.38919602497</v>
      </c>
      <c r="O126" s="163">
        <f>SUM(O121+O122+O123)*O124*O125</f>
        <v>168874.00811339097</v>
      </c>
      <c r="Q126" s="163">
        <f t="shared" ref="Q126:S126" si="73">SUM(Q121+Q122+Q123)*Q124*Q125</f>
        <v>188890.26799999998</v>
      </c>
      <c r="S126" s="163">
        <f t="shared" si="73"/>
        <v>199575.79679677499</v>
      </c>
      <c r="T126" s="163"/>
      <c r="U126" s="408"/>
      <c r="V126" s="163">
        <f t="shared" ref="V126:X126" si="74">SUM(V121+V122+V123)*V124*V125</f>
        <v>234774.02500000002</v>
      </c>
      <c r="W126" s="179"/>
      <c r="X126" s="165">
        <f t="shared" si="74"/>
        <v>230552.66500000001</v>
      </c>
      <c r="Y126" s="165"/>
      <c r="Z126" s="179">
        <f t="shared" ref="Z126:AD126" si="75">SUM(Z121+Z122+Z123)*Z124*Z125</f>
        <v>250525.3174094056</v>
      </c>
      <c r="AA126" s="179">
        <f t="shared" si="75"/>
        <v>268618.94807705859</v>
      </c>
      <c r="AB126" s="179">
        <f t="shared" si="75"/>
        <v>291473.62038645404</v>
      </c>
      <c r="AC126" s="179">
        <f t="shared" si="75"/>
        <v>309888.94579863484</v>
      </c>
      <c r="AD126" s="179">
        <f t="shared" si="75"/>
        <v>328866.4923286314</v>
      </c>
    </row>
    <row r="127" spans="1:30" x14ac:dyDescent="0.2">
      <c r="A127" s="160" t="s">
        <v>189</v>
      </c>
      <c r="B127" s="164"/>
      <c r="C127" s="163"/>
      <c r="D127" s="179"/>
      <c r="E127" s="179"/>
      <c r="F127" s="179">
        <v>-8</v>
      </c>
      <c r="G127" s="179"/>
      <c r="H127" s="179"/>
      <c r="I127" s="164"/>
      <c r="J127" s="163"/>
      <c r="M127" s="163"/>
      <c r="O127" s="433"/>
      <c r="Q127" s="163"/>
      <c r="S127" s="163"/>
      <c r="T127" s="163"/>
      <c r="U127" s="408"/>
      <c r="V127" s="163"/>
      <c r="W127" s="179"/>
      <c r="X127" s="165"/>
      <c r="Y127" s="165"/>
      <c r="Z127" s="179"/>
      <c r="AA127" s="179"/>
      <c r="AB127" s="179"/>
      <c r="AC127" s="179"/>
      <c r="AD127" s="179"/>
    </row>
    <row r="128" spans="1:30" x14ac:dyDescent="0.2">
      <c r="A128" s="160" t="s">
        <v>167</v>
      </c>
      <c r="B128" s="262"/>
      <c r="C128" s="163">
        <f>SUM(C126)</f>
        <v>158546.84493599998</v>
      </c>
      <c r="D128" s="260"/>
      <c r="E128" s="260"/>
      <c r="F128" s="261">
        <f>SUM(F126:F127)</f>
        <v>156838.50233000002</v>
      </c>
      <c r="G128" s="261"/>
      <c r="H128" s="261">
        <f>SUM(H126)</f>
        <v>123978</v>
      </c>
      <c r="I128" s="262"/>
      <c r="J128" s="261">
        <f>SUM(J126)</f>
        <v>136799.2382856</v>
      </c>
      <c r="M128" s="163">
        <f>SUM(M126)</f>
        <v>163028.38919602497</v>
      </c>
      <c r="O128" s="163">
        <f>SUM(O126)</f>
        <v>168874.00811339097</v>
      </c>
      <c r="Q128" s="163">
        <f t="shared" ref="Q128:S128" si="76">SUM(Q126)</f>
        <v>188890.26799999998</v>
      </c>
      <c r="S128" s="163">
        <f t="shared" si="76"/>
        <v>199575.79679677499</v>
      </c>
      <c r="T128" s="163"/>
      <c r="U128" s="408"/>
      <c r="V128" s="163">
        <f t="shared" ref="V128:AD128" si="77">SUM(V126)</f>
        <v>234774.02500000002</v>
      </c>
      <c r="W128" s="179"/>
      <c r="X128" s="165">
        <f t="shared" si="77"/>
        <v>230552.66500000001</v>
      </c>
      <c r="Y128" s="165"/>
      <c r="Z128" s="179">
        <f t="shared" si="77"/>
        <v>250525.3174094056</v>
      </c>
      <c r="AA128" s="179">
        <f t="shared" si="77"/>
        <v>268618.94807705859</v>
      </c>
      <c r="AB128" s="179">
        <f t="shared" si="77"/>
        <v>291473.62038645404</v>
      </c>
      <c r="AC128" s="179">
        <f t="shared" si="77"/>
        <v>309888.94579863484</v>
      </c>
      <c r="AD128" s="179">
        <f t="shared" si="77"/>
        <v>328866.4923286314</v>
      </c>
    </row>
    <row r="129" spans="1:30" x14ac:dyDescent="0.2">
      <c r="A129" s="160" t="s">
        <v>180</v>
      </c>
      <c r="B129" s="199"/>
      <c r="C129" s="198">
        <f>139723.852/158547</f>
        <v>0.88127717333030597</v>
      </c>
      <c r="D129" s="263"/>
      <c r="E129" s="263"/>
      <c r="F129" s="198">
        <f>136843957/156839000</f>
        <v>0.87251230242477951</v>
      </c>
      <c r="G129" s="198"/>
      <c r="H129" s="264">
        <f>SUM(H130/H128)</f>
        <v>0.88058365193824706</v>
      </c>
      <c r="I129" s="265"/>
      <c r="J129" s="264">
        <f>124410/136799</f>
        <v>0.90943647248883397</v>
      </c>
      <c r="K129" s="434"/>
      <c r="L129" s="366"/>
      <c r="M129" s="264">
        <f>148020.988/163028</f>
        <v>0.90794825428760706</v>
      </c>
      <c r="O129" s="264">
        <f>SUM(O130/O128)</f>
        <v>0.90322653973832534</v>
      </c>
      <c r="Q129" s="264">
        <f>173803920/188890000</f>
        <v>0.92013298745301497</v>
      </c>
      <c r="S129" s="264">
        <f>189501.264/199576</f>
        <v>0.94951930091794601</v>
      </c>
      <c r="T129" s="264"/>
      <c r="U129" s="409"/>
      <c r="V129" s="264">
        <f>223370.065/V128</f>
        <v>0.95142580189609982</v>
      </c>
      <c r="W129" s="435"/>
      <c r="X129" s="367">
        <f>216345.522/X128</f>
        <v>0.93837788428947455</v>
      </c>
      <c r="Y129" s="436"/>
      <c r="Z129" s="435">
        <f>SUM(X129)</f>
        <v>0.93837788428947455</v>
      </c>
      <c r="AA129" s="435">
        <f t="shared" ref="AA129:AD129" si="78">SUM(Z129)</f>
        <v>0.93837788428947455</v>
      </c>
      <c r="AB129" s="435">
        <f t="shared" si="78"/>
        <v>0.93837788428947455</v>
      </c>
      <c r="AC129" s="435">
        <f t="shared" si="78"/>
        <v>0.93837788428947455</v>
      </c>
      <c r="AD129" s="435">
        <f t="shared" si="78"/>
        <v>0.93837788428947455</v>
      </c>
    </row>
    <row r="130" spans="1:30" x14ac:dyDescent="0.2">
      <c r="A130" s="160" t="s">
        <v>169</v>
      </c>
      <c r="B130" s="164"/>
      <c r="C130" s="163">
        <f>SUM(C128*C129)</f>
        <v>139723.71534563639</v>
      </c>
      <c r="D130" s="179"/>
      <c r="E130" s="179"/>
      <c r="F130" s="163">
        <f>SUM(F128*F129)</f>
        <v>136843.52277680245</v>
      </c>
      <c r="G130" s="163"/>
      <c r="H130" s="163">
        <v>109173</v>
      </c>
      <c r="I130" s="164"/>
      <c r="J130" s="163">
        <f>SUM(J128*J129)</f>
        <v>124410.21670561552</v>
      </c>
      <c r="M130" s="163">
        <f>SUM(M128*M129)</f>
        <v>148021.34136985146</v>
      </c>
      <c r="O130" s="163">
        <v>152531.486</v>
      </c>
      <c r="Q130" s="163">
        <f t="shared" ref="Q130:S130" si="79">SUM(Q128*Q129)</f>
        <v>173804.16659564062</v>
      </c>
      <c r="S130" s="163">
        <f t="shared" si="79"/>
        <v>189501.07105461584</v>
      </c>
      <c r="T130" s="163"/>
      <c r="U130" s="408"/>
      <c r="V130" s="163">
        <f t="shared" ref="V130:AD130" si="80">SUM(V128*V129)</f>
        <v>223370.065</v>
      </c>
      <c r="W130" s="179"/>
      <c r="X130" s="165">
        <f t="shared" si="80"/>
        <v>216345.522</v>
      </c>
      <c r="Y130" s="417"/>
      <c r="Z130" s="179">
        <f t="shared" si="80"/>
        <v>235087.41731158708</v>
      </c>
      <c r="AA130" s="179">
        <f t="shared" si="80"/>
        <v>252066.08017661446</v>
      </c>
      <c r="AB130" s="179">
        <f t="shared" si="80"/>
        <v>273512.39922443422</v>
      </c>
      <c r="AC130" s="179">
        <f t="shared" si="80"/>
        <v>290792.9333232186</v>
      </c>
      <c r="AD130" s="179">
        <f t="shared" si="80"/>
        <v>308601.04328504187</v>
      </c>
    </row>
    <row r="131" spans="1:30" x14ac:dyDescent="0.2">
      <c r="A131" s="160" t="s">
        <v>171</v>
      </c>
      <c r="B131" s="340"/>
      <c r="C131" s="201">
        <v>1.2500000000000001E-2</v>
      </c>
      <c r="D131" s="266"/>
      <c r="E131" s="412"/>
      <c r="F131" s="183">
        <v>1.1362000000000001E-2</v>
      </c>
      <c r="G131" s="412"/>
      <c r="H131" s="183">
        <v>1.1122999999999999E-2</v>
      </c>
      <c r="I131" s="412"/>
      <c r="J131" s="201">
        <v>1.1520000000000001E-2</v>
      </c>
      <c r="L131" s="413">
        <f>SUM(M131-J131)/M131</f>
        <v>7.4550128534704371E-2</v>
      </c>
      <c r="M131" s="183">
        <v>1.2448000000000001E-2</v>
      </c>
      <c r="N131" s="421">
        <f>SUM(O131-M131)/O131</f>
        <v>2.1152787607139924E-2</v>
      </c>
      <c r="O131" s="201">
        <v>1.2716999999999999E-2</v>
      </c>
      <c r="P131" s="421">
        <f>SUM(Q131-O131)/Q131</f>
        <v>1.2578616352201311E-2</v>
      </c>
      <c r="Q131" s="266">
        <v>1.2879E-2</v>
      </c>
      <c r="R131" s="368">
        <f>SUM((S131-Q131)/Q131)</f>
        <v>1.5232524017182573E-3</v>
      </c>
      <c r="S131" s="201">
        <f>SUM(S133/S130)</f>
        <v>1.2898617967681729E-2</v>
      </c>
      <c r="T131" s="415"/>
      <c r="U131" s="423">
        <f>SUM(V131-S131)/S131</f>
        <v>2.0893237059376537E-2</v>
      </c>
      <c r="V131" s="341">
        <f>SUM(V133/V130)</f>
        <v>1.3168111850618837E-2</v>
      </c>
      <c r="W131" s="423">
        <f>SUM(X131-V131)/V131</f>
        <v>-2.4622895488339361E-2</v>
      </c>
      <c r="X131" s="341">
        <f>SUM(X133/X130)</f>
        <v>1.2843874808742287E-2</v>
      </c>
      <c r="Y131" s="417">
        <f>SUM(Y111)</f>
        <v>0</v>
      </c>
      <c r="Z131" s="266">
        <f>SUM(X131*(1+Y131))</f>
        <v>1.2843874808742287E-2</v>
      </c>
      <c r="AA131" s="266">
        <f>SUM(Z131*(1+Y131))</f>
        <v>1.2843874808742287E-2</v>
      </c>
      <c r="AB131" s="266">
        <f t="shared" ref="AB131:AD131" si="81">SUM(AA131*(1+Z131))</f>
        <v>1.3008839928844931E-2</v>
      </c>
      <c r="AC131" s="266">
        <f t="shared" si="81"/>
        <v>1.3175923840297983E-2</v>
      </c>
      <c r="AD131" s="266">
        <f t="shared" si="81"/>
        <v>1.3347327324451069E-2</v>
      </c>
    </row>
    <row r="132" spans="1:30" x14ac:dyDescent="0.2">
      <c r="A132" s="160"/>
      <c r="B132" s="186"/>
      <c r="C132" s="203"/>
      <c r="D132" s="185"/>
      <c r="E132" s="185"/>
      <c r="F132" s="437"/>
      <c r="G132" s="437"/>
      <c r="H132" s="185"/>
      <c r="I132" s="186"/>
      <c r="J132" s="186"/>
      <c r="M132" s="185"/>
      <c r="O132" s="203"/>
      <c r="Q132" s="185"/>
      <c r="S132" s="185"/>
      <c r="T132" s="185"/>
      <c r="U132" s="408"/>
      <c r="V132" s="369"/>
      <c r="W132" s="185"/>
      <c r="X132" s="203"/>
      <c r="Y132" s="185"/>
      <c r="Z132" s="185"/>
      <c r="AA132" s="185"/>
      <c r="AB132" s="185"/>
      <c r="AC132" s="185"/>
      <c r="AD132" s="185"/>
    </row>
    <row r="133" spans="1:30" ht="13.5" thickBot="1" x14ac:dyDescent="0.25">
      <c r="A133" s="153" t="s">
        <v>172</v>
      </c>
      <c r="B133" s="188"/>
      <c r="C133" s="187">
        <f>SUM(C130*C131)</f>
        <v>1746.5464418204549</v>
      </c>
      <c r="D133" s="219"/>
      <c r="E133" s="219"/>
      <c r="F133" s="187">
        <f>SUM(F130*F131)</f>
        <v>1554.8161057900295</v>
      </c>
      <c r="G133" s="418"/>
      <c r="H133" s="187">
        <f>SUM(H130*H131)</f>
        <v>1214.331279</v>
      </c>
      <c r="I133" s="188"/>
      <c r="J133" s="187">
        <f>SUM(J130*J131)</f>
        <v>1433.2056964486908</v>
      </c>
      <c r="M133" s="187">
        <v>1843</v>
      </c>
      <c r="O133" s="187">
        <f>SUM(O130*O131)</f>
        <v>1939.7429074619999</v>
      </c>
      <c r="Q133" s="187">
        <f t="shared" ref="Q133" si="82">SUM(Q130*Q131)</f>
        <v>2238.4238615852555</v>
      </c>
      <c r="S133" s="187">
        <v>2444.3019199999999</v>
      </c>
      <c r="T133" s="219"/>
      <c r="U133" s="419"/>
      <c r="V133" s="370">
        <v>2941.3620000000001</v>
      </c>
      <c r="W133" s="219"/>
      <c r="X133" s="187">
        <v>2778.7148000000002</v>
      </c>
      <c r="Y133" s="219"/>
      <c r="Z133" s="219">
        <f t="shared" ref="Z133:AD133" si="83">SUM(Z130*Z131)</f>
        <v>3019.4333570605786</v>
      </c>
      <c r="AA133" s="219">
        <f t="shared" si="83"/>
        <v>3237.505177318832</v>
      </c>
      <c r="AB133" s="219">
        <f t="shared" si="83"/>
        <v>3558.0790200649953</v>
      </c>
      <c r="AC133" s="219">
        <f t="shared" si="83"/>
        <v>3831.465542763578</v>
      </c>
      <c r="AD133" s="219">
        <f t="shared" si="83"/>
        <v>4118.9991373925468</v>
      </c>
    </row>
    <row r="134" spans="1:30" ht="13.5" thickTop="1" x14ac:dyDescent="0.2">
      <c r="A134" s="208"/>
      <c r="B134" s="194"/>
      <c r="C134" s="193"/>
      <c r="D134" s="193"/>
      <c r="E134" s="193"/>
      <c r="F134" s="193"/>
      <c r="G134" s="193"/>
      <c r="H134" s="193"/>
      <c r="I134" s="194"/>
      <c r="J134" s="192"/>
      <c r="M134" s="193"/>
      <c r="O134" s="208"/>
      <c r="Q134" s="193"/>
      <c r="S134" s="193"/>
      <c r="T134" s="193"/>
      <c r="U134" s="195"/>
      <c r="V134" s="195"/>
      <c r="W134" s="193"/>
      <c r="X134" s="195"/>
      <c r="Y134" s="193"/>
      <c r="Z134" s="193"/>
      <c r="AA134" s="193"/>
      <c r="AB134" s="193"/>
      <c r="AC134" s="193"/>
      <c r="AD134" s="193"/>
    </row>
    <row r="135" spans="1:30" x14ac:dyDescent="0.2">
      <c r="A135" s="342" t="s">
        <v>231</v>
      </c>
      <c r="B135" s="334"/>
      <c r="C135" s="156" t="s">
        <v>138</v>
      </c>
      <c r="D135" s="267"/>
      <c r="E135" s="267"/>
      <c r="F135" s="156" t="s">
        <v>139</v>
      </c>
      <c r="G135" s="267"/>
      <c r="H135" s="156" t="s">
        <v>140</v>
      </c>
      <c r="I135" s="157"/>
      <c r="J135" s="156" t="s">
        <v>141</v>
      </c>
      <c r="M135" s="156" t="s">
        <v>173</v>
      </c>
      <c r="O135" s="156" t="s">
        <v>143</v>
      </c>
      <c r="Q135" s="156" t="s">
        <v>144</v>
      </c>
      <c r="S135" s="156" t="s">
        <v>174</v>
      </c>
      <c r="T135" s="156"/>
      <c r="U135" s="407"/>
      <c r="V135" s="156" t="s">
        <v>175</v>
      </c>
      <c r="W135" s="156"/>
      <c r="X135" s="156" t="s">
        <v>176</v>
      </c>
      <c r="Y135" s="156"/>
      <c r="Z135" s="156" t="s">
        <v>260</v>
      </c>
      <c r="AA135" s="156" t="s">
        <v>261</v>
      </c>
      <c r="AB135" s="156" t="s">
        <v>148</v>
      </c>
      <c r="AC135" s="156" t="s">
        <v>149</v>
      </c>
      <c r="AD135" s="156" t="s">
        <v>150</v>
      </c>
    </row>
    <row r="136" spans="1:30" ht="19.5" x14ac:dyDescent="0.35">
      <c r="A136" s="371"/>
      <c r="B136" s="159"/>
      <c r="C136" s="158"/>
      <c r="D136" s="158"/>
      <c r="E136" s="158"/>
      <c r="F136" s="158"/>
      <c r="G136" s="158"/>
      <c r="H136" s="158"/>
      <c r="I136" s="159"/>
      <c r="J136" s="158"/>
      <c r="M136" s="365"/>
      <c r="O136" s="158"/>
      <c r="Q136" s="160"/>
      <c r="S136" s="160"/>
      <c r="T136" s="160"/>
      <c r="U136" s="161"/>
      <c r="V136" s="158"/>
      <c r="W136" s="158"/>
      <c r="X136" s="158"/>
      <c r="Y136" s="158"/>
      <c r="Z136" s="158"/>
      <c r="AA136" s="158"/>
      <c r="AB136" s="158"/>
      <c r="AC136" s="158"/>
      <c r="AD136" s="158"/>
    </row>
    <row r="137" spans="1:30" x14ac:dyDescent="0.2">
      <c r="A137" s="160" t="s">
        <v>154</v>
      </c>
      <c r="B137" s="159"/>
      <c r="C137" s="158"/>
      <c r="D137" s="158"/>
      <c r="E137" s="158"/>
      <c r="F137" s="158"/>
      <c r="G137" s="158"/>
      <c r="H137" s="158"/>
      <c r="I137" s="159"/>
      <c r="J137" s="158"/>
      <c r="M137" s="160"/>
      <c r="O137" s="158"/>
      <c r="Q137" s="160"/>
      <c r="S137" s="160"/>
      <c r="T137" s="160"/>
      <c r="U137" s="161"/>
      <c r="V137" s="158"/>
      <c r="W137" s="158"/>
      <c r="X137" s="158"/>
      <c r="Y137" s="158"/>
      <c r="Z137" s="158"/>
      <c r="AA137" s="158"/>
      <c r="AB137" s="158"/>
      <c r="AC137" s="158"/>
      <c r="AD137" s="158"/>
    </row>
    <row r="138" spans="1:30" x14ac:dyDescent="0.2">
      <c r="A138" s="160" t="s">
        <v>155</v>
      </c>
      <c r="B138" s="164"/>
      <c r="C138" s="163">
        <v>300000</v>
      </c>
      <c r="D138" s="179"/>
      <c r="E138" s="179"/>
      <c r="F138" s="163">
        <v>314556</v>
      </c>
      <c r="G138" s="163"/>
      <c r="H138" s="163">
        <v>306224</v>
      </c>
      <c r="I138" s="164"/>
      <c r="J138" s="163">
        <v>352430</v>
      </c>
      <c r="M138" s="163">
        <v>364953</v>
      </c>
      <c r="O138" s="163">
        <v>369405.65100000001</v>
      </c>
      <c r="Q138" s="163">
        <v>424400.88699999999</v>
      </c>
      <c r="S138" s="163">
        <v>451330.43099999998</v>
      </c>
      <c r="T138" s="163"/>
      <c r="U138" s="408"/>
      <c r="V138" s="163">
        <v>489356.26899999997</v>
      </c>
      <c r="W138" s="179"/>
      <c r="X138" s="165">
        <v>510289.36700000003</v>
      </c>
      <c r="Y138" s="165"/>
      <c r="Z138" s="179">
        <f>SUM(X138:X140)</f>
        <v>510289.36700000003</v>
      </c>
      <c r="AA138" s="179">
        <f>SUM(Z138:Z140)</f>
        <v>553604.09600000002</v>
      </c>
      <c r="AB138" s="179">
        <f t="shared" ref="AB138:AD138" si="84">SUM(AA138:AA140)</f>
        <v>592843.78700000001</v>
      </c>
      <c r="AC138" s="179">
        <f t="shared" si="84"/>
        <v>642408.75800000003</v>
      </c>
      <c r="AD138" s="179">
        <f t="shared" si="84"/>
        <v>682346.10900000005</v>
      </c>
    </row>
    <row r="139" spans="1:30" x14ac:dyDescent="0.2">
      <c r="A139" s="160" t="s">
        <v>156</v>
      </c>
      <c r="B139" s="164"/>
      <c r="C139" s="179">
        <f>SUM(C122)</f>
        <v>0</v>
      </c>
      <c r="D139" s="179"/>
      <c r="E139" s="179"/>
      <c r="F139" s="163">
        <f>SUM(F122)</f>
        <v>0</v>
      </c>
      <c r="G139" s="163"/>
      <c r="H139" s="163"/>
      <c r="I139" s="164"/>
      <c r="J139" s="179"/>
      <c r="M139" s="163"/>
      <c r="O139" s="179"/>
      <c r="Q139" s="163"/>
      <c r="S139" s="163"/>
      <c r="T139" s="163"/>
      <c r="U139" s="408"/>
      <c r="V139" s="179"/>
      <c r="W139" s="179"/>
      <c r="X139" s="165"/>
      <c r="Y139" s="165"/>
      <c r="Z139" s="179">
        <f t="shared" ref="Z139:AD140" si="85">SUM(Z122)</f>
        <v>69908.308000000005</v>
      </c>
      <c r="AA139" s="179">
        <f t="shared" si="85"/>
        <v>66239.691000000006</v>
      </c>
      <c r="AB139" s="179">
        <f t="shared" si="85"/>
        <v>76564.971000000005</v>
      </c>
      <c r="AC139" s="179">
        <f t="shared" si="85"/>
        <v>66937.350999999995</v>
      </c>
      <c r="AD139" s="179">
        <f t="shared" si="85"/>
        <v>68156.641000000003</v>
      </c>
    </row>
    <row r="140" spans="1:30" x14ac:dyDescent="0.2">
      <c r="A140" s="160" t="s">
        <v>161</v>
      </c>
      <c r="B140" s="164"/>
      <c r="C140" s="179">
        <f>SUM(C123)</f>
        <v>0</v>
      </c>
      <c r="D140" s="179"/>
      <c r="E140" s="179"/>
      <c r="F140" s="163">
        <f>SUM(F123)</f>
        <v>0</v>
      </c>
      <c r="G140" s="163"/>
      <c r="H140" s="163"/>
      <c r="I140" s="164"/>
      <c r="J140" s="179"/>
      <c r="M140" s="163"/>
      <c r="O140" s="179"/>
      <c r="Q140" s="163"/>
      <c r="S140" s="163"/>
      <c r="T140" s="163"/>
      <c r="U140" s="408"/>
      <c r="V140" s="179"/>
      <c r="W140" s="179"/>
      <c r="X140" s="165"/>
      <c r="Y140" s="165"/>
      <c r="Z140" s="179">
        <f t="shared" si="85"/>
        <v>-26593.579000000002</v>
      </c>
      <c r="AA140" s="179">
        <f t="shared" si="85"/>
        <v>-27000</v>
      </c>
      <c r="AB140" s="179">
        <f t="shared" si="85"/>
        <v>-27000</v>
      </c>
      <c r="AC140" s="179">
        <f t="shared" si="85"/>
        <v>-27000</v>
      </c>
      <c r="AD140" s="179">
        <f t="shared" si="85"/>
        <v>-27000</v>
      </c>
    </row>
    <row r="141" spans="1:30" x14ac:dyDescent="0.2">
      <c r="A141" s="160" t="s">
        <v>163</v>
      </c>
      <c r="B141" s="170"/>
      <c r="C141" s="196">
        <v>1</v>
      </c>
      <c r="D141" s="196"/>
      <c r="E141" s="196"/>
      <c r="F141" s="169">
        <v>1</v>
      </c>
      <c r="G141" s="169"/>
      <c r="H141" s="169">
        <v>1</v>
      </c>
      <c r="I141" s="170"/>
      <c r="J141" s="169">
        <v>1</v>
      </c>
      <c r="M141" s="169">
        <v>1</v>
      </c>
      <c r="O141" s="169">
        <v>1</v>
      </c>
      <c r="Q141" s="169">
        <v>1</v>
      </c>
      <c r="S141" s="169">
        <v>1</v>
      </c>
      <c r="T141" s="169"/>
      <c r="U141" s="408"/>
      <c r="V141" s="169">
        <v>1</v>
      </c>
      <c r="W141" s="196"/>
      <c r="X141" s="171">
        <v>1</v>
      </c>
      <c r="Y141" s="171"/>
      <c r="Z141" s="196">
        <v>1</v>
      </c>
      <c r="AA141" s="196">
        <v>1</v>
      </c>
      <c r="AB141" s="196">
        <v>1</v>
      </c>
      <c r="AC141" s="196">
        <v>1</v>
      </c>
      <c r="AD141" s="196">
        <v>1</v>
      </c>
    </row>
    <row r="142" spans="1:30" x14ac:dyDescent="0.2">
      <c r="A142" s="160" t="s">
        <v>164</v>
      </c>
      <c r="B142" s="174"/>
      <c r="C142" s="173">
        <f>SUM(C145/C138)</f>
        <v>0.18769333333333332</v>
      </c>
      <c r="D142" s="173"/>
      <c r="E142" s="173"/>
      <c r="F142" s="172">
        <v>0.1862</v>
      </c>
      <c r="G142" s="172"/>
      <c r="H142" s="172">
        <v>0.18951999999999999</v>
      </c>
      <c r="I142" s="174"/>
      <c r="J142" s="172">
        <v>0.19183800000000001</v>
      </c>
      <c r="M142" s="172">
        <v>0.19417899999999999</v>
      </c>
      <c r="O142" s="172">
        <v>0.18853565999999999</v>
      </c>
      <c r="Q142" s="172">
        <f>79213073/424400887</f>
        <v>0.18664681301667496</v>
      </c>
      <c r="S142" s="172">
        <f>85831.54/451330.431</f>
        <v>0.1901745021044238</v>
      </c>
      <c r="T142" s="172"/>
      <c r="U142" s="409"/>
      <c r="V142" s="172">
        <v>0.18943473999999999</v>
      </c>
      <c r="W142" s="173"/>
      <c r="X142" s="175">
        <f>96666.593/510289.367</f>
        <v>0.18943485647820679</v>
      </c>
      <c r="Y142" s="175"/>
      <c r="Z142" s="173">
        <f>SUM(X142)</f>
        <v>0.18943485647820679</v>
      </c>
      <c r="AA142" s="173">
        <f t="shared" ref="AA142:AD142" si="86">SUM(Z142)</f>
        <v>0.18943485647820679</v>
      </c>
      <c r="AB142" s="173">
        <f t="shared" si="86"/>
        <v>0.18943485647820679</v>
      </c>
      <c r="AC142" s="173">
        <f t="shared" si="86"/>
        <v>0.18943485647820679</v>
      </c>
      <c r="AD142" s="173">
        <f t="shared" si="86"/>
        <v>0.18943485647820679</v>
      </c>
    </row>
    <row r="143" spans="1:30" x14ac:dyDescent="0.2">
      <c r="A143" s="160" t="s">
        <v>165</v>
      </c>
      <c r="B143" s="262"/>
      <c r="C143" s="181">
        <f>SUM((C138+C139+C140)*C141*C142)</f>
        <v>56308</v>
      </c>
      <c r="D143" s="260"/>
      <c r="E143" s="260"/>
      <c r="F143" s="261">
        <f>SUM(F138:F140)*F141*F142</f>
        <v>58570.3272</v>
      </c>
      <c r="G143" s="261"/>
      <c r="H143" s="261">
        <f>SUM((H138+H139+H140)*H141*H142)</f>
        <v>58035.572479999995</v>
      </c>
      <c r="I143" s="262"/>
      <c r="J143" s="261">
        <f>SUM((J138+J139+J140)*J141*J142)</f>
        <v>67609.466339999999</v>
      </c>
      <c r="M143" s="180">
        <f>SUM((M138+M139+M140)*M141*M142)</f>
        <v>70866.208587000001</v>
      </c>
      <c r="O143" s="180">
        <f>SUM((O138+O139+O140)*O141*O142)</f>
        <v>69646.138219014654</v>
      </c>
      <c r="Q143" s="180">
        <f t="shared" ref="Q143:S143" si="87">SUM((Q138+Q139+Q140)*Q141*Q142)</f>
        <v>79213.073000000004</v>
      </c>
      <c r="S143" s="180">
        <f t="shared" si="87"/>
        <v>85831.54</v>
      </c>
      <c r="T143" s="180"/>
      <c r="U143" s="411"/>
      <c r="V143" s="180">
        <f t="shared" ref="V143:AD143" si="88">SUM((V138+V139+V140)*V141*V142)</f>
        <v>92701.07758538505</v>
      </c>
      <c r="W143" s="181"/>
      <c r="X143" s="225">
        <f t="shared" si="88"/>
        <v>96666.592999999993</v>
      </c>
      <c r="Y143" s="225"/>
      <c r="Z143" s="181">
        <f t="shared" si="88"/>
        <v>104871.91247150741</v>
      </c>
      <c r="AA143" s="181">
        <f t="shared" si="88"/>
        <v>112305.2777043416</v>
      </c>
      <c r="AB143" s="181">
        <f t="shared" si="88"/>
        <v>121694.61087207308</v>
      </c>
      <c r="AC143" s="181">
        <f t="shared" si="88"/>
        <v>129260.13722687787</v>
      </c>
      <c r="AD143" s="181">
        <f t="shared" si="88"/>
        <v>137056.63960783792</v>
      </c>
    </row>
    <row r="144" spans="1:30" x14ac:dyDescent="0.2">
      <c r="A144" s="160" t="s">
        <v>189</v>
      </c>
      <c r="B144" s="269"/>
      <c r="C144" s="212"/>
      <c r="D144" s="372"/>
      <c r="E144" s="372"/>
      <c r="F144" s="268"/>
      <c r="G144" s="268"/>
      <c r="H144" s="268">
        <f>148.18-906.958</f>
        <v>-758.77800000000002</v>
      </c>
      <c r="I144" s="269"/>
      <c r="J144" s="268">
        <v>-909</v>
      </c>
      <c r="M144" s="176">
        <v>-902</v>
      </c>
      <c r="O144" s="176">
        <v>-925.8</v>
      </c>
      <c r="Q144" s="176"/>
      <c r="S144" s="176"/>
      <c r="T144" s="176"/>
      <c r="U144" s="409"/>
      <c r="V144" s="176"/>
      <c r="W144" s="212"/>
      <c r="X144" s="168"/>
      <c r="Y144" s="168"/>
      <c r="Z144" s="212"/>
      <c r="AA144" s="212"/>
      <c r="AB144" s="212"/>
      <c r="AC144" s="212"/>
      <c r="AD144" s="212"/>
    </row>
    <row r="145" spans="1:30" x14ac:dyDescent="0.2">
      <c r="A145" s="160" t="s">
        <v>167</v>
      </c>
      <c r="B145" s="262"/>
      <c r="C145" s="163">
        <v>56308</v>
      </c>
      <c r="D145" s="260"/>
      <c r="E145" s="260"/>
      <c r="F145" s="261">
        <f>SUM(F143)</f>
        <v>58570.3272</v>
      </c>
      <c r="G145" s="261"/>
      <c r="H145" s="261">
        <f>SUM(H143:H144)</f>
        <v>57276.794479999997</v>
      </c>
      <c r="I145" s="262"/>
      <c r="J145" s="261">
        <f>SUM(J143:J144)</f>
        <v>66700.466339999999</v>
      </c>
      <c r="M145" s="163">
        <f>M143+M144</f>
        <v>69964.208587000001</v>
      </c>
      <c r="O145" s="163">
        <f>SUM(O143:O144)</f>
        <v>68720.338219014651</v>
      </c>
      <c r="Q145" s="163">
        <f t="shared" ref="Q145:S145" si="89">SUM(Q143)</f>
        <v>79213.073000000004</v>
      </c>
      <c r="S145" s="163">
        <f t="shared" si="89"/>
        <v>85831.54</v>
      </c>
      <c r="T145" s="163"/>
      <c r="U145" s="408"/>
      <c r="V145" s="163">
        <f t="shared" ref="V145:AD145" si="90">SUM(V143)</f>
        <v>92701.07758538505</v>
      </c>
      <c r="W145" s="179"/>
      <c r="X145" s="165">
        <f t="shared" si="90"/>
        <v>96666.592999999993</v>
      </c>
      <c r="Y145" s="165"/>
      <c r="Z145" s="179">
        <f t="shared" si="90"/>
        <v>104871.91247150741</v>
      </c>
      <c r="AA145" s="179">
        <f t="shared" si="90"/>
        <v>112305.2777043416</v>
      </c>
      <c r="AB145" s="179">
        <f t="shared" si="90"/>
        <v>121694.61087207308</v>
      </c>
      <c r="AC145" s="179">
        <f t="shared" si="90"/>
        <v>129260.13722687787</v>
      </c>
      <c r="AD145" s="179">
        <f t="shared" si="90"/>
        <v>137056.63960783792</v>
      </c>
    </row>
    <row r="146" spans="1:30" x14ac:dyDescent="0.2">
      <c r="A146" s="160" t="s">
        <v>180</v>
      </c>
      <c r="B146" s="199"/>
      <c r="C146" s="263">
        <v>1</v>
      </c>
      <c r="D146" s="263"/>
      <c r="E146" s="263"/>
      <c r="F146" s="198">
        <v>1</v>
      </c>
      <c r="G146" s="198"/>
      <c r="H146" s="198">
        <v>1</v>
      </c>
      <c r="I146" s="199"/>
      <c r="J146" s="198">
        <v>1</v>
      </c>
      <c r="M146" s="198">
        <v>1</v>
      </c>
      <c r="O146" s="198">
        <v>1</v>
      </c>
      <c r="Q146" s="198">
        <f>77458/79213</f>
        <v>0.97784454571850576</v>
      </c>
      <c r="S146" s="198">
        <v>1</v>
      </c>
      <c r="T146" s="198"/>
      <c r="U146" s="409"/>
      <c r="V146" s="198">
        <v>1</v>
      </c>
      <c r="W146" s="263"/>
      <c r="X146" s="200">
        <v>1</v>
      </c>
      <c r="Y146" s="200"/>
      <c r="Z146" s="263">
        <v>1</v>
      </c>
      <c r="AA146" s="263">
        <v>1</v>
      </c>
      <c r="AB146" s="263">
        <v>1</v>
      </c>
      <c r="AC146" s="263">
        <v>1</v>
      </c>
      <c r="AD146" s="263">
        <v>1</v>
      </c>
    </row>
    <row r="147" spans="1:30" x14ac:dyDescent="0.2">
      <c r="A147" s="160" t="s">
        <v>169</v>
      </c>
      <c r="B147" s="164"/>
      <c r="C147" s="179">
        <f>SUM(C145*C146)</f>
        <v>56308</v>
      </c>
      <c r="D147" s="179"/>
      <c r="E147" s="179"/>
      <c r="F147" s="163">
        <f>SUM(F145*F146)</f>
        <v>58570.3272</v>
      </c>
      <c r="G147" s="163"/>
      <c r="H147" s="163">
        <f>SUM(H145*H146)</f>
        <v>57276.794479999997</v>
      </c>
      <c r="I147" s="164"/>
      <c r="J147" s="163">
        <f>SUM(J145*J146)</f>
        <v>66700.466339999999</v>
      </c>
      <c r="M147" s="163">
        <f>SUM(M145*M146)</f>
        <v>69964.208587000001</v>
      </c>
      <c r="O147" s="163">
        <f>SUM(O145*O146)</f>
        <v>68720.338219014651</v>
      </c>
      <c r="Q147" s="163">
        <f t="shared" ref="Q147:S147" si="91">SUM(Q145*Q146)</f>
        <v>77458.071382651833</v>
      </c>
      <c r="S147" s="163">
        <f t="shared" si="91"/>
        <v>85831.54</v>
      </c>
      <c r="T147" s="163"/>
      <c r="U147" s="408"/>
      <c r="V147" s="163">
        <f t="shared" ref="V147:AD147" si="92">SUM(V145*V146)</f>
        <v>92701.07758538505</v>
      </c>
      <c r="W147" s="179"/>
      <c r="X147" s="165">
        <f t="shared" si="92"/>
        <v>96666.592999999993</v>
      </c>
      <c r="Y147" s="165"/>
      <c r="Z147" s="179">
        <f t="shared" si="92"/>
        <v>104871.91247150741</v>
      </c>
      <c r="AA147" s="179">
        <f t="shared" si="92"/>
        <v>112305.2777043416</v>
      </c>
      <c r="AB147" s="179">
        <f t="shared" si="92"/>
        <v>121694.61087207308</v>
      </c>
      <c r="AC147" s="179">
        <f t="shared" si="92"/>
        <v>129260.13722687787</v>
      </c>
      <c r="AD147" s="179">
        <f t="shared" si="92"/>
        <v>137056.63960783792</v>
      </c>
    </row>
    <row r="148" spans="1:30" x14ac:dyDescent="0.2">
      <c r="A148" s="160" t="s">
        <v>171</v>
      </c>
      <c r="B148" s="340"/>
      <c r="C148" s="201">
        <v>1.042E-2</v>
      </c>
      <c r="D148" s="266"/>
      <c r="E148" s="412"/>
      <c r="F148" s="201">
        <v>1.039E-2</v>
      </c>
      <c r="G148" s="412"/>
      <c r="H148" s="183">
        <v>1.0829E-2</v>
      </c>
      <c r="I148" s="412"/>
      <c r="J148" s="201">
        <f>721737.96/66700117</f>
        <v>1.0820640089731775E-2</v>
      </c>
      <c r="L148" s="413">
        <f>SUM(M148-J148)/M148</f>
        <v>5.6870170172505952E-2</v>
      </c>
      <c r="M148" s="201">
        <f>802707.06/69964158</f>
        <v>1.1473118278647762E-2</v>
      </c>
      <c r="N148" s="422">
        <f>SUM(O148-M148)/O148</f>
        <v>7.9026924355978134E-2</v>
      </c>
      <c r="O148" s="201">
        <f>856090.19/68720290</f>
        <v>1.2457604442588935E-2</v>
      </c>
      <c r="P148" s="422">
        <f>SUM(Q148-O148)/Q148</f>
        <v>0.13269904482785214</v>
      </c>
      <c r="Q148" s="201">
        <f>1112585/77458394</f>
        <v>1.4363646630731848E-2</v>
      </c>
      <c r="R148" s="414">
        <f>SUM(S148-Q148)/Q148</f>
        <v>1.8103872228034199E-2</v>
      </c>
      <c r="S148" s="201">
        <f>1255173.34/85831540</f>
        <v>1.4623684254063251E-2</v>
      </c>
      <c r="T148" s="202"/>
      <c r="U148" s="423">
        <f>SUM(V148-S148)/S148</f>
        <v>-1.3949345977307324E-2</v>
      </c>
      <c r="V148" s="201">
        <f>1336.72/92701</f>
        <v>1.4419693422940421E-2</v>
      </c>
      <c r="W148" s="416">
        <f>SUM((X148-V148)/V148)</f>
        <v>2.0801192302491757E-3</v>
      </c>
      <c r="X148" s="341">
        <f>1396.808/96667</f>
        <v>1.4449688104523777E-2</v>
      </c>
      <c r="Y148" s="417">
        <f>SUM(Y131)</f>
        <v>0</v>
      </c>
      <c r="Z148" s="266">
        <f>SUM(X148*(1+Y148))</f>
        <v>1.4449688104523777E-2</v>
      </c>
      <c r="AA148" s="266">
        <f>SUM(Z148*(1+Y148))</f>
        <v>1.4449688104523777E-2</v>
      </c>
      <c r="AB148" s="266">
        <f t="shared" ref="AB148:AD148" si="93">SUM(AA148*(1+Z148))</f>
        <v>1.4658481590841793E-2</v>
      </c>
      <c r="AC148" s="266">
        <f t="shared" si="93"/>
        <v>1.487029207791536E-2</v>
      </c>
      <c r="AD148" s="266">
        <f t="shared" si="93"/>
        <v>1.5088267980589922E-2</v>
      </c>
    </row>
    <row r="149" spans="1:30" x14ac:dyDescent="0.2">
      <c r="A149" s="160"/>
      <c r="B149" s="186"/>
      <c r="C149" s="373"/>
      <c r="D149" s="373"/>
      <c r="E149" s="373"/>
      <c r="F149" s="270"/>
      <c r="G149" s="438"/>
      <c r="H149" s="373"/>
      <c r="I149" s="271"/>
      <c r="J149" s="180"/>
      <c r="M149" s="181"/>
      <c r="O149" s="180"/>
      <c r="Q149" s="180"/>
      <c r="S149" s="180"/>
      <c r="T149" s="180"/>
      <c r="U149" s="411"/>
      <c r="V149" s="181"/>
      <c r="W149" s="181"/>
      <c r="X149" s="180"/>
      <c r="Y149" s="181"/>
      <c r="Z149" s="181"/>
      <c r="AA149" s="181"/>
      <c r="AB149" s="181"/>
      <c r="AC149" s="181"/>
      <c r="AD149" s="181"/>
    </row>
    <row r="150" spans="1:30" x14ac:dyDescent="0.2">
      <c r="A150" s="153" t="s">
        <v>172</v>
      </c>
      <c r="B150" s="227"/>
      <c r="C150" s="226">
        <f>SUM(C147*C148)</f>
        <v>586.72936000000004</v>
      </c>
      <c r="D150" s="350"/>
      <c r="E150" s="350"/>
      <c r="F150" s="226">
        <f>SUM(F147*F148)</f>
        <v>608.54569960799995</v>
      </c>
      <c r="G150" s="439"/>
      <c r="H150" s="226">
        <f>SUM(H147*H148)</f>
        <v>620.25040742392002</v>
      </c>
      <c r="I150" s="227"/>
      <c r="J150" s="226">
        <f>SUM(J147*J148)</f>
        <v>721.7417400824088</v>
      </c>
      <c r="M150" s="226">
        <f>SUM(M147*M148)</f>
        <v>802.70764039063442</v>
      </c>
      <c r="O150" s="226">
        <f>SUM(O147*O148)</f>
        <v>856.09079069341112</v>
      </c>
      <c r="Q150" s="226">
        <f t="shared" ref="Q150:S150" si="94">SUM(Q147*Q148)</f>
        <v>1112.580366038414</v>
      </c>
      <c r="S150" s="226">
        <f t="shared" si="94"/>
        <v>1255.1733400000001</v>
      </c>
      <c r="T150" s="226"/>
      <c r="U150" s="427"/>
      <c r="V150" s="226">
        <f t="shared" ref="V150:AD150" si="95">SUM(V147*V148)</f>
        <v>1336.7211187574665</v>
      </c>
      <c r="W150" s="350"/>
      <c r="X150" s="295">
        <f t="shared" si="95"/>
        <v>1396.8021189769413</v>
      </c>
      <c r="Y150" s="350"/>
      <c r="Z150" s="350">
        <f t="shared" si="95"/>
        <v>1515.3664261381994</v>
      </c>
      <c r="AA150" s="350">
        <f t="shared" si="95"/>
        <v>1622.7762353196642</v>
      </c>
      <c r="AB150" s="350">
        <f t="shared" si="95"/>
        <v>1783.8582131729388</v>
      </c>
      <c r="AC150" s="350">
        <f t="shared" si="95"/>
        <v>1922.1359945950942</v>
      </c>
      <c r="AD150" s="350">
        <f t="shared" si="95"/>
        <v>2067.9473069221935</v>
      </c>
    </row>
    <row r="151" spans="1:30" x14ac:dyDescent="0.2">
      <c r="A151" s="249"/>
      <c r="B151" s="205"/>
      <c r="C151" s="204"/>
      <c r="D151" s="204"/>
      <c r="E151" s="204"/>
      <c r="F151" s="204"/>
      <c r="G151" s="204"/>
      <c r="H151" s="204"/>
      <c r="I151" s="205"/>
      <c r="J151" s="204"/>
      <c r="M151" s="204"/>
      <c r="S151" s="205"/>
      <c r="T151" s="205"/>
      <c r="U151" s="206"/>
      <c r="V151" s="206"/>
      <c r="W151" s="204"/>
      <c r="X151" s="204"/>
      <c r="Y151" s="204"/>
      <c r="Z151" s="204"/>
      <c r="AA151" s="204"/>
      <c r="AB151" s="204"/>
      <c r="AC151" s="204"/>
      <c r="AD151" s="204"/>
    </row>
    <row r="152" spans="1:30" x14ac:dyDescent="0.2">
      <c r="A152" s="351" t="s">
        <v>232</v>
      </c>
      <c r="B152" s="334"/>
      <c r="C152" s="229" t="s">
        <v>196</v>
      </c>
      <c r="D152" s="353"/>
      <c r="E152" s="353"/>
      <c r="F152" s="229" t="s">
        <v>197</v>
      </c>
      <c r="G152" s="229"/>
      <c r="H152" s="272" t="s">
        <v>198</v>
      </c>
      <c r="I152" s="230"/>
      <c r="J152" s="229" t="s">
        <v>233</v>
      </c>
      <c r="M152" s="229" t="s">
        <v>200</v>
      </c>
      <c r="O152" s="229" t="s">
        <v>201</v>
      </c>
      <c r="Q152" s="229" t="s">
        <v>202</v>
      </c>
      <c r="S152" s="229" t="s">
        <v>203</v>
      </c>
      <c r="T152" s="229"/>
      <c r="U152" s="428"/>
      <c r="V152" s="229" t="s">
        <v>204</v>
      </c>
      <c r="W152" s="229"/>
      <c r="X152" s="229" t="s">
        <v>205</v>
      </c>
      <c r="Y152" s="229"/>
      <c r="Z152" s="156" t="s">
        <v>265</v>
      </c>
      <c r="AA152" s="156" t="s">
        <v>266</v>
      </c>
      <c r="AB152" s="229" t="s">
        <v>206</v>
      </c>
      <c r="AC152" s="229" t="s">
        <v>207</v>
      </c>
      <c r="AD152" s="229" t="s">
        <v>208</v>
      </c>
    </row>
    <row r="153" spans="1:30" x14ac:dyDescent="0.2">
      <c r="A153" s="160"/>
      <c r="B153" s="159"/>
      <c r="C153" s="158"/>
      <c r="D153" s="158"/>
      <c r="E153" s="158"/>
      <c r="F153" s="158"/>
      <c r="G153" s="158"/>
      <c r="H153" s="158"/>
      <c r="I153" s="159"/>
      <c r="J153" s="232"/>
      <c r="M153" s="160"/>
      <c r="O153" s="160"/>
      <c r="Q153" s="160"/>
      <c r="S153" s="160"/>
      <c r="T153" s="160"/>
      <c r="U153" s="161"/>
      <c r="V153" s="160"/>
      <c r="W153" s="158"/>
      <c r="X153" s="158"/>
      <c r="Y153" s="158"/>
      <c r="Z153" s="158"/>
      <c r="AA153" s="158"/>
      <c r="AB153" s="158"/>
      <c r="AC153" s="158"/>
      <c r="AD153" s="158"/>
    </row>
    <row r="154" spans="1:30" x14ac:dyDescent="0.2">
      <c r="A154" s="160" t="s">
        <v>234</v>
      </c>
      <c r="B154" s="159"/>
      <c r="C154" s="374"/>
      <c r="D154" s="158"/>
      <c r="E154" s="158"/>
      <c r="F154" s="158"/>
      <c r="G154" s="158"/>
      <c r="H154" s="158"/>
      <c r="I154" s="159"/>
      <c r="J154" s="440"/>
      <c r="M154" s="160"/>
      <c r="O154" s="160"/>
      <c r="Q154" s="160"/>
      <c r="S154" s="160"/>
      <c r="T154" s="160"/>
      <c r="U154" s="161"/>
      <c r="V154" s="160"/>
      <c r="W154" s="158"/>
      <c r="X154" s="158"/>
      <c r="Y154" s="158"/>
      <c r="Z154" s="158"/>
      <c r="AA154" s="158"/>
      <c r="AB154" s="158"/>
      <c r="AC154" s="158"/>
      <c r="AD154" s="158"/>
    </row>
    <row r="155" spans="1:30" x14ac:dyDescent="0.2">
      <c r="A155" s="160" t="s">
        <v>235</v>
      </c>
      <c r="B155" s="164"/>
      <c r="C155" s="179">
        <v>0</v>
      </c>
      <c r="D155" s="179"/>
      <c r="E155" s="179"/>
      <c r="F155" s="179">
        <v>0</v>
      </c>
      <c r="G155" s="179"/>
      <c r="H155" s="163">
        <v>138200</v>
      </c>
      <c r="I155" s="164"/>
      <c r="J155" s="163">
        <v>129100</v>
      </c>
      <c r="M155" s="163">
        <v>130466</v>
      </c>
      <c r="O155" s="163">
        <v>142400</v>
      </c>
      <c r="Q155" s="163">
        <v>160600</v>
      </c>
      <c r="S155" s="163">
        <v>168937</v>
      </c>
      <c r="T155" s="163"/>
      <c r="U155" s="408"/>
      <c r="V155" s="163">
        <v>184700</v>
      </c>
      <c r="W155" s="179"/>
      <c r="X155" s="165">
        <v>209500</v>
      </c>
      <c r="Y155" s="165"/>
      <c r="Z155" s="179">
        <f>SUM(X155:X157)</f>
        <v>209500</v>
      </c>
      <c r="AA155" s="179">
        <f>SUM(Z155:Z157)</f>
        <v>209500</v>
      </c>
      <c r="AB155" s="179">
        <f t="shared" ref="AB155:AD155" si="96">SUM(AA155:AA157)</f>
        <v>209500</v>
      </c>
      <c r="AC155" s="179">
        <f t="shared" si="96"/>
        <v>209500</v>
      </c>
      <c r="AD155" s="179">
        <f t="shared" si="96"/>
        <v>209500</v>
      </c>
    </row>
    <row r="156" spans="1:30" x14ac:dyDescent="0.2">
      <c r="A156" s="160" t="s">
        <v>156</v>
      </c>
      <c r="B156" s="164"/>
      <c r="C156" s="179">
        <f>SUM(C139)</f>
        <v>0</v>
      </c>
      <c r="D156" s="179"/>
      <c r="E156" s="179"/>
      <c r="F156" s="179">
        <f>SUM(F139)</f>
        <v>0</v>
      </c>
      <c r="G156" s="179"/>
      <c r="H156" s="179">
        <v>0</v>
      </c>
      <c r="I156" s="164"/>
      <c r="J156" s="179"/>
      <c r="M156" s="163"/>
      <c r="O156" s="163"/>
      <c r="Q156" s="163"/>
      <c r="S156" s="163"/>
      <c r="T156" s="163"/>
      <c r="U156" s="408"/>
      <c r="V156" s="163"/>
      <c r="W156" s="179"/>
      <c r="X156" s="165"/>
      <c r="Y156" s="165"/>
      <c r="Z156" s="179">
        <v>0</v>
      </c>
      <c r="AA156" s="179">
        <v>0</v>
      </c>
      <c r="AB156" s="179">
        <v>0</v>
      </c>
      <c r="AC156" s="179">
        <v>0</v>
      </c>
      <c r="AD156" s="179">
        <v>0</v>
      </c>
    </row>
    <row r="157" spans="1:30" x14ac:dyDescent="0.2">
      <c r="A157" s="160" t="s">
        <v>161</v>
      </c>
      <c r="B157" s="164"/>
      <c r="C157" s="179">
        <f>SUM(C140)</f>
        <v>0</v>
      </c>
      <c r="D157" s="179"/>
      <c r="E157" s="179"/>
      <c r="F157" s="179">
        <f>SUM(F140)</f>
        <v>0</v>
      </c>
      <c r="G157" s="179"/>
      <c r="H157" s="179">
        <v>0</v>
      </c>
      <c r="I157" s="164"/>
      <c r="J157" s="179"/>
      <c r="M157" s="163"/>
      <c r="O157" s="163"/>
      <c r="Q157" s="163"/>
      <c r="S157" s="163"/>
      <c r="T157" s="163"/>
      <c r="U157" s="408"/>
      <c r="V157" s="163"/>
      <c r="W157" s="179"/>
      <c r="X157" s="165"/>
      <c r="Y157" s="165"/>
      <c r="Z157" s="179">
        <v>0</v>
      </c>
      <c r="AA157" s="179">
        <v>0</v>
      </c>
      <c r="AB157" s="179">
        <v>0</v>
      </c>
      <c r="AC157" s="179">
        <v>0</v>
      </c>
      <c r="AD157" s="179">
        <v>0</v>
      </c>
    </row>
    <row r="158" spans="1:30" x14ac:dyDescent="0.2">
      <c r="A158" s="160" t="s">
        <v>163</v>
      </c>
      <c r="B158" s="170"/>
      <c r="C158" s="169">
        <v>1</v>
      </c>
      <c r="D158" s="169"/>
      <c r="E158" s="169"/>
      <c r="F158" s="169">
        <v>1</v>
      </c>
      <c r="G158" s="169"/>
      <c r="H158" s="196">
        <v>1</v>
      </c>
      <c r="I158" s="170"/>
      <c r="J158" s="196"/>
      <c r="M158" s="169">
        <v>1</v>
      </c>
      <c r="O158" s="169">
        <v>1</v>
      </c>
      <c r="Q158" s="169">
        <v>1</v>
      </c>
      <c r="S158" s="169">
        <v>1</v>
      </c>
      <c r="T158" s="169"/>
      <c r="U158" s="408"/>
      <c r="V158" s="169">
        <v>1</v>
      </c>
      <c r="W158" s="196"/>
      <c r="X158" s="171">
        <v>1</v>
      </c>
      <c r="Y158" s="171"/>
      <c r="Z158" s="196">
        <v>1</v>
      </c>
      <c r="AA158" s="196">
        <v>1</v>
      </c>
      <c r="AB158" s="196">
        <v>1</v>
      </c>
      <c r="AC158" s="196">
        <v>1</v>
      </c>
      <c r="AD158" s="196">
        <v>1</v>
      </c>
    </row>
    <row r="159" spans="1:30" x14ac:dyDescent="0.2">
      <c r="A159" s="160" t="s">
        <v>164</v>
      </c>
      <c r="B159" s="174"/>
      <c r="C159" s="172">
        <v>0.33810000000000001</v>
      </c>
      <c r="D159" s="172"/>
      <c r="E159" s="172"/>
      <c r="F159" s="172">
        <v>1</v>
      </c>
      <c r="G159" s="172"/>
      <c r="H159" s="173">
        <v>1</v>
      </c>
      <c r="I159" s="174"/>
      <c r="J159" s="172">
        <v>1</v>
      </c>
      <c r="M159" s="172">
        <v>1</v>
      </c>
      <c r="O159" s="172">
        <v>1</v>
      </c>
      <c r="Q159" s="172">
        <v>1</v>
      </c>
      <c r="S159" s="172">
        <v>1</v>
      </c>
      <c r="T159" s="172"/>
      <c r="U159" s="409"/>
      <c r="V159" s="172">
        <v>1</v>
      </c>
      <c r="W159" s="173"/>
      <c r="X159" s="175">
        <v>1</v>
      </c>
      <c r="Y159" s="175"/>
      <c r="Z159" s="173">
        <v>1</v>
      </c>
      <c r="AA159" s="173">
        <v>1</v>
      </c>
      <c r="AB159" s="173">
        <v>1</v>
      </c>
      <c r="AC159" s="173">
        <v>1</v>
      </c>
      <c r="AD159" s="173">
        <v>1</v>
      </c>
    </row>
    <row r="160" spans="1:30" x14ac:dyDescent="0.2">
      <c r="A160" s="160" t="s">
        <v>236</v>
      </c>
      <c r="B160" s="262"/>
      <c r="C160" s="180">
        <v>121745</v>
      </c>
      <c r="D160" s="261"/>
      <c r="E160" s="261"/>
      <c r="F160" s="261">
        <v>122500</v>
      </c>
      <c r="G160" s="261"/>
      <c r="H160" s="261">
        <f>SUM(H155:H157)</f>
        <v>138200</v>
      </c>
      <c r="I160" s="262"/>
      <c r="J160" s="261">
        <f>SUM(J155*J159)</f>
        <v>129100</v>
      </c>
      <c r="M160" s="180">
        <f>SUM((M155+M156+M157)*M158*M159)</f>
        <v>130466</v>
      </c>
      <c r="O160" s="180">
        <f>SUM((O155+O156+O157)*O158*O159)</f>
        <v>142400</v>
      </c>
      <c r="Q160" s="180">
        <f t="shared" ref="Q160:S160" si="97">SUM((Q155+Q156+Q157)*Q158*Q159)</f>
        <v>160600</v>
      </c>
      <c r="S160" s="180">
        <f t="shared" si="97"/>
        <v>168937</v>
      </c>
      <c r="T160" s="180"/>
      <c r="U160" s="411"/>
      <c r="V160" s="180">
        <f t="shared" ref="V160:AD160" si="98">SUM((V155+V156+V157)*V158*V159)</f>
        <v>184700</v>
      </c>
      <c r="W160" s="181"/>
      <c r="X160" s="225">
        <f t="shared" si="98"/>
        <v>209500</v>
      </c>
      <c r="Y160" s="225"/>
      <c r="Z160" s="181">
        <f t="shared" si="98"/>
        <v>209500</v>
      </c>
      <c r="AA160" s="181">
        <f t="shared" si="98"/>
        <v>209500</v>
      </c>
      <c r="AB160" s="181">
        <f t="shared" si="98"/>
        <v>209500</v>
      </c>
      <c r="AC160" s="181">
        <f t="shared" si="98"/>
        <v>209500</v>
      </c>
      <c r="AD160" s="181">
        <f t="shared" si="98"/>
        <v>209500</v>
      </c>
    </row>
    <row r="161" spans="1:30" x14ac:dyDescent="0.2">
      <c r="A161" s="160" t="s">
        <v>237</v>
      </c>
      <c r="B161" s="262"/>
      <c r="C161" s="179"/>
      <c r="D161" s="260"/>
      <c r="E161" s="260"/>
      <c r="F161" s="260"/>
      <c r="G161" s="260"/>
      <c r="H161" s="260"/>
      <c r="I161" s="262"/>
      <c r="J161" s="261">
        <v>631</v>
      </c>
      <c r="M161" s="163"/>
      <c r="O161" s="163"/>
      <c r="Q161" s="163"/>
      <c r="S161" s="163"/>
      <c r="T161" s="163"/>
      <c r="U161" s="408"/>
      <c r="V161" s="163"/>
      <c r="W161" s="179"/>
      <c r="X161" s="165"/>
      <c r="Y161" s="165"/>
      <c r="Z161" s="179"/>
      <c r="AA161" s="179"/>
      <c r="AB161" s="179"/>
      <c r="AC161" s="179"/>
      <c r="AD161" s="179"/>
    </row>
    <row r="162" spans="1:30" x14ac:dyDescent="0.2">
      <c r="A162" s="160"/>
      <c r="B162" s="274"/>
      <c r="C162" s="273">
        <v>1</v>
      </c>
      <c r="D162" s="375"/>
      <c r="E162" s="375"/>
      <c r="F162" s="273">
        <v>1</v>
      </c>
      <c r="G162" s="273"/>
      <c r="H162" s="273">
        <v>1</v>
      </c>
      <c r="I162" s="274"/>
      <c r="J162" s="376">
        <v>1</v>
      </c>
      <c r="M162" s="273">
        <v>1</v>
      </c>
      <c r="O162" s="273">
        <v>1</v>
      </c>
      <c r="Q162" s="273">
        <v>1</v>
      </c>
      <c r="S162" s="273">
        <v>1</v>
      </c>
      <c r="T162" s="273"/>
      <c r="U162" s="408"/>
      <c r="V162" s="273">
        <v>1</v>
      </c>
      <c r="W162" s="375"/>
      <c r="X162" s="275">
        <v>1</v>
      </c>
      <c r="Y162" s="275"/>
      <c r="Z162" s="375">
        <v>1</v>
      </c>
      <c r="AA162" s="375">
        <v>1</v>
      </c>
      <c r="AB162" s="375">
        <v>1</v>
      </c>
      <c r="AC162" s="375">
        <v>1</v>
      </c>
      <c r="AD162" s="375">
        <v>1</v>
      </c>
    </row>
    <row r="163" spans="1:30" x14ac:dyDescent="0.2">
      <c r="A163" s="160" t="s">
        <v>167</v>
      </c>
      <c r="B163" s="262"/>
      <c r="C163" s="163">
        <f>SUM(C160*C162)</f>
        <v>121745</v>
      </c>
      <c r="D163" s="260"/>
      <c r="E163" s="260"/>
      <c r="F163" s="261">
        <f>SUM(F160*F162)</f>
        <v>122500</v>
      </c>
      <c r="G163" s="261"/>
      <c r="H163" s="261">
        <f>SUM(H160*H162)</f>
        <v>138200</v>
      </c>
      <c r="I163" s="262"/>
      <c r="J163" s="261">
        <f>SUM(J160:J161)</f>
        <v>129731</v>
      </c>
      <c r="M163" s="163">
        <f>SUM(M160*M162)</f>
        <v>130466</v>
      </c>
      <c r="O163" s="163">
        <f>SUM(O160*O162)</f>
        <v>142400</v>
      </c>
      <c r="Q163" s="163">
        <f t="shared" ref="Q163:S163" si="99">SUM(Q160*Q162)</f>
        <v>160600</v>
      </c>
      <c r="S163" s="163">
        <f t="shared" si="99"/>
        <v>168937</v>
      </c>
      <c r="T163" s="163"/>
      <c r="U163" s="408"/>
      <c r="V163" s="163">
        <f t="shared" ref="V163:AD163" si="100">SUM(V160*V162)</f>
        <v>184700</v>
      </c>
      <c r="W163" s="179"/>
      <c r="X163" s="165">
        <f t="shared" si="100"/>
        <v>209500</v>
      </c>
      <c r="Y163" s="165"/>
      <c r="Z163" s="179">
        <f t="shared" si="100"/>
        <v>209500</v>
      </c>
      <c r="AA163" s="179">
        <f t="shared" si="100"/>
        <v>209500</v>
      </c>
      <c r="AB163" s="179">
        <f t="shared" si="100"/>
        <v>209500</v>
      </c>
      <c r="AC163" s="179">
        <f t="shared" si="100"/>
        <v>209500</v>
      </c>
      <c r="AD163" s="179">
        <f t="shared" si="100"/>
        <v>209500</v>
      </c>
    </row>
    <row r="164" spans="1:30" x14ac:dyDescent="0.2">
      <c r="A164" s="160" t="s">
        <v>180</v>
      </c>
      <c r="B164" s="178"/>
      <c r="C164" s="177">
        <v>1</v>
      </c>
      <c r="D164" s="339"/>
      <c r="E164" s="339"/>
      <c r="F164" s="177">
        <v>1</v>
      </c>
      <c r="G164" s="177"/>
      <c r="H164" s="177">
        <v>1</v>
      </c>
      <c r="I164" s="178"/>
      <c r="J164" s="377">
        <f>129094/129100</f>
        <v>0.99995352439969021</v>
      </c>
      <c r="M164" s="177">
        <v>1</v>
      </c>
      <c r="O164" s="177">
        <v>1</v>
      </c>
      <c r="Q164" s="177">
        <v>1</v>
      </c>
      <c r="S164" s="177">
        <v>1</v>
      </c>
      <c r="T164" s="177"/>
      <c r="U164" s="409"/>
      <c r="V164" s="177">
        <v>1</v>
      </c>
      <c r="W164" s="339"/>
      <c r="X164" s="276">
        <v>1</v>
      </c>
      <c r="Y164" s="276"/>
      <c r="Z164" s="339">
        <v>1</v>
      </c>
      <c r="AA164" s="339">
        <v>1</v>
      </c>
      <c r="AB164" s="339">
        <v>1</v>
      </c>
      <c r="AC164" s="339">
        <v>1</v>
      </c>
      <c r="AD164" s="339">
        <v>1</v>
      </c>
    </row>
    <row r="165" spans="1:30" x14ac:dyDescent="0.2">
      <c r="A165" s="160" t="s">
        <v>169</v>
      </c>
      <c r="B165" s="164"/>
      <c r="C165" s="163">
        <f>SUM(C163*C164)</f>
        <v>121745</v>
      </c>
      <c r="D165" s="179"/>
      <c r="E165" s="179"/>
      <c r="F165" s="163">
        <f>SUM(F163*F164)</f>
        <v>122500</v>
      </c>
      <c r="G165" s="163"/>
      <c r="H165" s="163">
        <f>SUM(H163*H164)</f>
        <v>138200</v>
      </c>
      <c r="I165" s="164"/>
      <c r="J165" s="163">
        <f>SUM(J163*J164)</f>
        <v>129724.97067389621</v>
      </c>
      <c r="M165" s="163">
        <f>SUM(M163*M164)</f>
        <v>130466</v>
      </c>
      <c r="O165" s="163">
        <f>SUM(O163*O164)</f>
        <v>142400</v>
      </c>
      <c r="Q165" s="163">
        <f t="shared" ref="Q165:S165" si="101">SUM(Q163*Q164)</f>
        <v>160600</v>
      </c>
      <c r="S165" s="163">
        <f t="shared" si="101"/>
        <v>168937</v>
      </c>
      <c r="T165" s="163"/>
      <c r="U165" s="408"/>
      <c r="V165" s="163">
        <f t="shared" ref="V165:AD165" si="102">SUM(V163*V164)</f>
        <v>184700</v>
      </c>
      <c r="W165" s="179"/>
      <c r="X165" s="165">
        <f t="shared" si="102"/>
        <v>209500</v>
      </c>
      <c r="Y165" s="165"/>
      <c r="Z165" s="179">
        <f t="shared" si="102"/>
        <v>209500</v>
      </c>
      <c r="AA165" s="179">
        <f t="shared" si="102"/>
        <v>209500</v>
      </c>
      <c r="AB165" s="179">
        <f t="shared" si="102"/>
        <v>209500</v>
      </c>
      <c r="AC165" s="179">
        <f t="shared" si="102"/>
        <v>209500</v>
      </c>
      <c r="AD165" s="179">
        <f t="shared" si="102"/>
        <v>209500</v>
      </c>
    </row>
    <row r="166" spans="1:30" x14ac:dyDescent="0.2">
      <c r="A166" s="160" t="s">
        <v>171</v>
      </c>
      <c r="B166" s="340"/>
      <c r="C166" s="184">
        <f>1522207.22/121745470</f>
        <v>1.2503193917605312E-2</v>
      </c>
      <c r="D166" s="266"/>
      <c r="E166" s="266"/>
      <c r="F166" s="201">
        <f>1572539.83/122500000</f>
        <v>1.2837059836734695E-2</v>
      </c>
      <c r="G166" s="412"/>
      <c r="H166" s="201">
        <f>1759473/138200000</f>
        <v>1.2731353111432706E-2</v>
      </c>
      <c r="I166" s="412"/>
      <c r="J166" s="378">
        <v>1.270905E-2</v>
      </c>
      <c r="L166" s="413">
        <f>SUM(M166-J166)/M166</f>
        <v>-4.1725900765733582E-3</v>
      </c>
      <c r="M166" s="201">
        <f>1651218.73/130466761</f>
        <v>1.2656240695666537E-2</v>
      </c>
      <c r="N166" s="413">
        <f>SUM(O166-M166)/O166</f>
        <v>-6.262980404406311E-3</v>
      </c>
      <c r="O166" s="183">
        <f>1791.03148/142400</f>
        <v>1.2577468258426967E-2</v>
      </c>
      <c r="P166" s="413">
        <f>SUM(Q166-O166)/Q166</f>
        <v>5.2758046385714798E-3</v>
      </c>
      <c r="Q166" s="201">
        <f>2030654.74/160600000</f>
        <v>1.2644176463262765E-2</v>
      </c>
      <c r="R166" s="414">
        <f>SUM(S166-Q166)/Q166</f>
        <v>5.1867792740404131E-4</v>
      </c>
      <c r="S166" s="201">
        <f>2137183.37/168937490</f>
        <v>1.2650734718504461E-2</v>
      </c>
      <c r="T166" s="202"/>
      <c r="U166" s="423">
        <f>SUM(V166-S166)/S166</f>
        <v>1.8090373058002526E-2</v>
      </c>
      <c r="V166" s="266">
        <f>2378.8605/184700</f>
        <v>1.2879591229020031E-2</v>
      </c>
      <c r="W166" s="416">
        <f>SUM((X166-V166)/V166)</f>
        <v>-1.7520220751848135E-2</v>
      </c>
      <c r="X166" s="201">
        <f>2651/209500</f>
        <v>1.2653937947494033E-2</v>
      </c>
      <c r="Y166" s="417">
        <f>SUM(Y148)</f>
        <v>0</v>
      </c>
      <c r="Z166" s="266">
        <f>SUM(X166*(1+Y166))</f>
        <v>1.2653937947494033E-2</v>
      </c>
      <c r="AA166" s="266">
        <f>SUM(Z166*(1+Y166))</f>
        <v>1.2653937947494033E-2</v>
      </c>
      <c r="AB166" s="266">
        <f t="shared" ref="AB166:AD166" si="103">SUM(AA166*(1+Z166))</f>
        <v>1.2814060093073064E-2</v>
      </c>
      <c r="AC166" s="266">
        <f t="shared" si="103"/>
        <v>1.297620841434627E-2</v>
      </c>
      <c r="AD166" s="266">
        <f t="shared" si="103"/>
        <v>1.3142486328747944E-2</v>
      </c>
    </row>
    <row r="167" spans="1:30" x14ac:dyDescent="0.2">
      <c r="A167" s="160"/>
      <c r="B167" s="186"/>
      <c r="C167" s="203"/>
      <c r="D167" s="185"/>
      <c r="E167" s="185"/>
      <c r="F167" s="203"/>
      <c r="G167" s="203"/>
      <c r="H167" s="203"/>
      <c r="I167" s="186"/>
      <c r="J167" s="203"/>
      <c r="M167" s="185"/>
      <c r="O167" s="203"/>
      <c r="Q167" s="203"/>
      <c r="S167" s="203"/>
      <c r="T167" s="203"/>
      <c r="U167" s="408"/>
      <c r="V167" s="185"/>
      <c r="W167" s="185"/>
      <c r="X167" s="203"/>
      <c r="Y167" s="203"/>
      <c r="Z167" s="185"/>
      <c r="AA167" s="185"/>
      <c r="AB167" s="185"/>
      <c r="AC167" s="185"/>
      <c r="AD167" s="185"/>
    </row>
    <row r="168" spans="1:30" ht="13.5" thickBot="1" x14ac:dyDescent="0.25">
      <c r="A168" s="153" t="s">
        <v>172</v>
      </c>
      <c r="B168" s="188"/>
      <c r="C168" s="187">
        <f>SUM(C165*C166)</f>
        <v>1522.2013434988587</v>
      </c>
      <c r="D168" s="219"/>
      <c r="E168" s="219"/>
      <c r="F168" s="187">
        <f>SUM(F165*F166)</f>
        <v>1572.5398300000002</v>
      </c>
      <c r="G168" s="187"/>
      <c r="H168" s="187">
        <f>SUM(H165*H166)</f>
        <v>1759.473</v>
      </c>
      <c r="I168" s="188"/>
      <c r="J168" s="187">
        <f>SUM(J165*J166)</f>
        <v>1648.6811385430806</v>
      </c>
      <c r="M168" s="187">
        <f>SUM(M165*M166)</f>
        <v>1651.2090986008304</v>
      </c>
      <c r="O168" s="187">
        <f>SUM(O165*O166)</f>
        <v>1791.0314800000001</v>
      </c>
      <c r="Q168" s="187">
        <f t="shared" ref="Q168:S168" si="104">SUM(Q165*Q166)</f>
        <v>2030.6547399999999</v>
      </c>
      <c r="S168" s="187">
        <f t="shared" si="104"/>
        <v>2137.1771711399883</v>
      </c>
      <c r="T168" s="187"/>
      <c r="U168" s="419"/>
      <c r="V168" s="219">
        <f t="shared" ref="V168:AD168" si="105">SUM(V165*V166)</f>
        <v>2378.8604999999998</v>
      </c>
      <c r="W168" s="219"/>
      <c r="X168" s="187">
        <f t="shared" si="105"/>
        <v>2651</v>
      </c>
      <c r="Y168" s="187"/>
      <c r="Z168" s="219">
        <f t="shared" si="105"/>
        <v>2651</v>
      </c>
      <c r="AA168" s="219">
        <f t="shared" si="105"/>
        <v>2651</v>
      </c>
      <c r="AB168" s="219">
        <f t="shared" si="105"/>
        <v>2684.5455894988067</v>
      </c>
      <c r="AC168" s="219">
        <f t="shared" si="105"/>
        <v>2718.5156628055438</v>
      </c>
      <c r="AD168" s="219">
        <f t="shared" si="105"/>
        <v>2753.3508858726941</v>
      </c>
    </row>
    <row r="169" spans="1:30" ht="13.5" thickTop="1" x14ac:dyDescent="0.2">
      <c r="A169" s="277"/>
      <c r="B169" s="205"/>
      <c r="C169" s="204"/>
      <c r="D169" s="204"/>
      <c r="E169" s="204"/>
      <c r="F169" s="204"/>
      <c r="G169" s="204"/>
      <c r="H169" s="204"/>
      <c r="I169" s="205"/>
      <c r="J169" s="205"/>
      <c r="K169" s="278"/>
      <c r="L169" s="278"/>
      <c r="M169" s="204"/>
      <c r="O169" s="204"/>
      <c r="Q169" s="204"/>
      <c r="S169" s="204"/>
      <c r="T169" s="204"/>
      <c r="U169" s="206"/>
      <c r="V169" s="206"/>
      <c r="W169" s="204"/>
      <c r="X169" s="204"/>
      <c r="Y169" s="204"/>
      <c r="Z169" s="204"/>
      <c r="AA169" s="204"/>
      <c r="AB169" s="204"/>
      <c r="AC169" s="204"/>
      <c r="AD169" s="204"/>
    </row>
    <row r="170" spans="1:30" ht="13.5" thickBot="1" x14ac:dyDescent="0.25">
      <c r="A170" s="277"/>
      <c r="B170" s="205"/>
      <c r="C170" s="204"/>
      <c r="D170" s="204"/>
      <c r="E170" s="204"/>
      <c r="F170" s="204"/>
      <c r="G170" s="204"/>
      <c r="H170" s="204"/>
      <c r="I170" s="205"/>
      <c r="J170" s="205"/>
      <c r="K170" s="278"/>
      <c r="L170" s="278"/>
      <c r="M170" s="204"/>
      <c r="O170" s="189"/>
      <c r="P170" s="441"/>
      <c r="Q170" s="189"/>
      <c r="R170" s="442"/>
      <c r="S170" s="204"/>
      <c r="T170" s="204"/>
      <c r="U170" s="206"/>
      <c r="V170" s="204"/>
      <c r="W170" s="204"/>
      <c r="X170" s="204"/>
      <c r="Y170" s="204"/>
      <c r="Z170" s="204"/>
      <c r="AA170" s="204"/>
      <c r="AB170" s="204"/>
      <c r="AC170" s="204"/>
      <c r="AD170" s="204"/>
    </row>
    <row r="171" spans="1:30" x14ac:dyDescent="0.2">
      <c r="A171" s="443"/>
      <c r="B171" s="444"/>
      <c r="C171" s="444"/>
      <c r="D171" s="444"/>
      <c r="E171" s="444"/>
      <c r="F171" s="444"/>
      <c r="G171" s="444"/>
      <c r="H171" s="444"/>
      <c r="I171" s="444"/>
      <c r="J171" s="444"/>
      <c r="K171" s="444"/>
      <c r="L171" s="379"/>
      <c r="M171" s="444"/>
      <c r="N171" s="444"/>
      <c r="O171" s="444"/>
      <c r="P171" s="444"/>
      <c r="Q171" s="444"/>
      <c r="R171" s="445"/>
      <c r="S171" s="446"/>
      <c r="T171" s="444"/>
      <c r="U171" s="445"/>
      <c r="V171" s="447"/>
      <c r="W171" s="446"/>
      <c r="X171" s="447"/>
      <c r="Y171" s="448"/>
      <c r="Z171" s="449"/>
      <c r="AA171" s="446"/>
      <c r="AB171" s="446"/>
      <c r="AC171" s="446"/>
      <c r="AD171" s="446"/>
    </row>
    <row r="172" spans="1:30" ht="18" x14ac:dyDescent="0.25">
      <c r="A172" s="388" t="s">
        <v>264</v>
      </c>
      <c r="B172" s="280"/>
      <c r="C172" s="280"/>
      <c r="D172" s="280"/>
      <c r="E172" s="280"/>
      <c r="F172" s="279"/>
      <c r="G172" s="279"/>
      <c r="H172" s="279"/>
      <c r="I172" s="280"/>
      <c r="J172" s="279"/>
      <c r="K172" s="398"/>
      <c r="L172" s="326"/>
      <c r="M172" s="398"/>
      <c r="N172" s="398"/>
      <c r="O172" s="398"/>
      <c r="P172" s="398"/>
      <c r="R172" s="404"/>
      <c r="T172" s="401"/>
      <c r="U172" s="404"/>
      <c r="V172" s="450">
        <v>2014</v>
      </c>
      <c r="W172" s="451"/>
      <c r="X172" s="450">
        <v>2015</v>
      </c>
      <c r="Y172" s="401"/>
      <c r="Z172" s="380"/>
      <c r="AA172" s="451"/>
      <c r="AB172" s="451"/>
      <c r="AC172" s="451"/>
      <c r="AD172" s="451"/>
    </row>
    <row r="173" spans="1:30" ht="18.75" thickBot="1" x14ac:dyDescent="0.3">
      <c r="A173" s="380" t="s">
        <v>238</v>
      </c>
      <c r="B173" s="280"/>
      <c r="C173" s="279"/>
      <c r="D173" s="279"/>
      <c r="E173" s="279"/>
      <c r="F173" s="279"/>
      <c r="G173" s="279"/>
      <c r="H173" s="281"/>
      <c r="I173" s="281"/>
      <c r="J173" s="281"/>
      <c r="K173" s="398"/>
      <c r="L173" s="326"/>
      <c r="M173" s="398"/>
      <c r="N173" s="398"/>
      <c r="O173" s="282"/>
      <c r="P173" s="398"/>
      <c r="Q173" s="282"/>
      <c r="R173" s="404"/>
      <c r="S173" s="283"/>
      <c r="T173" s="282"/>
      <c r="U173" s="284"/>
      <c r="V173" s="452" t="s">
        <v>239</v>
      </c>
      <c r="W173" s="283"/>
      <c r="X173" s="452" t="s">
        <v>240</v>
      </c>
      <c r="Y173" s="401"/>
      <c r="Z173" s="285"/>
      <c r="AA173" s="283"/>
      <c r="AB173" s="283"/>
      <c r="AC173" s="283"/>
      <c r="AD173" s="283"/>
    </row>
    <row r="174" spans="1:30" x14ac:dyDescent="0.2">
      <c r="A174" s="380"/>
      <c r="B174" s="280"/>
      <c r="C174" s="279"/>
      <c r="D174" s="279"/>
      <c r="E174" s="279"/>
      <c r="F174" s="279"/>
      <c r="G174" s="279"/>
      <c r="H174" s="281"/>
      <c r="I174" s="281"/>
      <c r="J174" s="281"/>
      <c r="K174" s="398"/>
      <c r="L174" s="326"/>
      <c r="M174" s="398"/>
      <c r="N174" s="398"/>
      <c r="O174" s="281"/>
      <c r="P174" s="398"/>
      <c r="Q174" s="281"/>
      <c r="R174" s="404"/>
      <c r="S174" s="286"/>
      <c r="T174" s="286"/>
      <c r="U174" s="287"/>
      <c r="V174" s="286"/>
      <c r="W174" s="286"/>
      <c r="X174" s="286"/>
      <c r="Y174" s="286"/>
      <c r="Z174" s="286"/>
      <c r="AA174" s="286"/>
      <c r="AB174" s="286"/>
      <c r="AC174" s="286"/>
      <c r="AD174" s="286"/>
    </row>
    <row r="175" spans="1:30" x14ac:dyDescent="0.2">
      <c r="A175" s="380" t="s">
        <v>241</v>
      </c>
      <c r="B175" s="144"/>
      <c r="C175" s="381" t="s">
        <v>242</v>
      </c>
      <c r="D175" s="143"/>
      <c r="E175" s="143"/>
      <c r="F175" s="288" t="s">
        <v>242</v>
      </c>
      <c r="G175" s="143"/>
      <c r="H175" s="288" t="s">
        <v>243</v>
      </c>
      <c r="I175" s="288"/>
      <c r="J175" s="288" t="s">
        <v>244</v>
      </c>
      <c r="K175" s="398"/>
      <c r="L175" s="326"/>
      <c r="M175" s="288" t="s">
        <v>243</v>
      </c>
      <c r="N175" s="398"/>
      <c r="O175" s="162" t="s">
        <v>242</v>
      </c>
      <c r="P175" s="398"/>
      <c r="Q175" s="162" t="s">
        <v>242</v>
      </c>
      <c r="R175" s="404"/>
      <c r="S175" s="288" t="s">
        <v>243</v>
      </c>
      <c r="T175" s="288"/>
      <c r="U175" s="453"/>
      <c r="V175" s="288" t="s">
        <v>243</v>
      </c>
      <c r="W175" s="288"/>
      <c r="X175" s="288" t="s">
        <v>242</v>
      </c>
      <c r="Y175" s="288"/>
      <c r="Z175" s="288"/>
      <c r="AA175" s="288"/>
      <c r="AB175" s="288" t="s">
        <v>245</v>
      </c>
      <c r="AC175" s="288" t="s">
        <v>245</v>
      </c>
      <c r="AD175" s="288" t="s">
        <v>245</v>
      </c>
    </row>
    <row r="176" spans="1:30" x14ac:dyDescent="0.2">
      <c r="A176" s="380"/>
      <c r="B176" s="334"/>
      <c r="C176" s="192">
        <v>2006</v>
      </c>
      <c r="D176" s="267"/>
      <c r="E176" s="267"/>
      <c r="F176" s="156">
        <v>2007</v>
      </c>
      <c r="G176" s="267"/>
      <c r="H176" s="289">
        <v>2008</v>
      </c>
      <c r="I176" s="156"/>
      <c r="J176" s="156">
        <v>2009</v>
      </c>
      <c r="K176" s="398"/>
      <c r="L176" s="326"/>
      <c r="M176" s="156">
        <v>2010</v>
      </c>
      <c r="N176" s="398"/>
      <c r="O176" s="156">
        <v>2011</v>
      </c>
      <c r="P176" s="398"/>
      <c r="Q176" s="156">
        <v>2012</v>
      </c>
      <c r="R176" s="404"/>
      <c r="S176" s="156">
        <v>2013</v>
      </c>
      <c r="T176" s="156"/>
      <c r="U176" s="407"/>
      <c r="V176" s="156">
        <v>2014</v>
      </c>
      <c r="W176" s="156"/>
      <c r="X176" s="156">
        <v>2015</v>
      </c>
      <c r="Y176" s="156"/>
      <c r="Z176" s="156">
        <v>2016</v>
      </c>
      <c r="AA176" s="156">
        <v>2017</v>
      </c>
      <c r="AB176" s="156">
        <v>2018</v>
      </c>
      <c r="AC176" s="156">
        <v>2019</v>
      </c>
      <c r="AD176" s="156">
        <v>2020</v>
      </c>
    </row>
    <row r="177" spans="1:30" x14ac:dyDescent="0.2">
      <c r="A177" s="380" t="s">
        <v>246</v>
      </c>
      <c r="B177" s="382"/>
      <c r="C177" s="281"/>
      <c r="D177" s="290"/>
      <c r="E177" s="290"/>
      <c r="F177" s="290"/>
      <c r="G177" s="290"/>
      <c r="H177" s="290"/>
      <c r="I177" s="290"/>
      <c r="J177" s="259"/>
      <c r="K177" s="398"/>
      <c r="L177" s="326"/>
      <c r="M177" s="290"/>
      <c r="N177" s="398"/>
      <c r="O177" s="259"/>
      <c r="P177" s="398"/>
      <c r="Q177" s="290"/>
      <c r="R177" s="404"/>
      <c r="S177" s="259"/>
      <c r="T177" s="290"/>
      <c r="U177" s="291"/>
      <c r="V177" s="290"/>
      <c r="W177" s="290"/>
      <c r="X177" s="290"/>
      <c r="Y177" s="290"/>
      <c r="Z177" s="290"/>
      <c r="AA177" s="290"/>
      <c r="AB177" s="290"/>
      <c r="AC177" s="290"/>
      <c r="AD177" s="290"/>
    </row>
    <row r="178" spans="1:30" x14ac:dyDescent="0.2">
      <c r="A178" s="380"/>
      <c r="B178" s="383"/>
      <c r="C178" s="281"/>
      <c r="D178" s="290"/>
      <c r="E178" s="290"/>
      <c r="F178" s="290"/>
      <c r="G178" s="290"/>
      <c r="H178" s="290"/>
      <c r="I178" s="290"/>
      <c r="J178" s="259"/>
      <c r="K178" s="398"/>
      <c r="L178" s="326"/>
      <c r="M178" s="290"/>
      <c r="N178" s="398"/>
      <c r="O178" s="259"/>
      <c r="P178" s="398"/>
      <c r="Q178" s="290"/>
      <c r="R178" s="404"/>
      <c r="S178" s="259"/>
      <c r="T178" s="290"/>
      <c r="U178" s="291"/>
      <c r="V178" s="290"/>
      <c r="W178" s="290"/>
      <c r="X178" s="290"/>
      <c r="Y178" s="290"/>
      <c r="Z178" s="290"/>
      <c r="AA178" s="290"/>
      <c r="AB178" s="290"/>
      <c r="AC178" s="290"/>
      <c r="AD178" s="290"/>
    </row>
    <row r="179" spans="1:30" x14ac:dyDescent="0.2">
      <c r="A179" s="384" t="s">
        <v>247</v>
      </c>
      <c r="B179" s="385"/>
      <c r="C179" s="386">
        <f>SUM(C30)</f>
        <v>6549.7083611903972</v>
      </c>
      <c r="D179" s="293"/>
      <c r="E179" s="293"/>
      <c r="F179" s="292">
        <f>SUM(F30)</f>
        <v>5923.8449729458116</v>
      </c>
      <c r="G179" s="293"/>
      <c r="H179" s="292">
        <f>SUM(H30)</f>
        <v>5198.9417699999995</v>
      </c>
      <c r="I179" s="293"/>
      <c r="J179" s="292">
        <f>SUM(J30)</f>
        <v>4875.8974975247356</v>
      </c>
      <c r="K179" s="398"/>
      <c r="L179" s="326"/>
      <c r="M179" s="292">
        <f>SUM(M30)</f>
        <v>6644.5774054519761</v>
      </c>
      <c r="N179" s="398"/>
      <c r="O179" s="292">
        <f>SUM(O30)</f>
        <v>7876.3008272199995</v>
      </c>
      <c r="P179" s="398"/>
      <c r="Q179" s="292">
        <f t="shared" ref="Q179:S179" si="106">SUM(Q30)</f>
        <v>8630.5537097419092</v>
      </c>
      <c r="R179" s="404"/>
      <c r="S179" s="292">
        <f t="shared" si="106"/>
        <v>9501.7079599999997</v>
      </c>
      <c r="T179" s="293"/>
      <c r="U179" s="291"/>
      <c r="V179" s="292">
        <f t="shared" ref="V179:AD179" si="107">SUM(V30)</f>
        <v>11286.939</v>
      </c>
      <c r="W179" s="293"/>
      <c r="X179" s="292">
        <f t="shared" ref="X179" si="108">SUM(X30)</f>
        <v>12999.765589175515</v>
      </c>
      <c r="Y179" s="292"/>
      <c r="Z179" s="293">
        <f t="shared" si="107"/>
        <v>13759.280285832459</v>
      </c>
      <c r="AA179" s="293">
        <f t="shared" si="107"/>
        <v>14776.831372099035</v>
      </c>
      <c r="AB179" s="293">
        <f t="shared" si="107"/>
        <v>15902.329458535152</v>
      </c>
      <c r="AC179" s="293">
        <f t="shared" si="107"/>
        <v>16845.33417950699</v>
      </c>
      <c r="AD179" s="293">
        <f t="shared" si="107"/>
        <v>17687.339433049907</v>
      </c>
    </row>
    <row r="180" spans="1:30" x14ac:dyDescent="0.2">
      <c r="A180" s="384" t="s">
        <v>248</v>
      </c>
      <c r="B180" s="385"/>
      <c r="C180" s="387"/>
      <c r="D180" s="293"/>
      <c r="E180" s="293"/>
      <c r="F180" s="293"/>
      <c r="G180" s="293"/>
      <c r="H180" s="292"/>
      <c r="I180" s="293"/>
      <c r="J180" s="292"/>
      <c r="K180" s="398"/>
      <c r="L180" s="326"/>
      <c r="M180" s="292"/>
      <c r="N180" s="398"/>
      <c r="O180" s="292"/>
      <c r="P180" s="398"/>
      <c r="Q180" s="293"/>
      <c r="R180" s="404"/>
      <c r="S180" s="292"/>
      <c r="T180" s="292"/>
      <c r="U180" s="291"/>
      <c r="V180" s="292"/>
      <c r="W180" s="293"/>
      <c r="X180" s="293"/>
      <c r="Y180" s="293"/>
      <c r="Z180" s="293"/>
      <c r="AA180" s="293"/>
      <c r="AB180" s="293"/>
      <c r="AC180" s="293"/>
      <c r="AD180" s="293"/>
    </row>
    <row r="181" spans="1:30" x14ac:dyDescent="0.2">
      <c r="A181" s="384" t="s">
        <v>249</v>
      </c>
      <c r="B181" s="385"/>
      <c r="C181" s="386">
        <f>SUM(C53)</f>
        <v>2767.096</v>
      </c>
      <c r="D181" s="293"/>
      <c r="E181" s="293"/>
      <c r="F181" s="292">
        <f>SUM(F53)</f>
        <v>2668.0899888750005</v>
      </c>
      <c r="G181" s="293"/>
      <c r="H181" s="292">
        <f>SUM(H53)</f>
        <v>2957.8143481630377</v>
      </c>
      <c r="I181" s="293"/>
      <c r="J181" s="292">
        <f>SUM(J53)</f>
        <v>3189.9644071305725</v>
      </c>
      <c r="K181" s="398"/>
      <c r="L181" s="326"/>
      <c r="M181" s="292">
        <f>SUM(M53)</f>
        <v>3829.9382243772443</v>
      </c>
      <c r="N181" s="398"/>
      <c r="O181" s="292">
        <f>SUM(O53)</f>
        <v>4334.8598087510027</v>
      </c>
      <c r="P181" s="398"/>
      <c r="Q181" s="292">
        <f t="shared" ref="Q181:S181" si="109">SUM(Q53)</f>
        <v>4690.254523070862</v>
      </c>
      <c r="R181" s="404"/>
      <c r="S181" s="292">
        <f t="shared" si="109"/>
        <v>5359.0285675337436</v>
      </c>
      <c r="T181" s="292"/>
      <c r="U181" s="291"/>
      <c r="V181" s="292">
        <f t="shared" ref="V181:AD181" si="110">SUM(V53)</f>
        <v>5440.7422465869995</v>
      </c>
      <c r="W181" s="293"/>
      <c r="X181" s="292">
        <f t="shared" ref="X181" si="111">SUM(X53)</f>
        <v>5717.717903841688</v>
      </c>
      <c r="Y181" s="292"/>
      <c r="Z181" s="293">
        <f t="shared" si="110"/>
        <v>6102.4468680421742</v>
      </c>
      <c r="AA181" s="293">
        <f t="shared" si="110"/>
        <v>6617.1108095859609</v>
      </c>
      <c r="AB181" s="293">
        <f t="shared" si="110"/>
        <v>7170.1904588982625</v>
      </c>
      <c r="AC181" s="293">
        <f t="shared" si="110"/>
        <v>7630.0945320613191</v>
      </c>
      <c r="AD181" s="293">
        <f t="shared" si="110"/>
        <v>8037.8844729897482</v>
      </c>
    </row>
    <row r="182" spans="1:30" x14ac:dyDescent="0.2">
      <c r="A182" s="384" t="s">
        <v>250</v>
      </c>
      <c r="B182" s="385"/>
      <c r="C182" s="386">
        <f>SUM(C77)</f>
        <v>5936.5269114387747</v>
      </c>
      <c r="D182" s="293"/>
      <c r="E182" s="293"/>
      <c r="F182" s="292">
        <f>SUM(F77)</f>
        <v>6174.3424008106258</v>
      </c>
      <c r="G182" s="292"/>
      <c r="H182" s="292">
        <f>SUM(H77)</f>
        <v>6668.8007302427814</v>
      </c>
      <c r="I182" s="293"/>
      <c r="J182" s="292">
        <f>SUM(J77)</f>
        <v>6163.6064502380032</v>
      </c>
      <c r="K182" s="398"/>
      <c r="L182" s="326"/>
      <c r="M182" s="292">
        <f>SUM(M77)</f>
        <v>6615.1312077205384</v>
      </c>
      <c r="N182" s="398"/>
      <c r="O182" s="292">
        <f>SUM(O77)</f>
        <v>6928.9801069931073</v>
      </c>
      <c r="P182" s="398"/>
      <c r="Q182" s="292">
        <f t="shared" ref="Q182:S182" si="112">SUM(Q77)</f>
        <v>7219.74299186594</v>
      </c>
      <c r="R182" s="404"/>
      <c r="S182" s="292">
        <f t="shared" si="112"/>
        <v>8163.043288322272</v>
      </c>
      <c r="T182" s="292"/>
      <c r="U182" s="291"/>
      <c r="V182" s="292">
        <f t="shared" ref="V182:AD182" si="113">SUM(V77)</f>
        <v>8456.9513856009962</v>
      </c>
      <c r="W182" s="293"/>
      <c r="X182" s="292">
        <f t="shared" ref="X182" si="114">SUM(X77)</f>
        <v>8484.4961763475276</v>
      </c>
      <c r="Y182" s="292"/>
      <c r="Z182" s="293">
        <f t="shared" si="113"/>
        <v>8940.4639006204125</v>
      </c>
      <c r="AA182" s="293">
        <f t="shared" si="113"/>
        <v>9496.4982790590075</v>
      </c>
      <c r="AB182" s="293">
        <f t="shared" si="113"/>
        <v>10041.879752463547</v>
      </c>
      <c r="AC182" s="293">
        <f t="shared" si="113"/>
        <v>10471.867952585728</v>
      </c>
      <c r="AD182" s="293">
        <f t="shared" si="113"/>
        <v>10851.370272592827</v>
      </c>
    </row>
    <row r="183" spans="1:30" x14ac:dyDescent="0.2">
      <c r="A183" s="388" t="s">
        <v>251</v>
      </c>
      <c r="B183" s="385"/>
      <c r="C183" s="386">
        <f>SUM(C98)</f>
        <v>13.722597957433944</v>
      </c>
      <c r="D183" s="293"/>
      <c r="E183" s="293"/>
      <c r="F183" s="292">
        <f>SUM(F98)</f>
        <v>13.534455585616149</v>
      </c>
      <c r="G183" s="292"/>
      <c r="H183" s="292">
        <f>SUM(H98)</f>
        <v>13.3369</v>
      </c>
      <c r="I183" s="293"/>
      <c r="J183" s="292">
        <f>SUM(J98)</f>
        <v>6.3336599999999992</v>
      </c>
      <c r="K183" s="398"/>
      <c r="L183" s="326"/>
      <c r="M183" s="292">
        <f>SUM(M98)</f>
        <v>8.1994721576394003</v>
      </c>
      <c r="N183" s="398"/>
      <c r="O183" s="292">
        <f>SUM(O98)</f>
        <v>8.6360178140432993</v>
      </c>
      <c r="P183" s="398"/>
      <c r="Q183" s="292">
        <f t="shared" ref="Q183:S183" si="115">SUM(Q98)</f>
        <v>8.2702146414089999</v>
      </c>
      <c r="R183" s="404"/>
      <c r="S183" s="292">
        <f t="shared" si="115"/>
        <v>9.3172825078781703</v>
      </c>
      <c r="T183" s="292"/>
      <c r="U183" s="291"/>
      <c r="V183" s="292">
        <f t="shared" ref="V183:AD183" si="116">SUM(V98)</f>
        <v>11.382350000000001</v>
      </c>
      <c r="W183" s="293"/>
      <c r="X183" s="294">
        <f t="shared" ref="X183" si="117">SUM(X98)</f>
        <v>10.468988399999999</v>
      </c>
      <c r="Y183" s="294"/>
      <c r="Z183" s="293">
        <f t="shared" si="116"/>
        <v>10.468988399999999</v>
      </c>
      <c r="AA183" s="293">
        <f t="shared" si="116"/>
        <v>10.468988399999999</v>
      </c>
      <c r="AB183" s="293">
        <f t="shared" si="116"/>
        <v>10.56589354422576</v>
      </c>
      <c r="AC183" s="293">
        <f t="shared" si="116"/>
        <v>10.66369568122853</v>
      </c>
      <c r="AD183" s="293">
        <f t="shared" si="116"/>
        <v>10.763316789412332</v>
      </c>
    </row>
    <row r="184" spans="1:30" x14ac:dyDescent="0.2">
      <c r="A184" s="388" t="s">
        <v>252</v>
      </c>
      <c r="B184" s="389"/>
      <c r="C184" s="390">
        <f>SUM(C114)</f>
        <v>143</v>
      </c>
      <c r="D184" s="296"/>
      <c r="E184" s="296"/>
      <c r="F184" s="295">
        <f>SUM(F114)</f>
        <v>143</v>
      </c>
      <c r="G184" s="295"/>
      <c r="H184" s="295">
        <f>SUM(H114)</f>
        <v>138</v>
      </c>
      <c r="I184" s="296"/>
      <c r="J184" s="295">
        <f>SUM(J114)</f>
        <v>1873.1710579999999</v>
      </c>
      <c r="K184" s="398"/>
      <c r="L184" s="326"/>
      <c r="M184" s="295">
        <f>SUM(M114)</f>
        <v>1842.8801699999999</v>
      </c>
      <c r="N184" s="398"/>
      <c r="O184" s="295">
        <f>SUM(O114)</f>
        <v>2029.5941279024175</v>
      </c>
      <c r="P184" s="398"/>
      <c r="Q184" s="295">
        <f t="shared" ref="Q184:S184" si="118">SUM(Q114)</f>
        <v>1918.901132</v>
      </c>
      <c r="R184" s="404"/>
      <c r="S184" s="295">
        <f t="shared" si="118"/>
        <v>2189.4442599999998</v>
      </c>
      <c r="T184" s="295"/>
      <c r="U184" s="454"/>
      <c r="V184" s="295">
        <f t="shared" ref="V184:AD184" si="119">SUM(V114)</f>
        <v>2525.8229999999999</v>
      </c>
      <c r="W184" s="296"/>
      <c r="X184" s="295">
        <f t="shared" ref="X184" si="120">SUM(X114)</f>
        <v>2707.3523175999999</v>
      </c>
      <c r="Y184" s="297"/>
      <c r="Z184" s="296">
        <f t="shared" si="119"/>
        <v>2707.3523175999999</v>
      </c>
      <c r="AA184" s="296">
        <f t="shared" si="119"/>
        <v>2769.8287175999999</v>
      </c>
      <c r="AB184" s="296">
        <f t="shared" si="119"/>
        <v>2819.271268140647</v>
      </c>
      <c r="AC184" s="296">
        <f t="shared" si="119"/>
        <v>2869.5963879854644</v>
      </c>
      <c r="AD184" s="296">
        <f t="shared" si="119"/>
        <v>2921.734190302986</v>
      </c>
    </row>
    <row r="185" spans="1:30" x14ac:dyDescent="0.2">
      <c r="A185" s="380"/>
      <c r="B185" s="385"/>
      <c r="C185" s="386"/>
      <c r="D185" s="293"/>
      <c r="E185" s="293"/>
      <c r="F185" s="292"/>
      <c r="G185" s="292"/>
      <c r="H185" s="293"/>
      <c r="I185" s="293"/>
      <c r="J185" s="292"/>
      <c r="K185" s="398"/>
      <c r="L185" s="326"/>
      <c r="M185" s="292"/>
      <c r="N185" s="398"/>
      <c r="O185" s="292"/>
      <c r="P185" s="398"/>
      <c r="Q185" s="292"/>
      <c r="R185" s="404"/>
      <c r="S185" s="292"/>
      <c r="T185" s="293"/>
      <c r="U185" s="291"/>
      <c r="V185" s="292"/>
      <c r="W185" s="293"/>
      <c r="X185" s="293"/>
      <c r="Y185" s="293"/>
      <c r="Z185" s="293"/>
      <c r="AA185" s="293"/>
      <c r="AB185" s="293"/>
      <c r="AC185" s="293"/>
      <c r="AD185" s="293"/>
    </row>
    <row r="186" spans="1:30" x14ac:dyDescent="0.2">
      <c r="A186" s="384" t="s">
        <v>253</v>
      </c>
      <c r="B186" s="389"/>
      <c r="C186" s="390">
        <f>SUM(C179:C184)</f>
        <v>15410.053870586607</v>
      </c>
      <c r="D186" s="296"/>
      <c r="E186" s="296"/>
      <c r="F186" s="295">
        <f>SUM(F179:F184)</f>
        <v>14922.811818217053</v>
      </c>
      <c r="G186" s="295"/>
      <c r="H186" s="295">
        <f>SUM(H179:H184)</f>
        <v>14976.893748405819</v>
      </c>
      <c r="I186" s="296"/>
      <c r="J186" s="295">
        <f>SUM(J179:J184)</f>
        <v>16108.973072893312</v>
      </c>
      <c r="K186" s="398"/>
      <c r="L186" s="326"/>
      <c r="M186" s="295">
        <f>SUM(M179:M184)</f>
        <v>18940.726479707399</v>
      </c>
      <c r="N186" s="398"/>
      <c r="O186" s="295">
        <f>SUM(O179:O184)</f>
        <v>21178.370888680573</v>
      </c>
      <c r="P186" s="398"/>
      <c r="Q186" s="295">
        <f t="shared" ref="Q186:S186" si="121">SUM(Q179:Q184)</f>
        <v>22467.722571320119</v>
      </c>
      <c r="R186" s="404"/>
      <c r="S186" s="295">
        <f t="shared" si="121"/>
        <v>25222.541358363891</v>
      </c>
      <c r="T186" s="296"/>
      <c r="U186" s="454"/>
      <c r="V186" s="295">
        <f t="shared" ref="V186:AD186" si="122">SUM(V179:V184)</f>
        <v>27721.837982187997</v>
      </c>
      <c r="W186" s="296"/>
      <c r="X186" s="295">
        <f t="shared" ref="X186" si="123">SUM(X179:X184)</f>
        <v>29919.800975364727</v>
      </c>
      <c r="Y186" s="295"/>
      <c r="Z186" s="296">
        <f t="shared" si="122"/>
        <v>31520.01236049505</v>
      </c>
      <c r="AA186" s="296">
        <f t="shared" si="122"/>
        <v>33670.738166744006</v>
      </c>
      <c r="AB186" s="296">
        <f t="shared" si="122"/>
        <v>35944.236831581838</v>
      </c>
      <c r="AC186" s="296">
        <f t="shared" si="122"/>
        <v>37827.556747820738</v>
      </c>
      <c r="AD186" s="296">
        <f t="shared" si="122"/>
        <v>39509.091685724881</v>
      </c>
    </row>
    <row r="187" spans="1:30" x14ac:dyDescent="0.2">
      <c r="A187" s="380"/>
      <c r="B187" s="385"/>
      <c r="C187" s="386"/>
      <c r="D187" s="293"/>
      <c r="E187" s="293"/>
      <c r="F187" s="293"/>
      <c r="G187" s="293"/>
      <c r="H187" s="293"/>
      <c r="I187" s="293"/>
      <c r="J187" s="292"/>
      <c r="K187" s="398"/>
      <c r="L187" s="326"/>
      <c r="M187" s="292"/>
      <c r="N187" s="398"/>
      <c r="O187" s="292"/>
      <c r="P187" s="398"/>
      <c r="Q187" s="292"/>
      <c r="R187" s="404"/>
      <c r="S187" s="292"/>
      <c r="T187" s="293"/>
      <c r="U187" s="291"/>
      <c r="V187" s="292"/>
      <c r="W187" s="293"/>
      <c r="X187" s="292"/>
      <c r="Y187" s="293"/>
      <c r="Z187" s="293"/>
      <c r="AA187" s="293"/>
      <c r="AB187" s="293"/>
      <c r="AC187" s="293"/>
      <c r="AD187" s="293"/>
    </row>
    <row r="188" spans="1:30" x14ac:dyDescent="0.2">
      <c r="A188" s="380" t="s">
        <v>254</v>
      </c>
      <c r="B188" s="385"/>
      <c r="C188" s="386"/>
      <c r="D188" s="293"/>
      <c r="E188" s="293"/>
      <c r="F188" s="293"/>
      <c r="G188" s="293"/>
      <c r="H188" s="293"/>
      <c r="I188" s="293"/>
      <c r="J188" s="292"/>
      <c r="K188" s="398"/>
      <c r="L188" s="326"/>
      <c r="M188" s="292"/>
      <c r="N188" s="398"/>
      <c r="O188" s="292"/>
      <c r="P188" s="398"/>
      <c r="Q188" s="292"/>
      <c r="R188" s="404"/>
      <c r="S188" s="292"/>
      <c r="T188" s="293"/>
      <c r="U188" s="291"/>
      <c r="V188" s="292"/>
      <c r="W188" s="293"/>
      <c r="X188" s="292"/>
      <c r="Y188" s="293"/>
      <c r="Z188" s="293"/>
      <c r="AA188" s="293"/>
      <c r="AB188" s="293"/>
      <c r="AC188" s="293"/>
      <c r="AD188" s="293"/>
    </row>
    <row r="189" spans="1:30" x14ac:dyDescent="0.2">
      <c r="A189" s="380"/>
      <c r="B189" s="385"/>
      <c r="C189" s="386"/>
      <c r="D189" s="293"/>
      <c r="E189" s="293"/>
      <c r="F189" s="293"/>
      <c r="G189" s="293"/>
      <c r="H189" s="293"/>
      <c r="I189" s="298"/>
      <c r="J189" s="292"/>
      <c r="K189" s="398"/>
      <c r="L189" s="326"/>
      <c r="M189" s="292"/>
      <c r="N189" s="398"/>
      <c r="O189" s="292"/>
      <c r="P189" s="398"/>
      <c r="Q189" s="292"/>
      <c r="R189" s="404"/>
      <c r="S189" s="292"/>
      <c r="T189" s="293"/>
      <c r="U189" s="291"/>
      <c r="V189" s="292"/>
      <c r="W189" s="293"/>
      <c r="X189" s="292"/>
      <c r="Y189" s="293"/>
      <c r="Z189" s="293"/>
      <c r="AA189" s="293"/>
      <c r="AB189" s="293"/>
      <c r="AC189" s="293"/>
      <c r="AD189" s="293"/>
    </row>
    <row r="190" spans="1:30" x14ac:dyDescent="0.2">
      <c r="A190" s="384" t="s">
        <v>255</v>
      </c>
      <c r="B190" s="385"/>
      <c r="C190" s="386">
        <f>SUM(C133)</f>
        <v>1746.5464418204549</v>
      </c>
      <c r="D190" s="293"/>
      <c r="E190" s="293"/>
      <c r="F190" s="292">
        <f>SUM(F133)</f>
        <v>1554.8161057900295</v>
      </c>
      <c r="G190" s="293"/>
      <c r="H190" s="292">
        <f>SUM(H133)</f>
        <v>1214.331279</v>
      </c>
      <c r="I190" s="298"/>
      <c r="J190" s="292">
        <f>SUM(J133)</f>
        <v>1433.2056964486908</v>
      </c>
      <c r="K190" s="398"/>
      <c r="L190" s="326"/>
      <c r="M190" s="292">
        <f>SUM(M133)</f>
        <v>1843</v>
      </c>
      <c r="N190" s="398"/>
      <c r="O190" s="292">
        <f>SUM(O133)</f>
        <v>1939.7429074619999</v>
      </c>
      <c r="P190" s="398"/>
      <c r="Q190" s="292">
        <f t="shared" ref="Q190:S190" si="124">SUM(Q133)</f>
        <v>2238.4238615852555</v>
      </c>
      <c r="R190" s="404"/>
      <c r="S190" s="292">
        <f t="shared" si="124"/>
        <v>2444.3019199999999</v>
      </c>
      <c r="T190" s="293"/>
      <c r="U190" s="291"/>
      <c r="V190" s="292">
        <f t="shared" ref="V190:AD190" si="125">SUM(V133)</f>
        <v>2941.3620000000001</v>
      </c>
      <c r="W190" s="293"/>
      <c r="X190" s="292">
        <f t="shared" ref="X190" si="126">SUM(X133)</f>
        <v>2778.7148000000002</v>
      </c>
      <c r="Y190" s="292"/>
      <c r="Z190" s="293">
        <f t="shared" si="125"/>
        <v>3019.4333570605786</v>
      </c>
      <c r="AA190" s="293">
        <f t="shared" si="125"/>
        <v>3237.505177318832</v>
      </c>
      <c r="AB190" s="293">
        <f t="shared" si="125"/>
        <v>3558.0790200649953</v>
      </c>
      <c r="AC190" s="293">
        <f t="shared" si="125"/>
        <v>3831.465542763578</v>
      </c>
      <c r="AD190" s="293">
        <f t="shared" si="125"/>
        <v>4118.9991373925468</v>
      </c>
    </row>
    <row r="191" spans="1:30" x14ac:dyDescent="0.2">
      <c r="A191" s="384" t="s">
        <v>249</v>
      </c>
      <c r="B191" s="385"/>
      <c r="C191" s="386">
        <f>SUM(C150)</f>
        <v>586.72936000000004</v>
      </c>
      <c r="D191" s="293"/>
      <c r="E191" s="293"/>
      <c r="F191" s="292">
        <f>SUM(F150)</f>
        <v>608.54569960799995</v>
      </c>
      <c r="G191" s="293"/>
      <c r="H191" s="292">
        <f>SUM(H150)</f>
        <v>620.25040742392002</v>
      </c>
      <c r="I191" s="298"/>
      <c r="J191" s="292">
        <f>SUM(J150)</f>
        <v>721.7417400824088</v>
      </c>
      <c r="K191" s="398"/>
      <c r="L191" s="326"/>
      <c r="M191" s="292">
        <f>SUM(M150)</f>
        <v>802.70764039063442</v>
      </c>
      <c r="N191" s="398"/>
      <c r="O191" s="292">
        <f>SUM(O150)</f>
        <v>856.09079069341112</v>
      </c>
      <c r="P191" s="398"/>
      <c r="Q191" s="292">
        <f t="shared" ref="Q191:S191" si="127">SUM(Q150)</f>
        <v>1112.580366038414</v>
      </c>
      <c r="R191" s="404"/>
      <c r="S191" s="292">
        <f t="shared" si="127"/>
        <v>1255.1733400000001</v>
      </c>
      <c r="T191" s="292"/>
      <c r="U191" s="291"/>
      <c r="V191" s="292">
        <f t="shared" ref="V191:AD191" si="128">SUM(V150)</f>
        <v>1336.7211187574665</v>
      </c>
      <c r="W191" s="293"/>
      <c r="X191" s="292">
        <f t="shared" ref="X191" si="129">SUM(X150)</f>
        <v>1396.8021189769413</v>
      </c>
      <c r="Y191" s="292"/>
      <c r="Z191" s="293">
        <f t="shared" si="128"/>
        <v>1515.3664261381994</v>
      </c>
      <c r="AA191" s="293">
        <f t="shared" si="128"/>
        <v>1622.7762353196642</v>
      </c>
      <c r="AB191" s="293">
        <f t="shared" si="128"/>
        <v>1783.8582131729388</v>
      </c>
      <c r="AC191" s="293">
        <f t="shared" si="128"/>
        <v>1922.1359945950942</v>
      </c>
      <c r="AD191" s="293">
        <f t="shared" si="128"/>
        <v>2067.9473069221935</v>
      </c>
    </row>
    <row r="192" spans="1:30" x14ac:dyDescent="0.2">
      <c r="A192" s="384" t="s">
        <v>256</v>
      </c>
      <c r="B192" s="385"/>
      <c r="C192" s="386">
        <f>SUM(C168)</f>
        <v>1522.2013434988587</v>
      </c>
      <c r="D192" s="293"/>
      <c r="E192" s="391"/>
      <c r="F192" s="292">
        <f>SUM(F168)</f>
        <v>1572.5398300000002</v>
      </c>
      <c r="G192" s="293"/>
      <c r="H192" s="299">
        <f>SUM(H168)</f>
        <v>1759.473</v>
      </c>
      <c r="I192" s="298"/>
      <c r="J192" s="292">
        <f>SUM(J168)</f>
        <v>1648.6811385430806</v>
      </c>
      <c r="K192" s="398"/>
      <c r="L192" s="326"/>
      <c r="M192" s="292">
        <f>SUM(M168)</f>
        <v>1651.2090986008304</v>
      </c>
      <c r="N192" s="398"/>
      <c r="O192" s="292">
        <f>SUM(O168)</f>
        <v>1791.0314800000001</v>
      </c>
      <c r="P192" s="398"/>
      <c r="Q192" s="292">
        <f t="shared" ref="Q192:S192" si="130">SUM(Q168)</f>
        <v>2030.6547399999999</v>
      </c>
      <c r="R192" s="404"/>
      <c r="S192" s="292">
        <f t="shared" si="130"/>
        <v>2137.1771711399883</v>
      </c>
      <c r="T192" s="292"/>
      <c r="U192" s="291"/>
      <c r="V192" s="292">
        <f t="shared" ref="V192:AD192" si="131">SUM(V168)</f>
        <v>2378.8604999999998</v>
      </c>
      <c r="W192" s="293"/>
      <c r="X192" s="292">
        <f t="shared" ref="X192" si="132">SUM(X168)</f>
        <v>2651</v>
      </c>
      <c r="Y192" s="292"/>
      <c r="Z192" s="293">
        <f t="shared" si="131"/>
        <v>2651</v>
      </c>
      <c r="AA192" s="293">
        <f t="shared" si="131"/>
        <v>2651</v>
      </c>
      <c r="AB192" s="293">
        <f t="shared" si="131"/>
        <v>2684.5455894988067</v>
      </c>
      <c r="AC192" s="293">
        <f t="shared" si="131"/>
        <v>2718.5156628055438</v>
      </c>
      <c r="AD192" s="293">
        <f t="shared" si="131"/>
        <v>2753.3508858726941</v>
      </c>
    </row>
    <row r="193" spans="1:30" x14ac:dyDescent="0.2">
      <c r="A193" s="380" t="s">
        <v>170</v>
      </c>
      <c r="B193" s="385"/>
      <c r="C193" s="390">
        <v>0</v>
      </c>
      <c r="D193" s="293"/>
      <c r="E193" s="293"/>
      <c r="F193" s="295">
        <v>0</v>
      </c>
      <c r="G193" s="293"/>
      <c r="H193" s="295">
        <v>0</v>
      </c>
      <c r="I193" s="298"/>
      <c r="J193" s="295">
        <v>0</v>
      </c>
      <c r="K193" s="398"/>
      <c r="L193" s="326"/>
      <c r="M193" s="295">
        <v>0</v>
      </c>
      <c r="N193" s="398"/>
      <c r="O193" s="295">
        <v>0</v>
      </c>
      <c r="P193" s="398"/>
      <c r="Q193" s="295">
        <v>0</v>
      </c>
      <c r="R193" s="404"/>
      <c r="S193" s="295">
        <v>0</v>
      </c>
      <c r="T193" s="295"/>
      <c r="U193" s="454"/>
      <c r="V193" s="295">
        <v>0</v>
      </c>
      <c r="W193" s="296"/>
      <c r="X193" s="295">
        <v>0</v>
      </c>
      <c r="Y193" s="296"/>
      <c r="Z193" s="296">
        <v>0</v>
      </c>
      <c r="AA193" s="296">
        <v>0</v>
      </c>
      <c r="AB193" s="296">
        <v>0</v>
      </c>
      <c r="AC193" s="296">
        <v>0</v>
      </c>
      <c r="AD193" s="296">
        <v>0</v>
      </c>
    </row>
    <row r="194" spans="1:30" x14ac:dyDescent="0.2">
      <c r="A194" s="384" t="s">
        <v>253</v>
      </c>
      <c r="B194" s="385"/>
      <c r="C194" s="387"/>
      <c r="D194" s="293"/>
      <c r="E194" s="293"/>
      <c r="F194" s="293"/>
      <c r="G194" s="293"/>
      <c r="H194" s="292"/>
      <c r="I194" s="300"/>
      <c r="J194" s="292"/>
      <c r="K194" s="398"/>
      <c r="L194" s="326"/>
      <c r="M194" s="292"/>
      <c r="N194" s="398"/>
      <c r="O194" s="292"/>
      <c r="P194" s="398"/>
      <c r="Q194" s="292"/>
      <c r="R194" s="404"/>
      <c r="S194" s="292"/>
      <c r="T194" s="293"/>
      <c r="U194" s="291"/>
      <c r="V194" s="292"/>
      <c r="W194" s="293"/>
      <c r="X194" s="292"/>
      <c r="Y194" s="293"/>
      <c r="Z194" s="293"/>
      <c r="AA194" s="293"/>
      <c r="AB194" s="293"/>
      <c r="AC194" s="293"/>
      <c r="AD194" s="293"/>
    </row>
    <row r="195" spans="1:30" x14ac:dyDescent="0.2">
      <c r="A195" s="380"/>
      <c r="B195" s="385"/>
      <c r="C195" s="390">
        <f>SUM(C190:C192)</f>
        <v>3855.4771453193134</v>
      </c>
      <c r="D195" s="296"/>
      <c r="E195" s="296"/>
      <c r="F195" s="295">
        <f>SUM(F190:F192)</f>
        <v>3735.9016353980296</v>
      </c>
      <c r="G195" s="296"/>
      <c r="H195" s="295">
        <f>SUM(H190:H192)</f>
        <v>3594.05468642392</v>
      </c>
      <c r="I195" s="296"/>
      <c r="J195" s="295">
        <f>SUM(J190:J192)</f>
        <v>3803.6285750741804</v>
      </c>
      <c r="K195" s="398"/>
      <c r="L195" s="326"/>
      <c r="M195" s="295">
        <f>SUM(M190:M192)</f>
        <v>4296.9167389914646</v>
      </c>
      <c r="N195" s="398"/>
      <c r="O195" s="295">
        <f>SUM(O190:O192)</f>
        <v>4586.8651781554108</v>
      </c>
      <c r="P195" s="398"/>
      <c r="Q195" s="295">
        <f t="shared" ref="Q195:S195" si="133">SUM(Q190:Q192)</f>
        <v>5381.658967623669</v>
      </c>
      <c r="R195" s="404"/>
      <c r="S195" s="295">
        <f t="shared" si="133"/>
        <v>5836.652431139988</v>
      </c>
      <c r="T195" s="296"/>
      <c r="U195" s="454"/>
      <c r="V195" s="295">
        <f t="shared" ref="V195:AD195" si="134">SUM(V190:V192)</f>
        <v>6656.9436187574665</v>
      </c>
      <c r="W195" s="296"/>
      <c r="X195" s="295">
        <f t="shared" ref="X195" si="135">SUM(X190:X192)</f>
        <v>6826.5169189769413</v>
      </c>
      <c r="Y195" s="296"/>
      <c r="Z195" s="296">
        <f t="shared" si="134"/>
        <v>7185.7997831987777</v>
      </c>
      <c r="AA195" s="296">
        <f t="shared" si="134"/>
        <v>7511.2814126384965</v>
      </c>
      <c r="AB195" s="296">
        <f t="shared" si="134"/>
        <v>8026.4828227367416</v>
      </c>
      <c r="AC195" s="296">
        <f t="shared" si="134"/>
        <v>8472.1172001642153</v>
      </c>
      <c r="AD195" s="296">
        <f t="shared" si="134"/>
        <v>8940.2973301874354</v>
      </c>
    </row>
    <row r="196" spans="1:30" x14ac:dyDescent="0.2">
      <c r="A196" s="380" t="s">
        <v>257</v>
      </c>
      <c r="B196" s="385"/>
      <c r="C196" s="387"/>
      <c r="D196" s="293"/>
      <c r="E196" s="293"/>
      <c r="F196" s="293"/>
      <c r="G196" s="293"/>
      <c r="H196" s="292"/>
      <c r="I196" s="293"/>
      <c r="J196" s="292"/>
      <c r="K196" s="398"/>
      <c r="L196" s="326"/>
      <c r="M196" s="292"/>
      <c r="N196" s="398"/>
      <c r="O196" s="292"/>
      <c r="P196" s="398"/>
      <c r="Q196" s="292"/>
      <c r="R196" s="404"/>
      <c r="S196" s="292"/>
      <c r="T196" s="293"/>
      <c r="U196" s="291"/>
      <c r="V196" s="293"/>
      <c r="W196" s="293"/>
      <c r="X196" s="292"/>
      <c r="Y196" s="293"/>
      <c r="Z196" s="293"/>
      <c r="AA196" s="293"/>
      <c r="AB196" s="293"/>
      <c r="AC196" s="293"/>
      <c r="AD196" s="293"/>
    </row>
    <row r="197" spans="1:30" ht="13.5" thickBot="1" x14ac:dyDescent="0.25">
      <c r="A197" s="380"/>
      <c r="B197" s="389"/>
      <c r="C197" s="392">
        <f>SUM(C186+C195)</f>
        <v>19265.531015905923</v>
      </c>
      <c r="D197" s="296"/>
      <c r="E197" s="302"/>
      <c r="F197" s="301">
        <f>SUM(F186+F195)</f>
        <v>18658.713453615084</v>
      </c>
      <c r="G197" s="302"/>
      <c r="H197" s="301">
        <f>SUM(H186+H195)</f>
        <v>18570.948434829737</v>
      </c>
      <c r="I197" s="302"/>
      <c r="J197" s="301">
        <f>SUM(J186+J195)</f>
        <v>19912.601647967491</v>
      </c>
      <c r="K197" s="398"/>
      <c r="L197" s="326"/>
      <c r="M197" s="301">
        <f>SUM(M186+M195)</f>
        <v>23237.643218698864</v>
      </c>
      <c r="N197" s="398"/>
      <c r="O197" s="301">
        <f>SUM(O186+O195)</f>
        <v>25765.236066835983</v>
      </c>
      <c r="P197" s="398"/>
      <c r="Q197" s="301">
        <f t="shared" ref="Q197:S197" si="136">SUM(Q186+Q195)</f>
        <v>27849.381538943788</v>
      </c>
      <c r="R197" s="404"/>
      <c r="S197" s="301">
        <f t="shared" si="136"/>
        <v>31059.193789503879</v>
      </c>
      <c r="T197" s="302"/>
      <c r="U197" s="455"/>
      <c r="V197" s="301">
        <f t="shared" ref="V197:AD197" si="137">SUM(V186+V195)</f>
        <v>34378.781600945462</v>
      </c>
      <c r="W197" s="302"/>
      <c r="X197" s="301">
        <f t="shared" ref="X197" si="138">SUM(X186+X195)</f>
        <v>36746.317894341671</v>
      </c>
      <c r="Y197" s="302"/>
      <c r="Z197" s="302">
        <f t="shared" si="137"/>
        <v>38705.812143693824</v>
      </c>
      <c r="AA197" s="302">
        <f t="shared" si="137"/>
        <v>41182.019579382504</v>
      </c>
      <c r="AB197" s="302">
        <f t="shared" si="137"/>
        <v>43970.719654318578</v>
      </c>
      <c r="AC197" s="302">
        <f t="shared" si="137"/>
        <v>46299.673947984949</v>
      </c>
      <c r="AD197" s="302">
        <f t="shared" si="137"/>
        <v>48449.389015912318</v>
      </c>
    </row>
    <row r="198" spans="1:30" ht="13.5" thickTop="1" x14ac:dyDescent="0.2">
      <c r="A198" s="333"/>
      <c r="B198" s="304"/>
      <c r="C198" s="303"/>
      <c r="D198" s="303"/>
      <c r="E198" s="303"/>
      <c r="F198" s="303"/>
      <c r="G198" s="303"/>
      <c r="H198" s="303"/>
      <c r="I198" s="304"/>
      <c r="J198" s="303"/>
      <c r="K198" s="441"/>
      <c r="L198" s="393"/>
      <c r="M198" s="305"/>
      <c r="N198" s="441"/>
      <c r="O198" s="306"/>
      <c r="P198" s="441"/>
      <c r="Q198" s="456"/>
      <c r="R198" s="404"/>
      <c r="S198" s="300"/>
      <c r="T198" s="300"/>
      <c r="U198" s="307"/>
      <c r="V198" s="308"/>
      <c r="W198" s="300"/>
      <c r="X198" s="300"/>
      <c r="Y198" s="300"/>
      <c r="Z198" s="300"/>
      <c r="AA198" s="300"/>
      <c r="AB198" s="300"/>
      <c r="AC198" s="300"/>
      <c r="AD198" s="300"/>
    </row>
    <row r="199" spans="1:30" x14ac:dyDescent="0.2">
      <c r="A199" s="166"/>
      <c r="B199" s="313"/>
      <c r="C199" s="220"/>
      <c r="D199" s="220"/>
      <c r="E199" s="220"/>
      <c r="F199" s="220"/>
      <c r="G199" s="220"/>
      <c r="H199" s="220"/>
      <c r="I199" s="221"/>
      <c r="J199" s="220"/>
      <c r="K199" s="398"/>
      <c r="L199" s="326"/>
      <c r="M199" s="309"/>
      <c r="N199" s="398"/>
      <c r="O199" s="309"/>
      <c r="P199" s="398"/>
      <c r="Q199" s="310"/>
      <c r="R199" s="404"/>
      <c r="S199" s="310"/>
      <c r="T199" s="310"/>
      <c r="U199" s="311"/>
      <c r="V199" s="310"/>
      <c r="W199" s="310"/>
      <c r="X199" s="310"/>
      <c r="Y199" s="310"/>
      <c r="Z199" s="310"/>
      <c r="AA199" s="310"/>
      <c r="AB199" s="310"/>
      <c r="AC199" s="310"/>
      <c r="AD199" s="310"/>
    </row>
    <row r="200" spans="1:30" x14ac:dyDescent="0.2">
      <c r="A200" s="166"/>
      <c r="B200" s="398"/>
      <c r="C200" s="312"/>
      <c r="D200" s="312"/>
      <c r="E200" s="312"/>
      <c r="F200" s="312"/>
      <c r="G200" s="312"/>
      <c r="H200" s="312"/>
      <c r="I200" s="313"/>
      <c r="J200" s="312" t="s">
        <v>118</v>
      </c>
      <c r="K200" s="398"/>
      <c r="L200" s="326"/>
      <c r="M200" s="457"/>
      <c r="N200" s="398"/>
      <c r="O200" s="314"/>
      <c r="P200" s="398"/>
      <c r="Q200" s="315"/>
      <c r="R200" s="404"/>
      <c r="S200" s="315"/>
      <c r="T200" s="315"/>
      <c r="U200" s="311"/>
      <c r="V200" s="315"/>
      <c r="W200" s="315"/>
      <c r="X200" s="315"/>
      <c r="Y200" s="315"/>
      <c r="Z200" s="315" t="s">
        <v>258</v>
      </c>
      <c r="AA200" s="315" t="s">
        <v>258</v>
      </c>
      <c r="AB200" s="315" t="s">
        <v>258</v>
      </c>
      <c r="AC200" s="315" t="s">
        <v>258</v>
      </c>
      <c r="AD200" s="315" t="s">
        <v>258</v>
      </c>
    </row>
    <row r="201" spans="1:30" x14ac:dyDescent="0.2">
      <c r="A201" s="458"/>
      <c r="B201" s="441"/>
      <c r="C201" s="441"/>
      <c r="D201" s="441"/>
      <c r="E201" s="441"/>
      <c r="F201" s="316"/>
      <c r="G201" s="316"/>
      <c r="H201" s="316"/>
      <c r="I201" s="441"/>
      <c r="J201" s="282" t="s">
        <v>259</v>
      </c>
      <c r="K201" s="441"/>
      <c r="L201" s="393"/>
      <c r="M201" s="317">
        <f>SUM(M197-J197)</f>
        <v>3325.0415707313732</v>
      </c>
      <c r="N201" s="441"/>
      <c r="O201" s="318">
        <f>SUM(O197-M197)</f>
        <v>2527.5928481371193</v>
      </c>
      <c r="P201" s="441"/>
      <c r="Q201" s="318">
        <f>SUM(Q197-O197)</f>
        <v>2084.1454721078044</v>
      </c>
      <c r="R201" s="442"/>
      <c r="S201" s="318">
        <f>SUM(S197-Q197)</f>
        <v>3209.8122505600913</v>
      </c>
      <c r="T201" s="318"/>
      <c r="U201" s="319"/>
      <c r="V201" s="318">
        <f>SUM(V197-S197)</f>
        <v>3319.5878114415827</v>
      </c>
      <c r="W201" s="318"/>
      <c r="X201" s="318">
        <f>SUM(X197-V197)</f>
        <v>2367.5362933962097</v>
      </c>
      <c r="Y201" s="318"/>
      <c r="Z201" s="318">
        <f>SUM(Z197-X197)</f>
        <v>1959.4942493521521</v>
      </c>
      <c r="AA201" s="318">
        <f>SUM(AA197-Z197)</f>
        <v>2476.2074356886806</v>
      </c>
      <c r="AB201" s="318">
        <f t="shared" ref="AB201:AD201" si="139">SUM(AB197-AA197)</f>
        <v>2788.7000749360741</v>
      </c>
      <c r="AC201" s="318">
        <f t="shared" si="139"/>
        <v>2328.9542936663711</v>
      </c>
      <c r="AD201" s="318">
        <f t="shared" si="139"/>
        <v>2149.7150679273691</v>
      </c>
    </row>
    <row r="202" spans="1:30" x14ac:dyDescent="0.2">
      <c r="H202" s="394"/>
      <c r="Q202" s="320"/>
      <c r="S202" s="320"/>
      <c r="T202" s="320"/>
      <c r="U202" s="321"/>
      <c r="V202" s="320"/>
      <c r="W202" s="320"/>
      <c r="X202" s="320"/>
      <c r="Y202" s="320"/>
      <c r="Z202" s="320"/>
      <c r="AA202" s="320"/>
    </row>
  </sheetData>
  <pageMargins left="0.2" right="0.2" top="0.5" bottom="0.25" header="0.3" footer="0.3"/>
  <pageSetup scale="60" fitToHeight="5" orientation="portrait" r:id="rId1"/>
  <headerFooter scaleWithDoc="0">
    <oddHeader xml:space="preserve">&amp;CBench Request 10.2  - Attachment A&amp;R
Pro Forma Property Tax Adjustment 3.06 (electric) 
and 3.04 (natural gas)
 </oddHeader>
    <oddFooter>&amp;RPage &amp;P of &amp;N</oddFooter>
  </headerFooter>
  <rowBreaks count="3" manualBreakCount="3">
    <brk id="78" max="26" man="1"/>
    <brk id="115" max="26" man="1"/>
    <brk id="169" max="2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/>
  </sheetViews>
  <sheetFormatPr defaultRowHeight="12.75" x14ac:dyDescent="0.2"/>
  <sheetData>
    <row r="1" spans="1:9" x14ac:dyDescent="0.2">
      <c r="A1" t="s">
        <v>0</v>
      </c>
      <c r="B1" t="s">
        <v>10</v>
      </c>
      <c r="C1" t="s">
        <v>19</v>
      </c>
      <c r="D1" t="s">
        <v>28</v>
      </c>
      <c r="E1" t="s">
        <v>37</v>
      </c>
      <c r="F1" t="s">
        <v>46</v>
      </c>
      <c r="G1" t="s">
        <v>55</v>
      </c>
      <c r="H1" t="s">
        <v>64</v>
      </c>
      <c r="I1" t="s">
        <v>73</v>
      </c>
    </row>
    <row r="8" spans="1:9" x14ac:dyDescent="0.2">
      <c r="A8" t="s">
        <v>1</v>
      </c>
      <c r="B8" t="s">
        <v>11</v>
      </c>
      <c r="C8" t="s">
        <v>20</v>
      </c>
      <c r="D8" t="s">
        <v>29</v>
      </c>
      <c r="E8" t="s">
        <v>38</v>
      </c>
      <c r="F8" t="s">
        <v>47</v>
      </c>
      <c r="G8" t="s">
        <v>56</v>
      </c>
      <c r="H8" t="s">
        <v>65</v>
      </c>
    </row>
    <row r="15" spans="1:9" x14ac:dyDescent="0.2">
      <c r="A15" t="s">
        <v>2</v>
      </c>
      <c r="B15" t="s">
        <v>12</v>
      </c>
      <c r="C15" t="s">
        <v>21</v>
      </c>
      <c r="D15" t="s">
        <v>30</v>
      </c>
      <c r="E15" t="s">
        <v>39</v>
      </c>
      <c r="F15" t="s">
        <v>48</v>
      </c>
      <c r="G15" t="s">
        <v>57</v>
      </c>
      <c r="H15" t="s">
        <v>66</v>
      </c>
    </row>
    <row r="22" spans="1:8" x14ac:dyDescent="0.2">
      <c r="A22" t="s">
        <v>3</v>
      </c>
      <c r="B22" t="s">
        <v>13</v>
      </c>
      <c r="C22" t="s">
        <v>22</v>
      </c>
      <c r="D22" t="s">
        <v>31</v>
      </c>
      <c r="E22" t="s">
        <v>40</v>
      </c>
      <c r="F22" t="s">
        <v>49</v>
      </c>
      <c r="G22" t="s">
        <v>58</v>
      </c>
      <c r="H22" t="s">
        <v>67</v>
      </c>
    </row>
    <row r="29" spans="1:8" x14ac:dyDescent="0.2">
      <c r="A29" t="s">
        <v>4</v>
      </c>
      <c r="B29" t="s">
        <v>14</v>
      </c>
      <c r="C29" t="s">
        <v>23</v>
      </c>
      <c r="D29" t="s">
        <v>32</v>
      </c>
      <c r="E29" t="s">
        <v>41</v>
      </c>
      <c r="F29" t="s">
        <v>50</v>
      </c>
      <c r="G29" t="s">
        <v>59</v>
      </c>
      <c r="H29" t="s">
        <v>68</v>
      </c>
    </row>
    <row r="36" spans="1:8" x14ac:dyDescent="0.2">
      <c r="A36" t="s">
        <v>5</v>
      </c>
      <c r="B36" t="s">
        <v>15</v>
      </c>
      <c r="C36" t="s">
        <v>24</v>
      </c>
      <c r="D36" t="s">
        <v>33</v>
      </c>
      <c r="E36" t="s">
        <v>42</v>
      </c>
      <c r="F36" t="s">
        <v>51</v>
      </c>
      <c r="G36" t="s">
        <v>60</v>
      </c>
      <c r="H36" t="s">
        <v>69</v>
      </c>
    </row>
    <row r="43" spans="1:8" x14ac:dyDescent="0.2">
      <c r="A43" t="s">
        <v>6</v>
      </c>
      <c r="B43" t="s">
        <v>16</v>
      </c>
      <c r="C43" t="s">
        <v>25</v>
      </c>
      <c r="D43" t="s">
        <v>34</v>
      </c>
      <c r="E43" t="s">
        <v>43</v>
      </c>
      <c r="F43" t="s">
        <v>52</v>
      </c>
      <c r="G43" t="s">
        <v>61</v>
      </c>
      <c r="H43" t="s">
        <v>70</v>
      </c>
    </row>
    <row r="50" spans="1:8" x14ac:dyDescent="0.2">
      <c r="A50" t="s">
        <v>7</v>
      </c>
      <c r="B50" t="s">
        <v>17</v>
      </c>
      <c r="C50" t="s">
        <v>26</v>
      </c>
      <c r="D50" t="s">
        <v>35</v>
      </c>
      <c r="E50" t="s">
        <v>44</v>
      </c>
      <c r="F50" t="s">
        <v>53</v>
      </c>
      <c r="G50" t="s">
        <v>62</v>
      </c>
      <c r="H50" t="s">
        <v>71</v>
      </c>
    </row>
    <row r="57" spans="1:8" x14ac:dyDescent="0.2">
      <c r="A57" t="s">
        <v>8</v>
      </c>
      <c r="B57" t="s">
        <v>18</v>
      </c>
      <c r="C57" t="s">
        <v>27</v>
      </c>
      <c r="D57" t="s">
        <v>36</v>
      </c>
      <c r="E57" t="s">
        <v>45</v>
      </c>
      <c r="F57" t="s">
        <v>54</v>
      </c>
      <c r="G57" t="s">
        <v>63</v>
      </c>
      <c r="H57" t="s">
        <v>72</v>
      </c>
    </row>
    <row r="85" spans="3:8" x14ac:dyDescent="0.2">
      <c r="D85" t="s">
        <v>9</v>
      </c>
    </row>
    <row r="87" spans="3:8" x14ac:dyDescent="0.2">
      <c r="C87" t="s">
        <v>9</v>
      </c>
    </row>
    <row r="89" spans="3:8" x14ac:dyDescent="0.2">
      <c r="E89" t="s">
        <v>9</v>
      </c>
      <c r="G89" t="s">
        <v>9</v>
      </c>
      <c r="H89" t="s">
        <v>9</v>
      </c>
    </row>
    <row r="95" spans="3:8" x14ac:dyDescent="0.2">
      <c r="F95" t="s">
        <v>9</v>
      </c>
    </row>
    <row r="97" spans="1:2" x14ac:dyDescent="0.2">
      <c r="A97" t="s">
        <v>9</v>
      </c>
      <c r="B97" t="s">
        <v>9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2016-11-04T07:00:00+00:00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49A93C1-9EB0-40F4-A235-F0BE1CC59B8A}"/>
</file>

<file path=customXml/itemProps2.xml><?xml version="1.0" encoding="utf-8"?>
<ds:datastoreItem xmlns:ds="http://schemas.openxmlformats.org/officeDocument/2006/customXml" ds:itemID="{DBDB71EA-E2FA-49FF-83B4-D0CD73807CA4}"/>
</file>

<file path=customXml/itemProps3.xml><?xml version="1.0" encoding="utf-8"?>
<ds:datastoreItem xmlns:ds="http://schemas.openxmlformats.org/officeDocument/2006/customXml" ds:itemID="{87F39FAB-F611-459D-B318-C1FFE8FCC51D}"/>
</file>

<file path=customXml/itemProps4.xml><?xml version="1.0" encoding="utf-8"?>
<ds:datastoreItem xmlns:ds="http://schemas.openxmlformats.org/officeDocument/2006/customXml" ds:itemID="{9D68A392-F30C-41DD-9C87-A025B2FAEA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75</vt:i4>
      </vt:variant>
    </vt:vector>
  </HeadingPairs>
  <TitlesOfParts>
    <vt:vector size="79" baseType="lpstr">
      <vt:lpstr>E-RPT</vt:lpstr>
      <vt:lpstr>G-RPT</vt:lpstr>
      <vt:lpstr>HPA-1</vt:lpstr>
      <vt:lpstr>2015 +5y - #4  March 29, 2016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Macro8</vt:lpstr>
      <vt:lpstr>Macro9</vt:lpstr>
      <vt:lpstr>'2015 +5y - #4  March 29, 2016'!Print_Area</vt:lpstr>
      <vt:lpstr>'HPA-1'!Print_Area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Liz Andrews</cp:lastModifiedBy>
  <cp:lastPrinted>2016-11-03T18:06:02Z</cp:lastPrinted>
  <dcterms:created xsi:type="dcterms:W3CDTF">2016-03-10T21:31:20Z</dcterms:created>
  <dcterms:modified xsi:type="dcterms:W3CDTF">2016-11-03T18:10:05Z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